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155" tabRatio="85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Tablas!$AI$62</definedName>
    <definedName name="Inhumanidad_TM">Tablas!$AI$61</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queadicional">Tablas!$Z$1206:$AF$1206</definedName>
    <definedName name="PodHab_Ataqueautomáticocondicionado">Tablas!$Z$1252:$AI$1252</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Tablas!$AJ$62</definedName>
    <definedName name="Zen_TM">Tablas!$AJ$61</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829" i="26" l="1"/>
  <c r="D829" i="26"/>
  <c r="Y1253" i="11"/>
  <c r="T7" i="3" l="1"/>
  <c r="T13" i="3"/>
  <c r="T11" i="3"/>
  <c r="T9" i="3"/>
  <c r="T5" i="3"/>
  <c r="AK188" i="10" l="1"/>
  <c r="AU5" i="4"/>
  <c r="AL31" i="1" l="1"/>
  <c r="AM31" i="1" l="1"/>
  <c r="AI60" i="1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U178" i="3" l="1"/>
  <c r="U179" i="3"/>
  <c r="U180" i="3"/>
  <c r="U181"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H1930" i="11"/>
  <c r="H1931" i="11"/>
  <c r="H1932" i="11"/>
  <c r="H1933" i="11"/>
  <c r="H1934" i="11"/>
  <c r="H1935" i="11"/>
  <c r="H1936" i="11"/>
  <c r="H1937" i="11"/>
  <c r="H1938" i="11"/>
  <c r="H1939" i="11"/>
  <c r="H1940" i="11"/>
  <c r="H1941" i="11"/>
  <c r="H1942" i="11"/>
  <c r="G1929" i="11" l="1"/>
  <c r="G1942" i="1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Y817" i="11" l="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V827" i="11"/>
  <c r="AW827" i="11" s="1"/>
  <c r="AS827" i="11"/>
  <c r="AT827" i="11" s="1"/>
  <c r="AQ832" i="11"/>
  <c r="AR832" i="11" s="1"/>
  <c r="R72" i="3" s="1"/>
  <c r="AS828" i="11"/>
  <c r="AT828" i="11" s="1"/>
  <c r="AV826" i="11"/>
  <c r="AW826" i="11" s="1"/>
  <c r="AV831" i="11"/>
  <c r="AW831" i="11" s="1"/>
  <c r="AS831" i="11"/>
  <c r="AT831" i="11" s="1"/>
  <c r="AQ834" i="11"/>
  <c r="AR834" i="11" s="1"/>
  <c r="R74" i="3" s="1"/>
  <c r="AS821" i="11"/>
  <c r="AT821" i="11" s="1"/>
  <c r="AQ820" i="11"/>
  <c r="AR820" i="11" s="1"/>
  <c r="R60" i="3" s="1"/>
  <c r="Y871" i="11"/>
  <c r="Y869" i="11" s="1"/>
  <c r="Y868" i="11" s="1"/>
  <c r="Y866" i="11" s="1"/>
  <c r="K906" i="11"/>
  <c r="AS826" i="11" l="1"/>
  <c r="AT826" i="11" s="1"/>
  <c r="AS818" i="11"/>
  <c r="AT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28" i="11"/>
  <c r="T68" i="3"/>
  <c r="AR825" i="11"/>
  <c r="AS822" i="11"/>
  <c r="AS825" i="11"/>
  <c r="AT825" i="11" s="1"/>
  <c r="AU817" i="11"/>
  <c r="AV817" i="11" s="1"/>
  <c r="AW817" i="11" s="1"/>
  <c r="BA827" i="11"/>
  <c r="BB827" i="11" s="1"/>
  <c r="AX827" i="11"/>
  <c r="AY827" i="11" s="1"/>
  <c r="AZ827"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28" i="11" l="1"/>
  <c r="AY828" i="11" s="1"/>
  <c r="AZ828" i="11" s="1"/>
  <c r="T70" i="3"/>
  <c r="AX818" i="1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H225" i="11" l="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s="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AI53" i="11"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I1947" i="11" l="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T60" i="11" l="1"/>
  <c r="U60" i="11" s="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L156" i="13" s="1"/>
  <c r="E10" i="14"/>
  <c r="E9" i="14"/>
  <c r="L3" i="14"/>
  <c r="G19" i="14"/>
  <c r="N14" i="14"/>
  <c r="J195" i="13"/>
  <c r="B188" i="13"/>
  <c r="B177" i="13"/>
  <c r="B166" i="13"/>
  <c r="B155" i="13"/>
  <c r="B144" i="13"/>
  <c r="B133" i="13"/>
  <c r="B122" i="13"/>
  <c r="B111" i="13"/>
  <c r="B110" i="13"/>
  <c r="B106" i="13"/>
  <c r="B102" i="13"/>
  <c r="B97" i="13"/>
  <c r="B91" i="13"/>
  <c r="B59" i="5" l="1"/>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Z874" i="11" l="1"/>
  <c r="Z904" i="11"/>
  <c r="P12" i="4"/>
  <c r="P15" i="4"/>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Q266" i="11" l="1"/>
  <c r="H234" i="11" s="1"/>
  <c r="H250" i="1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V117" i="3"/>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K6" i="2" s="1"/>
  <c r="J46" i="4" s="1"/>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J54" i="2" l="1"/>
  <c r="G54" i="2" s="1"/>
  <c r="U32" i="4"/>
  <c r="V62" i="4"/>
  <c r="U46" i="4"/>
  <c r="K62" i="4"/>
  <c r="K53" i="4"/>
  <c r="J39" i="4"/>
  <c r="U39" i="4"/>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U146" i="3" l="1"/>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AA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AA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A144" i="3" s="1"/>
  <c r="AF159" i="3"/>
  <c r="T159" i="3" s="1"/>
  <c r="AF135" i="3"/>
  <c r="T135" i="3" s="1"/>
  <c r="AF142" i="3"/>
  <c r="T142" i="3" s="1"/>
  <c r="AF154" i="3"/>
  <c r="T154" i="3" s="1"/>
  <c r="AA154" i="3" s="1"/>
  <c r="AF168" i="3"/>
  <c r="T168" i="3" s="1"/>
  <c r="AF148" i="3"/>
  <c r="T148" i="3" s="1"/>
  <c r="AF153" i="3"/>
  <c r="T153" i="3" s="1"/>
  <c r="AA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AA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Z823" i="11" l="1"/>
  <c r="D549" i="1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62" i="4" l="1"/>
  <c r="Q45" i="4"/>
  <c r="Q38" i="4"/>
  <c r="Q31" i="4"/>
  <c r="F45" i="4"/>
  <c r="F38" i="4"/>
  <c r="N64" i="4"/>
  <c r="N55" i="4"/>
  <c r="D40" i="4"/>
  <c r="C55" i="4"/>
  <c r="O33" i="4"/>
  <c r="F62" i="4"/>
  <c r="C64" i="4"/>
  <c r="F53" i="4"/>
  <c r="Q53"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C45" i="4"/>
  <c r="L50" i="4" s="1"/>
  <c r="B178" i="3"/>
  <c r="B171" i="13"/>
  <c r="H172" i="13"/>
  <c r="B170" i="13"/>
  <c r="AA98" i="9"/>
  <c r="AF98" i="9"/>
  <c r="AB102" i="9"/>
  <c r="J189" i="13"/>
  <c r="J127" i="13"/>
  <c r="J115" i="13"/>
  <c r="J124" i="13"/>
  <c r="J112" i="13"/>
  <c r="J137" i="13"/>
  <c r="J178" i="13"/>
  <c r="J156" i="13"/>
  <c r="J138" i="13"/>
  <c r="J151" i="13"/>
  <c r="J182" i="13"/>
  <c r="J157" i="13"/>
  <c r="J123" i="13"/>
  <c r="J113" i="13"/>
  <c r="R12" i="14"/>
  <c r="W59" i="4" l="1"/>
  <c r="S16" i="4"/>
  <c r="AF15" i="4" s="1"/>
  <c r="Q1981" i="11"/>
  <c r="W1981" i="11" s="1"/>
  <c r="Q1983" i="11"/>
  <c r="W1983" i="11" s="1"/>
  <c r="Q1982" i="11"/>
  <c r="W1982" i="11" s="1"/>
  <c r="Q1984" i="11"/>
  <c r="W1984" i="11" s="1"/>
  <c r="Q1956" i="11"/>
  <c r="W1956" i="11" s="1"/>
  <c r="Q1957" i="11"/>
  <c r="W1957" i="11" s="1"/>
  <c r="Q1947" i="11"/>
  <c r="W1947" i="11" s="1"/>
  <c r="Q1950" i="11"/>
  <c r="W1950" i="11" s="1"/>
  <c r="X1950" i="11" s="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Q1952" i="11"/>
  <c r="W1952" i="11" s="1"/>
  <c r="AB1957" i="11"/>
  <c r="AB1984" i="11"/>
  <c r="AB1956" i="11"/>
  <c r="AB1982" i="11"/>
  <c r="AB1947" i="11"/>
  <c r="AB1983" i="11"/>
  <c r="AB1981" i="11"/>
  <c r="AB181" i="3"/>
  <c r="Q77" i="2"/>
  <c r="O1984" i="11"/>
  <c r="N1984" i="11" s="1"/>
  <c r="AB179" i="3"/>
  <c r="O1982" i="11"/>
  <c r="N1982" i="11" s="1"/>
  <c r="Q75" i="2"/>
  <c r="AB180" i="3"/>
  <c r="O1983" i="11"/>
  <c r="N1983" i="11" s="1"/>
  <c r="Q76" i="2"/>
  <c r="AB178" i="3"/>
  <c r="O1981" i="11"/>
  <c r="N1981" i="11" s="1"/>
  <c r="Q74" i="2"/>
  <c r="B174" i="13"/>
  <c r="H176" i="13"/>
  <c r="B173" i="13"/>
  <c r="L1055" i="11"/>
  <c r="L1056" i="11"/>
  <c r="L1058" i="11"/>
  <c r="L1059" i="11"/>
  <c r="Q1967" i="11" l="1"/>
  <c r="W1967" i="11" s="1"/>
  <c r="AA1952" i="11"/>
  <c r="AB1952" i="11" s="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59"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59"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2" i="11" l="1"/>
  <c r="AJ61" i="11"/>
  <c r="AI61"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AI62" i="11" l="1"/>
  <c r="W60" i="1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AA171" i="3" s="1"/>
  <c r="F36" i="5"/>
  <c r="AJ165" i="3"/>
  <c r="Q1974" i="11" l="1"/>
  <c r="W1974" i="11" s="1"/>
  <c r="B193" i="13"/>
  <c r="H194" i="13"/>
  <c r="H195" i="13" s="1"/>
  <c r="Y1950" i="11"/>
  <c r="Y1968" i="11"/>
  <c r="Z1968" i="11"/>
  <c r="AA1968" i="11"/>
  <c r="X1974" i="11"/>
  <c r="AF165" i="3"/>
  <c r="T165" i="3" s="1"/>
  <c r="AB153" i="3"/>
  <c r="Q49" i="2"/>
  <c r="Z52" i="14" s="1"/>
  <c r="O1956" i="11"/>
  <c r="N1956" i="11" s="1"/>
  <c r="AB154" i="3"/>
  <c r="Q50" i="2"/>
  <c r="Z53" i="14" s="1"/>
  <c r="O1957" i="11"/>
  <c r="AB144" i="3"/>
  <c r="O1947" i="11"/>
  <c r="N1947" i="11" s="1"/>
  <c r="Q40" i="2"/>
  <c r="Z43" i="14" s="1"/>
  <c r="AB147" i="3"/>
  <c r="Q43" i="2"/>
  <c r="Z46" i="14" s="1"/>
  <c r="O1950" i="11"/>
  <c r="C1966" i="11"/>
  <c r="AQ39" i="10" s="1"/>
  <c r="J39" i="10" s="1"/>
  <c r="Q45" i="2"/>
  <c r="Z48" i="14" s="1"/>
  <c r="O1952" i="11"/>
  <c r="N1952" i="11" s="1"/>
  <c r="AB149" i="3"/>
  <c r="AD1983" i="11" l="1"/>
  <c r="K1983" i="11" s="1"/>
  <c r="N1957" i="11"/>
  <c r="AA1946" i="11"/>
  <c r="AA1951" i="11"/>
  <c r="B195" i="13"/>
  <c r="H196" i="13"/>
  <c r="B194" i="13"/>
  <c r="AB171" i="3"/>
  <c r="Q67" i="2"/>
  <c r="Z70" i="14" s="1"/>
  <c r="O1974" i="11"/>
  <c r="Z1974" i="11"/>
  <c r="Y1974" i="11"/>
  <c r="Z1950" i="11"/>
  <c r="AB1967" i="11"/>
  <c r="AA1939" i="11"/>
  <c r="Z1939" i="11"/>
  <c r="AA1974" i="11"/>
  <c r="AA1950" i="11"/>
  <c r="AA1977" i="11"/>
  <c r="AB164" i="3"/>
  <c r="O1967" i="11"/>
  <c r="N1967" i="11" s="1"/>
  <c r="Q60" i="2"/>
  <c r="Z63" i="14" s="1"/>
  <c r="B196" i="13" l="1"/>
  <c r="H198" i="13"/>
  <c r="AD1980" i="11"/>
  <c r="K1980" i="11" s="1"/>
  <c r="AD1984" i="11"/>
  <c r="K1984" i="11" s="1"/>
  <c r="AB1950" i="11"/>
  <c r="AB1974" i="11"/>
  <c r="N1974" i="11" s="1"/>
  <c r="N1950" i="11" l="1"/>
  <c r="AD1955" i="11"/>
  <c r="K1955" i="11" s="1"/>
  <c r="B198" i="13"/>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X129" i="9" l="1"/>
  <c r="Z129" i="9" s="1"/>
  <c r="X112" i="9"/>
  <c r="Z112" i="9" s="1"/>
  <c r="X96" i="9"/>
  <c r="Z96" i="9" s="1"/>
  <c r="X113" i="9"/>
  <c r="Z113" i="9" s="1"/>
  <c r="X128" i="9"/>
  <c r="Z128" i="9" s="1"/>
  <c r="X97" i="9"/>
  <c r="Z97" i="9" s="1"/>
  <c r="X61" i="11" l="1"/>
  <c r="X62" i="11"/>
  <c r="Q1970" i="11"/>
  <c r="W1970" i="11" s="1"/>
  <c r="AB1970" i="11" l="1"/>
  <c r="O1970" i="11"/>
  <c r="N1970" i="11" s="1"/>
  <c r="Q63" i="2"/>
  <c r="Z66" i="14" s="1"/>
  <c r="AB167" i="3"/>
  <c r="AA905" i="11" a="1"/>
  <c r="Q1969" i="11"/>
  <c r="AC904" i="11" l="1" a="1"/>
  <c r="AC878" i="11" a="1"/>
  <c r="AC890" i="11" a="1"/>
  <c r="AC886" i="11" a="1"/>
  <c r="AC893" i="11" a="1"/>
  <c r="AC900" i="11" a="1"/>
  <c r="AC897" i="11" a="1"/>
  <c r="AC882" i="11" a="1"/>
  <c r="AA888" i="11" a="1"/>
  <c r="AA874" i="11" a="1"/>
  <c r="AA892" i="11" a="1"/>
  <c r="AA899" i="11" a="1"/>
  <c r="AA886" i="11" a="1"/>
  <c r="AA902" i="11" a="1"/>
  <c r="AA875" i="11" a="1"/>
  <c r="AA898" i="11" a="1"/>
  <c r="AA877" i="11" a="1"/>
  <c r="AA887" i="11" a="1"/>
  <c r="AA896" i="11" a="1"/>
  <c r="AA889" i="11" a="1"/>
  <c r="AA876" i="11" a="1"/>
  <c r="AA883" i="11" a="1"/>
  <c r="AA897" i="11" a="1"/>
  <c r="AA900" i="11" a="1"/>
  <c r="AA885" i="11" a="1"/>
  <c r="AA879" i="11" a="1"/>
  <c r="AA878" i="11" a="1"/>
  <c r="AA881" i="11" a="1"/>
  <c r="AA901" i="11" a="1"/>
  <c r="AA891" i="11" a="1"/>
  <c r="AA894" i="11" a="1"/>
  <c r="AA904" i="11" a="1"/>
  <c r="AA884" i="11" a="1"/>
  <c r="AA893" i="11" a="1"/>
  <c r="AA890" i="11" a="1"/>
  <c r="AA903" i="11" a="1"/>
  <c r="AA873" i="11" a="1"/>
  <c r="AA882" i="11" a="1"/>
  <c r="AA880" i="11" a="1"/>
  <c r="AA895" i="11" a="1"/>
  <c r="AC901" i="11" a="1"/>
  <c r="AC905" i="11" a="1"/>
  <c r="AC879" i="11" a="1"/>
  <c r="AC883" i="11" a="1"/>
  <c r="AC887" i="11" a="1"/>
  <c r="AC877" i="11" a="1"/>
  <c r="AC876" i="11" a="1"/>
  <c r="AC872" i="11" a="1"/>
  <c r="AC875" i="11" a="1"/>
  <c r="AC884" i="11" a="1"/>
  <c r="AC880" i="11" a="1"/>
  <c r="AC894" i="11" a="1"/>
  <c r="AC902" i="11" a="1"/>
  <c r="AC898" i="11" a="1"/>
  <c r="AC873" i="11" a="1"/>
  <c r="AC895" i="11" a="1"/>
  <c r="AC891" i="11" a="1"/>
  <c r="AC888" i="11" a="1"/>
  <c r="AC903" i="11" a="1"/>
  <c r="AC899" i="11" a="1"/>
  <c r="AC896" i="11" a="1"/>
  <c r="AC885" i="11" a="1"/>
  <c r="AC881" i="11" a="1"/>
  <c r="AC874" i="11" a="1"/>
  <c r="AC892" i="11" a="1"/>
  <c r="AC889" i="11" a="1"/>
  <c r="AA872" i="11" a="1"/>
  <c r="AA1969" i="11"/>
  <c r="AA1929" i="11"/>
  <c r="AD1975" i="11"/>
  <c r="K1975" i="11" s="1"/>
  <c r="AD1973" i="11"/>
  <c r="K1973" i="11" s="1"/>
  <c r="AD1974" i="11"/>
  <c r="K1974" i="11" s="1"/>
  <c r="AD1951" i="11"/>
  <c r="K1951" i="11" s="1"/>
  <c r="AD1941" i="11"/>
  <c r="K1941" i="11" s="1"/>
  <c r="AD1948" i="11"/>
  <c r="K1948" i="11" s="1"/>
  <c r="O1969" i="11"/>
  <c r="N1969" i="11" s="1"/>
  <c r="Q62" i="2"/>
  <c r="Z65" i="14" s="1"/>
  <c r="AB166" i="3"/>
  <c r="AB883" i="11" l="1" a="1"/>
  <c r="AD125" i="9"/>
  <c r="AB880" i="11" a="1"/>
  <c r="AB890" i="11" a="1"/>
  <c r="AB894" i="11" a="1"/>
  <c r="AB891" i="11" a="1"/>
  <c r="AB873" i="11" a="1"/>
  <c r="AB874" i="11" a="1"/>
  <c r="AB872" i="11" a="1"/>
  <c r="AB893" i="11" a="1"/>
  <c r="AB905" i="11" a="1"/>
  <c r="AB901" i="11" a="1"/>
  <c r="AB876" i="11" a="1"/>
  <c r="AB885" i="11" a="1"/>
  <c r="AB882" i="11" a="1"/>
  <c r="AB900" i="11" a="1"/>
  <c r="AB902" i="11" a="1"/>
  <c r="AB889" i="11" a="1"/>
  <c r="AB881" i="11" a="1"/>
  <c r="AB898" i="11" a="1"/>
  <c r="AB879" i="11" a="1"/>
  <c r="AB878" i="11" a="1"/>
  <c r="AB896" i="11" a="1"/>
  <c r="AB884" i="11" a="1"/>
  <c r="AB875" i="11" a="1"/>
  <c r="AB886" i="11" a="1"/>
  <c r="AB899" i="11" a="1"/>
  <c r="AB888" i="11" a="1"/>
  <c r="AB877" i="11" a="1"/>
  <c r="AB887" i="11" a="1"/>
  <c r="AB892" i="11" a="1"/>
  <c r="AB903" i="11" a="1"/>
  <c r="AB904" i="11" a="1"/>
  <c r="AB895" i="11" a="1"/>
  <c r="AB897" i="11" a="1"/>
  <c r="AL816" i="11"/>
  <c r="AM816" i="11" s="1"/>
  <c r="AN816" i="11"/>
  <c r="N56" i="3" s="1"/>
  <c r="AD1936" i="11"/>
  <c r="K1936" i="11" s="1"/>
  <c r="AD1958" i="11" l="1"/>
  <c r="K1958" i="11" s="1"/>
  <c r="AS95" i="9"/>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AK710" i="11"/>
  <c r="BT710" i="11"/>
  <c r="BM710" i="11"/>
  <c r="BF710" i="11"/>
  <c r="BE647" i="11"/>
  <c r="AJ647" i="11"/>
  <c r="AX647" i="11"/>
  <c r="AQ647" i="11"/>
  <c r="BS647" i="11"/>
  <c r="BL647" i="11"/>
  <c r="AQ670" i="11"/>
  <c r="AX670" i="11"/>
  <c r="AJ670" i="11"/>
  <c r="BE670" i="11"/>
  <c r="BL670" i="11"/>
  <c r="BS67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Y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AJ639" i="11"/>
  <c r="AX639" i="11"/>
  <c r="BL639" i="11"/>
  <c r="BS639" i="11"/>
  <c r="AQ639" i="11"/>
  <c r="BE639" i="11"/>
  <c r="AY749" i="11"/>
  <c r="BM749" i="11"/>
  <c r="BF749" i="11"/>
  <c r="AR749" i="11"/>
  <c r="BT749" i="11"/>
  <c r="AK749" i="11"/>
  <c r="L794" i="11"/>
  <c r="L795" i="11" s="1"/>
  <c r="BF649" i="11"/>
  <c r="AR649" i="11"/>
  <c r="BT649" i="11"/>
  <c r="AK649" i="11"/>
  <c r="AY649" i="11"/>
  <c r="BM649" i="11"/>
  <c r="L729" i="11"/>
  <c r="BF736" i="11"/>
  <c r="BT736" i="11"/>
  <c r="AR736" i="11"/>
  <c r="BM736" i="11"/>
  <c r="AY736" i="11"/>
  <c r="AK736" i="11"/>
  <c r="AY659" i="11"/>
  <c r="BM659" i="11"/>
  <c r="BF659" i="11"/>
  <c r="BT659" i="11"/>
  <c r="AK659" i="11"/>
  <c r="AR659" i="11"/>
  <c r="AR678" i="11"/>
  <c r="AY678" i="11"/>
  <c r="AK678" i="11"/>
  <c r="BF678" i="11"/>
  <c r="BT678" i="11"/>
  <c r="BM678" i="11"/>
  <c r="AY716" i="11"/>
  <c r="BM716" i="11"/>
  <c r="AK716" i="11"/>
  <c r="AR716" i="11"/>
  <c r="BT716" i="11"/>
  <c r="BF716" i="11"/>
  <c r="AK761" i="11"/>
  <c r="BT761" i="11"/>
  <c r="AY761" i="11"/>
  <c r="BF761" i="11"/>
  <c r="BM761" i="11"/>
  <c r="AR761" i="11"/>
  <c r="AK645" i="11"/>
  <c r="BT645" i="11"/>
  <c r="AR645" i="11"/>
  <c r="BF645" i="11"/>
  <c r="AY645" i="11"/>
  <c r="BM645" i="11"/>
  <c r="BT709" i="11"/>
  <c r="BF709" i="11"/>
  <c r="AK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F653" i="11"/>
  <c r="AR653" i="11"/>
  <c r="AY653" i="11"/>
  <c r="BM653" i="11"/>
  <c r="BT653" i="11"/>
  <c r="AK653" i="11"/>
  <c r="AJ705" i="11"/>
  <c r="BS705" i="11"/>
  <c r="BL705" i="11"/>
  <c r="AX705" i="11"/>
  <c r="AQ705" i="11"/>
  <c r="BE705" i="11"/>
  <c r="BF715" i="11"/>
  <c r="AR715" i="11"/>
  <c r="AY715" i="11"/>
  <c r="BT715" i="11"/>
  <c r="AK715" i="11"/>
  <c r="BM715" i="11"/>
  <c r="BS699" i="11"/>
  <c r="BE699" i="11"/>
  <c r="AJ699" i="11"/>
  <c r="AX699" i="11"/>
  <c r="BL699" i="11"/>
  <c r="AQ699" i="11"/>
  <c r="BF732" i="11"/>
  <c r="AK732" i="11"/>
  <c r="AR732" i="11"/>
  <c r="BM732" i="11"/>
  <c r="AY732" i="11"/>
  <c r="BT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AR704" i="11"/>
  <c r="BF704" i="11"/>
  <c r="BT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AY722" i="11"/>
  <c r="BF722" i="11"/>
  <c r="AK722" i="11"/>
  <c r="BT759" i="11"/>
  <c r="AY759" i="11"/>
  <c r="AR759" i="11"/>
  <c r="BM759" i="11"/>
  <c r="AK759" i="11"/>
  <c r="BF759"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S664" i="11"/>
  <c r="BE664" i="11"/>
  <c r="AX664" i="11"/>
  <c r="AJ664" i="11"/>
  <c r="AQ664" i="11"/>
  <c r="BL664" i="11"/>
  <c r="AR726" i="11"/>
  <c r="BF726" i="11"/>
  <c r="AK726" i="11"/>
  <c r="BM726" i="11"/>
  <c r="BT726" i="11"/>
  <c r="AY726" i="11"/>
  <c r="BF684" i="11"/>
  <c r="AY684" i="11"/>
  <c r="BM684" i="11"/>
  <c r="AR684" i="11"/>
  <c r="AK684" i="11"/>
  <c r="BT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T674" i="11"/>
  <c r="AY674" i="11"/>
  <c r="BF674" i="11"/>
  <c r="AK674" i="11"/>
  <c r="AQ745" i="11"/>
  <c r="BS745" i="11"/>
  <c r="BL745" i="11"/>
  <c r="AJ745" i="11"/>
  <c r="BE745" i="11"/>
  <c r="AX745" i="11"/>
  <c r="AK752" i="11"/>
  <c r="BT752" i="11"/>
  <c r="BM752" i="11"/>
  <c r="AR752" i="11"/>
  <c r="BF752" i="11"/>
  <c r="AY752" i="11"/>
  <c r="BE691" i="11"/>
  <c r="BL691" i="11"/>
  <c r="AJ691" i="11"/>
  <c r="BS691" i="11"/>
  <c r="AQ691" i="11"/>
  <c r="AX691" i="11"/>
  <c r="AY686" i="11"/>
  <c r="BM686" i="11"/>
  <c r="BT686" i="11"/>
  <c r="AR686" i="11"/>
  <c r="BF686" i="11"/>
  <c r="AK686"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AK635" i="11"/>
  <c r="AQ635" i="11"/>
  <c r="AY635" i="11"/>
  <c r="BM632" i="11"/>
  <c r="BE635" i="11"/>
  <c r="AR635" i="11"/>
  <c r="BF635" i="11"/>
  <c r="AJ635" i="11"/>
  <c r="BS635" i="11"/>
  <c r="BT635" i="11"/>
  <c r="BS637" i="11" l="1"/>
  <c r="BS638" i="11" s="1"/>
  <c r="BS640" i="11" s="1"/>
  <c r="AQ637" i="11"/>
  <c r="BL637" i="11"/>
  <c r="BR630" i="11"/>
  <c r="BE637" i="11"/>
  <c r="AY636" i="11"/>
  <c r="BF636" i="11"/>
  <c r="BT636" i="11"/>
  <c r="AR636" i="11"/>
  <c r="AA125" i="9"/>
  <c r="AN123" i="9" s="1"/>
  <c r="AR123" i="9" s="1"/>
  <c r="AF93" i="9"/>
  <c r="BF816" i="11"/>
  <c r="BG816" i="11" s="1"/>
  <c r="AK636" i="11"/>
  <c r="BI630" i="11"/>
  <c r="AX635" i="11"/>
  <c r="AJ637" i="11"/>
  <c r="BL638" i="11"/>
  <c r="BL640" i="11" s="1"/>
  <c r="BP630"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BE638" i="11" l="1"/>
  <c r="AX637" i="11"/>
  <c r="AW632" i="11"/>
  <c r="AP123" i="9"/>
  <c r="AR639" i="11"/>
  <c r="AK637" i="11"/>
  <c r="AO123" i="9"/>
  <c r="AB93" i="9"/>
  <c r="AB125" i="9"/>
  <c r="AQ123" i="9" s="1"/>
  <c r="AG93"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BL643" i="11" l="1"/>
  <c r="BS643" i="11"/>
  <c r="BS644" i="11" s="1"/>
  <c r="BL645" i="11"/>
  <c r="AR643" i="11"/>
  <c r="AX640" i="11"/>
  <c r="AQ642" i="11"/>
  <c r="BL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E643" i="11" l="1"/>
  <c r="AX643" i="11"/>
  <c r="BS645" i="11"/>
  <c r="AQ643" i="11"/>
  <c r="AQ644" i="11" s="1"/>
  <c r="BL646" i="11"/>
  <c r="BL648" i="11" s="1"/>
  <c r="AR647" i="11"/>
  <c r="AR648" i="11" s="1"/>
  <c r="BF643" i="11"/>
  <c r="AX644" i="11"/>
  <c r="AX645" i="11" s="1"/>
  <c r="BS646" i="11"/>
  <c r="BS648" i="11" s="1"/>
  <c r="BE644" i="11"/>
  <c r="AK56" i="3"/>
  <c r="BG637" i="11"/>
  <c r="BG638" i="11" s="1"/>
  <c r="BG639" i="11" s="1"/>
  <c r="BG640" i="11" s="1"/>
  <c r="BG641" i="11" s="1"/>
  <c r="AX653" i="11"/>
  <c r="AJ641" i="11"/>
  <c r="AJ642" i="11" s="1"/>
  <c r="AJ643" i="11" s="1"/>
  <c r="BE653" i="11"/>
  <c r="AX656" i="11"/>
  <c r="AQ656" i="11"/>
  <c r="BL656" i="11"/>
  <c r="BT640" i="11"/>
  <c r="AY640" i="11"/>
  <c r="AK640" i="11"/>
  <c r="BF644" i="11"/>
  <c r="BM639" i="11"/>
  <c r="BM640" i="11" s="1"/>
  <c r="BM643" i="11" s="1"/>
  <c r="AL638" i="11"/>
  <c r="AL639" i="11" s="1"/>
  <c r="BR634" i="11"/>
  <c r="BD634" i="11"/>
  <c r="AI634" i="11"/>
  <c r="AZ639" i="11"/>
  <c r="AZ640" i="11" s="1"/>
  <c r="BU638" i="11"/>
  <c r="AS639" i="11"/>
  <c r="BN640" i="11"/>
  <c r="AQ653" i="11" l="1"/>
  <c r="AQ645" i="11"/>
  <c r="BL649" i="11"/>
  <c r="BE645" i="11"/>
  <c r="AX646" i="11"/>
  <c r="BS649" i="11"/>
  <c r="BS650" i="11" s="1"/>
  <c r="BF647" i="11"/>
  <c r="BF648" i="11" s="1"/>
  <c r="BF657" i="11" s="1"/>
  <c r="AX650" i="11"/>
  <c r="AR657" i="11"/>
  <c r="BT643" i="11"/>
  <c r="AY644" i="11"/>
  <c r="AY643" i="11"/>
  <c r="BL650" i="11"/>
  <c r="BL651" i="11" s="1"/>
  <c r="AR667" i="11"/>
  <c r="BE656" i="11"/>
  <c r="BE646" i="11"/>
  <c r="BE648" i="11" s="1"/>
  <c r="BF658" i="11"/>
  <c r="BT644" i="11"/>
  <c r="AJ644" i="11"/>
  <c r="AJ645" i="11" s="1"/>
  <c r="AK641" i="11"/>
  <c r="AJ656" i="11"/>
  <c r="AR668" i="11"/>
  <c r="BM644" i="11"/>
  <c r="BM647" i="11" s="1"/>
  <c r="BM648" i="11" s="1"/>
  <c r="BM657" i="11" s="1"/>
  <c r="BF668" i="11"/>
  <c r="AY667" i="11"/>
  <c r="BD635" i="11"/>
  <c r="AZ641" i="11"/>
  <c r="AW635" i="11" s="1"/>
  <c r="BG642" i="11"/>
  <c r="BN641" i="11"/>
  <c r="BN642" i="11" s="1"/>
  <c r="BN643" i="11" s="1"/>
  <c r="BN644" i="11" s="1"/>
  <c r="BN645" i="11" s="1"/>
  <c r="BU639" i="11"/>
  <c r="AS640" i="11"/>
  <c r="AL640" i="11"/>
  <c r="AR660" i="11" l="1"/>
  <c r="AR662" i="11" s="1"/>
  <c r="AR663" i="11" s="1"/>
  <c r="AR658" i="11"/>
  <c r="AX648" i="11"/>
  <c r="AQ646" i="11"/>
  <c r="AX649" i="11"/>
  <c r="AX651" i="11"/>
  <c r="BS651" i="11"/>
  <c r="BS652" i="11" s="1"/>
  <c r="AJ646" i="11"/>
  <c r="BT647" i="11"/>
  <c r="BL652" i="11"/>
  <c r="BL653" i="11"/>
  <c r="BE649" i="11"/>
  <c r="BE650" i="11" s="1"/>
  <c r="BE651" i="11" s="1"/>
  <c r="AR664" i="11"/>
  <c r="AR666" i="11" s="1"/>
  <c r="BF660" i="11"/>
  <c r="BF662" i="11" s="1"/>
  <c r="BF663" i="11" s="1"/>
  <c r="AY647" i="11"/>
  <c r="AY648" i="11" s="1"/>
  <c r="AY657" i="11" s="1"/>
  <c r="AK644" i="11"/>
  <c r="AK643" i="11"/>
  <c r="BF667" i="11"/>
  <c r="AJ648" i="11"/>
  <c r="AJ649" i="11" s="1"/>
  <c r="BF672" i="11"/>
  <c r="AR672" i="11"/>
  <c r="BM658" i="11"/>
  <c r="BF688" i="11"/>
  <c r="AY668" i="11"/>
  <c r="BT667" i="11"/>
  <c r="BK636" i="11"/>
  <c r="BN646" i="11"/>
  <c r="BN647" i="11" s="1"/>
  <c r="BK637" i="11" s="1"/>
  <c r="BG643" i="11"/>
  <c r="AZ642" i="11"/>
  <c r="AZ643" i="11" s="1"/>
  <c r="AL641" i="11"/>
  <c r="AL642" i="11" s="1"/>
  <c r="AL643" i="11" s="1"/>
  <c r="AL644" i="11" s="1"/>
  <c r="AL645" i="11" s="1"/>
  <c r="AL646" i="11" s="1"/>
  <c r="AL647" i="11" s="1"/>
  <c r="AL648" i="11" s="1"/>
  <c r="BU640" i="11"/>
  <c r="AS641" i="11"/>
  <c r="AP635" i="11" s="1"/>
  <c r="AR756" i="11"/>
  <c r="BT648" i="11" l="1"/>
  <c r="BT657" i="11" s="1"/>
  <c r="BT660" i="11" s="1"/>
  <c r="BT662" i="11" s="1"/>
  <c r="BT658" i="11"/>
  <c r="AI635" i="11"/>
  <c r="AY658" i="11"/>
  <c r="AQ648" i="11"/>
  <c r="AQ649" i="11" s="1"/>
  <c r="AX652" i="11"/>
  <c r="AX654" i="11" s="1"/>
  <c r="BS654" i="11"/>
  <c r="BS655" i="11"/>
  <c r="BS656" i="11" s="1"/>
  <c r="BL654" i="11"/>
  <c r="BL655" i="11" s="1"/>
  <c r="BE652" i="11"/>
  <c r="BE654" i="11" s="1"/>
  <c r="BE655" i="11" s="1"/>
  <c r="AR670" i="11"/>
  <c r="BF664" i="11"/>
  <c r="BF666" i="11" s="1"/>
  <c r="AR682" i="11"/>
  <c r="AR683" i="11" s="1"/>
  <c r="AR688" i="11" s="1"/>
  <c r="BM667" i="11"/>
  <c r="BM668" i="11" s="1"/>
  <c r="BM660" i="11"/>
  <c r="BM662" i="11" s="1"/>
  <c r="BM663" i="11" s="1"/>
  <c r="AY660" i="11"/>
  <c r="AY662" i="11" s="1"/>
  <c r="AY663" i="11" s="1"/>
  <c r="BF693" i="11"/>
  <c r="BF696" i="11" s="1"/>
  <c r="BF682" i="11"/>
  <c r="BF683" i="11" s="1"/>
  <c r="AK647" i="11"/>
  <c r="AJ650" i="11"/>
  <c r="AK667" i="11"/>
  <c r="AK668" i="11" s="1"/>
  <c r="AK650" i="11"/>
  <c r="AK672" i="11"/>
  <c r="BM672" i="11"/>
  <c r="AW636" i="11"/>
  <c r="BD636" i="11"/>
  <c r="AK682" i="11"/>
  <c r="AX671" i="11"/>
  <c r="AJ671" i="11"/>
  <c r="BF697" i="11"/>
  <c r="AY672" i="11"/>
  <c r="AI636" i="11"/>
  <c r="BT668" i="11"/>
  <c r="AI637" i="11"/>
  <c r="BN648" i="11"/>
  <c r="BN649" i="11" s="1"/>
  <c r="BN650" i="11" s="1"/>
  <c r="AL649" i="11"/>
  <c r="AL650" i="11" s="1"/>
  <c r="AZ644" i="11"/>
  <c r="AZ645" i="11" s="1"/>
  <c r="BG644" i="11"/>
  <c r="BG645" i="11" s="1"/>
  <c r="BG646" i="11" s="1"/>
  <c r="AS642" i="11"/>
  <c r="BU641" i="11"/>
  <c r="AQ650" i="11" l="1"/>
  <c r="AQ651" i="11" s="1"/>
  <c r="BK638" i="11"/>
  <c r="AK648" i="11"/>
  <c r="BS659" i="11"/>
  <c r="BS660" i="11" s="1"/>
  <c r="BS657" i="11"/>
  <c r="AQ652" i="11"/>
  <c r="AQ654" i="11" s="1"/>
  <c r="AQ655" i="11" s="1"/>
  <c r="AQ657" i="11" s="1"/>
  <c r="BL657" i="11"/>
  <c r="BL659" i="11" s="1"/>
  <c r="AI638" i="11"/>
  <c r="AR671" i="11"/>
  <c r="AR680" i="11" s="1"/>
  <c r="BT663" i="11"/>
  <c r="BT664" i="11" s="1"/>
  <c r="BT666" i="11" s="1"/>
  <c r="BE659" i="11"/>
  <c r="BE660" i="11" s="1"/>
  <c r="BE657" i="11"/>
  <c r="AX655" i="11"/>
  <c r="AJ651" i="11"/>
  <c r="AJ652" i="11" s="1"/>
  <c r="BL665" i="11"/>
  <c r="BM664" i="11"/>
  <c r="BM666" i="11" s="1"/>
  <c r="BM670" i="11" s="1"/>
  <c r="AQ665" i="11"/>
  <c r="BF670" i="11"/>
  <c r="BF671" i="11" s="1"/>
  <c r="BF680" i="11" s="1"/>
  <c r="BF689" i="11" s="1"/>
  <c r="AJ653" i="11"/>
  <c r="BM682" i="11"/>
  <c r="BM683" i="11" s="1"/>
  <c r="BM688" i="11" s="1"/>
  <c r="AY664" i="11"/>
  <c r="AK657" i="11"/>
  <c r="AK660" i="11" s="1"/>
  <c r="AK662" i="11" s="1"/>
  <c r="BT670" i="11"/>
  <c r="BT671" i="11" s="1"/>
  <c r="AR693" i="11"/>
  <c r="AR696" i="11" s="1"/>
  <c r="AR697" i="11" s="1"/>
  <c r="AR689" i="11"/>
  <c r="BE661" i="11"/>
  <c r="BE662" i="11" s="1"/>
  <c r="AK683" i="11"/>
  <c r="BF702" i="11"/>
  <c r="AQ671" i="11"/>
  <c r="BS671" i="11"/>
  <c r="BU642" i="11"/>
  <c r="BU643" i="11" s="1"/>
  <c r="BU644" i="11" s="1"/>
  <c r="BU645" i="11" s="1"/>
  <c r="AS643" i="11"/>
  <c r="AS644" i="11" s="1"/>
  <c r="AS645" i="11" s="1"/>
  <c r="AS646" i="11" s="1"/>
  <c r="BT672" i="11"/>
  <c r="BM735" i="11"/>
  <c r="AL651" i="11"/>
  <c r="AZ646" i="11"/>
  <c r="BN651" i="11"/>
  <c r="BG647" i="11"/>
  <c r="BG648" i="11" s="1"/>
  <c r="BL660" i="11" l="1"/>
  <c r="BL661" i="11"/>
  <c r="BL662" i="11" s="1"/>
  <c r="AR673" i="11"/>
  <c r="AR677" i="11" s="1"/>
  <c r="AK658" i="11"/>
  <c r="AK663" i="11" s="1"/>
  <c r="BD637" i="11"/>
  <c r="AQ659" i="11"/>
  <c r="BS661" i="11"/>
  <c r="BF673" i="11"/>
  <c r="BF677" i="11" s="1"/>
  <c r="AX657" i="11"/>
  <c r="BL667" i="11"/>
  <c r="BL668" i="11" s="1"/>
  <c r="BL669" i="11" s="1"/>
  <c r="BL671" i="11" s="1"/>
  <c r="BL672" i="11" s="1"/>
  <c r="AJ654" i="11"/>
  <c r="AJ655" i="11" s="1"/>
  <c r="BF699" i="11"/>
  <c r="BF700" i="11" s="1"/>
  <c r="BF701" i="11" s="1"/>
  <c r="BM671" i="11"/>
  <c r="BM680" i="11" s="1"/>
  <c r="BM689" i="11" s="1"/>
  <c r="AR702" i="11"/>
  <c r="BM693" i="11"/>
  <c r="BM696" i="11" s="1"/>
  <c r="BM697" i="11" s="1"/>
  <c r="AR690" i="11"/>
  <c r="AR691" i="11" s="1"/>
  <c r="AR692" i="11" s="1"/>
  <c r="AY666" i="11"/>
  <c r="BE665" i="11"/>
  <c r="BE667" i="11" s="1"/>
  <c r="BE668" i="11" s="1"/>
  <c r="AK688" i="11"/>
  <c r="BE703" i="11"/>
  <c r="BR636" i="11"/>
  <c r="AP636" i="11"/>
  <c r="AS647" i="11"/>
  <c r="AP637" i="11" s="1"/>
  <c r="BU646" i="11"/>
  <c r="AR713" i="11"/>
  <c r="AY677" i="11"/>
  <c r="BM738" i="11"/>
  <c r="AL652" i="11"/>
  <c r="AK713" i="11"/>
  <c r="BT673" i="11"/>
  <c r="AZ647" i="11"/>
  <c r="AW637" i="11" s="1"/>
  <c r="BN652" i="11"/>
  <c r="BG649" i="11"/>
  <c r="AK664" i="11" l="1"/>
  <c r="AK666" i="11" s="1"/>
  <c r="BL675" i="11"/>
  <c r="BL676" i="11" s="1"/>
  <c r="BL674" i="11"/>
  <c r="AY670" i="11"/>
  <c r="AX659" i="11"/>
  <c r="BS665" i="11"/>
  <c r="BS662" i="11"/>
  <c r="BS667" i="11" s="1"/>
  <c r="AQ661" i="11"/>
  <c r="AQ662" i="11" s="1"/>
  <c r="AQ660" i="11"/>
  <c r="AJ659" i="11"/>
  <c r="AJ660" i="11" s="1"/>
  <c r="AJ657" i="11"/>
  <c r="BM673" i="11"/>
  <c r="BM677" i="11" s="1"/>
  <c r="BF690" i="11"/>
  <c r="BF691" i="11" s="1"/>
  <c r="BF692" i="11" s="1"/>
  <c r="AJ661" i="11"/>
  <c r="BF705" i="11"/>
  <c r="AL653" i="11"/>
  <c r="AI639" i="11" s="1"/>
  <c r="AY671" i="11"/>
  <c r="AY680" i="11" s="1"/>
  <c r="AR699" i="11"/>
  <c r="AK670" i="11"/>
  <c r="AK671" i="11" s="1"/>
  <c r="BM702" i="11"/>
  <c r="BM699" i="11"/>
  <c r="BE669" i="11"/>
  <c r="BE671" i="11" s="1"/>
  <c r="BF706" i="11"/>
  <c r="AK693" i="11"/>
  <c r="AX703" i="11"/>
  <c r="BF713" i="11"/>
  <c r="BG650" i="11"/>
  <c r="BD638" i="11" s="1"/>
  <c r="AS648" i="11"/>
  <c r="BU647" i="11"/>
  <c r="BR637" i="11" s="1"/>
  <c r="BN653" i="11"/>
  <c r="BN654" i="11" s="1"/>
  <c r="AY682" i="11"/>
  <c r="BM739" i="11"/>
  <c r="BT677" i="11"/>
  <c r="BT680" i="11" s="1"/>
  <c r="AK735" i="11"/>
  <c r="AR735" i="11"/>
  <c r="AZ648" i="11"/>
  <c r="AZ649" i="11" s="1"/>
  <c r="BS668" i="11" l="1"/>
  <c r="BS669" i="11" s="1"/>
  <c r="BS672" i="11" s="1"/>
  <c r="AJ665" i="11"/>
  <c r="AJ662" i="11"/>
  <c r="BM690" i="11"/>
  <c r="BM691" i="11" s="1"/>
  <c r="BM692" i="11" s="1"/>
  <c r="AQ667" i="11"/>
  <c r="AQ668" i="11" s="1"/>
  <c r="AQ669" i="11" s="1"/>
  <c r="BL677" i="11"/>
  <c r="BL678" i="11" s="1"/>
  <c r="AK673" i="11"/>
  <c r="AK677" i="11" s="1"/>
  <c r="AS649" i="11"/>
  <c r="AX660" i="11"/>
  <c r="AY673" i="11"/>
  <c r="AL654" i="11"/>
  <c r="AL655" i="11" s="1"/>
  <c r="BF707" i="11"/>
  <c r="BF711" i="11" s="1"/>
  <c r="BF717" i="11" s="1"/>
  <c r="BF718" i="11" s="1"/>
  <c r="BK639" i="11"/>
  <c r="BE672" i="11"/>
  <c r="BE674" i="11" s="1"/>
  <c r="BM700" i="11"/>
  <c r="AR700" i="11"/>
  <c r="AK680" i="11"/>
  <c r="AK689" i="11" s="1"/>
  <c r="AK690" i="11" s="1"/>
  <c r="AK691" i="11" s="1"/>
  <c r="AK692" i="11" s="1"/>
  <c r="BF735" i="11"/>
  <c r="AK696" i="11"/>
  <c r="AQ703" i="11"/>
  <c r="AS650" i="11"/>
  <c r="AP638" i="11" s="1"/>
  <c r="BG651" i="11"/>
  <c r="BU648" i="11"/>
  <c r="AZ650" i="11"/>
  <c r="AW638" i="11" s="1"/>
  <c r="BF738" i="11"/>
  <c r="BT682" i="11"/>
  <c r="AR738" i="11"/>
  <c r="AY683" i="11"/>
  <c r="AK738" i="11"/>
  <c r="BM740" i="11"/>
  <c r="BN655" i="11"/>
  <c r="AQ672" i="11" l="1"/>
  <c r="BS675" i="11"/>
  <c r="BS674" i="11"/>
  <c r="BL679" i="11"/>
  <c r="AX661" i="11"/>
  <c r="AJ667" i="11"/>
  <c r="AJ668" i="11" s="1"/>
  <c r="AJ669" i="11" s="1"/>
  <c r="BS676" i="11"/>
  <c r="BS677" i="11" s="1"/>
  <c r="BS678" i="11" s="1"/>
  <c r="BS679" i="11" s="1"/>
  <c r="AQ675" i="11"/>
  <c r="AQ674" i="11"/>
  <c r="AQ676" i="11"/>
  <c r="AQ677" i="11" s="1"/>
  <c r="BC631" i="11"/>
  <c r="BC632" i="11"/>
  <c r="BF720" i="11"/>
  <c r="BF729" i="11" s="1"/>
  <c r="BF733" i="11" s="1"/>
  <c r="BF737" i="11" s="1"/>
  <c r="BE675" i="11"/>
  <c r="BM701" i="11"/>
  <c r="BM705" i="11" s="1"/>
  <c r="BM706" i="11" s="1"/>
  <c r="AJ672" i="11"/>
  <c r="AJ674" i="11" s="1"/>
  <c r="BG652" i="11"/>
  <c r="BG653" i="11" s="1"/>
  <c r="BG654" i="11" s="1"/>
  <c r="AR701" i="11"/>
  <c r="AR705" i="11" s="1"/>
  <c r="AR706" i="11" s="1"/>
  <c r="AS651" i="11"/>
  <c r="AS652" i="11" s="1"/>
  <c r="AS653" i="11" s="1"/>
  <c r="AK697" i="11"/>
  <c r="AK699" i="11" s="1"/>
  <c r="AK700" i="11" s="1"/>
  <c r="AK701" i="11" s="1"/>
  <c r="BU649" i="11"/>
  <c r="AZ651" i="11"/>
  <c r="AY688" i="11"/>
  <c r="AY689" i="11" s="1"/>
  <c r="AY690" i="11" s="1"/>
  <c r="AY691" i="11" s="1"/>
  <c r="AY692" i="11" s="1"/>
  <c r="BT683" i="11"/>
  <c r="BF739" i="11"/>
  <c r="AR739" i="11"/>
  <c r="AL656" i="11"/>
  <c r="AK739" i="11"/>
  <c r="BN656" i="11"/>
  <c r="AQ678" i="11" l="1"/>
  <c r="AQ679" i="11"/>
  <c r="AX665" i="11"/>
  <c r="AX667" i="11" s="1"/>
  <c r="AX668" i="11" s="1"/>
  <c r="AX669" i="11" s="1"/>
  <c r="AX672" i="11" s="1"/>
  <c r="AX662" i="11"/>
  <c r="BS682" i="11"/>
  <c r="BS681" i="11"/>
  <c r="BS680" i="11"/>
  <c r="BL680" i="11"/>
  <c r="BE676" i="11"/>
  <c r="BM707" i="11"/>
  <c r="BE677" i="11"/>
  <c r="AP639" i="11"/>
  <c r="BD639" i="11"/>
  <c r="BL688" i="11"/>
  <c r="AJ675" i="11"/>
  <c r="BG655" i="11"/>
  <c r="BL703" i="11"/>
  <c r="AR707" i="11"/>
  <c r="AO631" i="11" s="1"/>
  <c r="BS688" i="11"/>
  <c r="AJ703" i="11"/>
  <c r="AK702" i="11"/>
  <c r="BU650" i="11"/>
  <c r="AZ652" i="11"/>
  <c r="AY693" i="11"/>
  <c r="BM743" i="11"/>
  <c r="AK740" i="11"/>
  <c r="AL657" i="11"/>
  <c r="AR740" i="11"/>
  <c r="BF740" i="11"/>
  <c r="BF741" i="11" s="1"/>
  <c r="BT688" i="11"/>
  <c r="BT689" i="11" s="1"/>
  <c r="BT690" i="11" s="1"/>
  <c r="BT691" i="11" s="1"/>
  <c r="BT692" i="11" s="1"/>
  <c r="AS654" i="11"/>
  <c r="BN657" i="11"/>
  <c r="AX675" i="11" l="1"/>
  <c r="AX674" i="11"/>
  <c r="BM711" i="11"/>
  <c r="BM713" i="11" s="1"/>
  <c r="BL681" i="11"/>
  <c r="AQ681" i="11"/>
  <c r="AQ682" i="11" s="1"/>
  <c r="AQ683" i="11" s="1"/>
  <c r="AQ684" i="11" s="1"/>
  <c r="AQ685" i="11" s="1"/>
  <c r="AQ686" i="11" s="1"/>
  <c r="AQ680" i="11"/>
  <c r="BL682" i="11"/>
  <c r="BS683" i="11"/>
  <c r="AX676" i="11"/>
  <c r="AX677" i="11" s="1"/>
  <c r="AX678" i="11" s="1"/>
  <c r="BE678" i="11"/>
  <c r="AJ676" i="11"/>
  <c r="AJ677" i="11" s="1"/>
  <c r="BJ631" i="11"/>
  <c r="BJ632" i="11"/>
  <c r="BM717" i="11"/>
  <c r="BM718" i="11" s="1"/>
  <c r="AX694" i="11"/>
  <c r="BE679" i="11"/>
  <c r="BG656" i="11"/>
  <c r="BG657" i="11" s="1"/>
  <c r="BG658" i="11" s="1"/>
  <c r="BL694" i="11"/>
  <c r="BS694" i="11"/>
  <c r="AR711" i="11"/>
  <c r="AK705" i="11"/>
  <c r="AK706" i="11" s="1"/>
  <c r="BU651" i="11"/>
  <c r="AZ653" i="11"/>
  <c r="AZ654" i="11" s="1"/>
  <c r="AY696" i="11"/>
  <c r="BT693" i="11"/>
  <c r="BF742" i="11"/>
  <c r="BM744" i="11"/>
  <c r="AL658" i="11"/>
  <c r="BN658" i="11"/>
  <c r="AS655" i="11"/>
  <c r="BL683" i="11" l="1"/>
  <c r="BL684" i="11"/>
  <c r="BL685" i="11" s="1"/>
  <c r="BL686" i="11" s="1"/>
  <c r="AQ687" i="11"/>
  <c r="AX679" i="11"/>
  <c r="BE680" i="11"/>
  <c r="BE681" i="11" s="1"/>
  <c r="BS684" i="11"/>
  <c r="BS685" i="11" s="1"/>
  <c r="BS686" i="11" s="1"/>
  <c r="AJ678" i="11"/>
  <c r="BM720" i="11"/>
  <c r="BM729" i="11" s="1"/>
  <c r="BM733" i="11" s="1"/>
  <c r="BS703" i="11"/>
  <c r="AO632" i="11"/>
  <c r="AR717" i="11"/>
  <c r="AK707" i="11"/>
  <c r="AK711" i="11" s="1"/>
  <c r="AL659" i="11"/>
  <c r="BU652" i="11"/>
  <c r="AK743" i="11"/>
  <c r="BG659" i="11"/>
  <c r="BT696" i="11"/>
  <c r="AY697" i="11"/>
  <c r="AY699" i="11" s="1"/>
  <c r="AY700" i="11" s="1"/>
  <c r="AY701" i="11" s="1"/>
  <c r="BM746" i="11"/>
  <c r="BF743" i="11"/>
  <c r="AR743" i="11"/>
  <c r="BN659" i="11"/>
  <c r="BN660" i="11" s="1"/>
  <c r="AS656" i="11"/>
  <c r="AZ655" i="11"/>
  <c r="BE682" i="11" l="1"/>
  <c r="BE683" i="11"/>
  <c r="BE684" i="11" s="1"/>
  <c r="BE685" i="11" s="1"/>
  <c r="BE686" i="11" s="1"/>
  <c r="AR718" i="11"/>
  <c r="AR720" i="11" s="1"/>
  <c r="AX680" i="11"/>
  <c r="AQ688" i="11"/>
  <c r="BS687" i="11"/>
  <c r="BS695" i="11" s="1"/>
  <c r="BL687" i="11"/>
  <c r="AJ679" i="11"/>
  <c r="AJ680" i="11" s="1"/>
  <c r="BM737" i="11"/>
  <c r="BM741" i="11" s="1"/>
  <c r="BM745" i="11" s="1"/>
  <c r="BE687" i="11"/>
  <c r="BU653" i="11"/>
  <c r="BU654" i="11" s="1"/>
  <c r="BU655" i="11" s="1"/>
  <c r="BU656" i="11" s="1"/>
  <c r="AR729" i="11"/>
  <c r="AK717" i="11"/>
  <c r="AK718"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AQ694" i="11" l="1"/>
  <c r="BM742" i="11"/>
  <c r="BS696" i="11"/>
  <c r="BS697" i="11" s="1"/>
  <c r="BL695" i="11"/>
  <c r="BL696" i="11"/>
  <c r="AX681" i="11"/>
  <c r="BE688" i="11"/>
  <c r="BE694" i="11" s="1"/>
  <c r="BM747" i="11"/>
  <c r="BM748" i="11" s="1"/>
  <c r="BM763" i="11" s="1"/>
  <c r="BJ639" i="11" s="1"/>
  <c r="AJ681" i="11"/>
  <c r="AK720" i="11"/>
  <c r="AK729" i="11" s="1"/>
  <c r="BT702" i="11"/>
  <c r="BT699" i="11"/>
  <c r="BT700" i="11" s="1"/>
  <c r="BT701" i="11" s="1"/>
  <c r="AR733" i="11"/>
  <c r="BT735" i="11"/>
  <c r="BT738" i="11" s="1"/>
  <c r="BT739" i="11" s="1"/>
  <c r="BT740" i="11" s="1"/>
  <c r="AK746" i="11"/>
  <c r="BU657" i="11"/>
  <c r="BU658" i="11" s="1"/>
  <c r="AS658" i="11"/>
  <c r="AS659" i="11" s="1"/>
  <c r="AY713" i="11"/>
  <c r="AY717" i="11" s="1"/>
  <c r="AY718" i="11" s="1"/>
  <c r="AL662" i="11"/>
  <c r="BG661" i="11"/>
  <c r="AR746" i="11"/>
  <c r="BF746" i="11"/>
  <c r="BF747" i="11" s="1"/>
  <c r="AZ657" i="11"/>
  <c r="BN664" i="11"/>
  <c r="BN665" i="11" s="1"/>
  <c r="BL697" i="11" l="1"/>
  <c r="BL702" i="11" s="1"/>
  <c r="BL700" i="11"/>
  <c r="BL701" i="11" s="1"/>
  <c r="BL704" i="11"/>
  <c r="BS700" i="11"/>
  <c r="AQ695" i="11"/>
  <c r="AX682" i="11"/>
  <c r="BE695" i="11"/>
  <c r="BE696" i="11" s="1"/>
  <c r="BE697" i="11" s="1"/>
  <c r="AK733" i="11"/>
  <c r="AK737" i="11" s="1"/>
  <c r="AK741" i="11" s="1"/>
  <c r="AK745" i="11" s="1"/>
  <c r="AK747" i="11" s="1"/>
  <c r="AR737" i="11"/>
  <c r="AR741" i="11" s="1"/>
  <c r="AR745" i="11" s="1"/>
  <c r="AR747" i="11" s="1"/>
  <c r="AJ682" i="11"/>
  <c r="BT705" i="1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L706" i="11" l="1"/>
  <c r="BL707" i="11" s="1"/>
  <c r="BL712" i="11"/>
  <c r="BS723" i="11"/>
  <c r="AX683" i="11"/>
  <c r="AK742" i="11"/>
  <c r="BS701" i="11"/>
  <c r="BE700" i="11"/>
  <c r="BS702" i="11"/>
  <c r="BS704" i="11" s="1"/>
  <c r="AQ696" i="11"/>
  <c r="AQ697" i="11" s="1"/>
  <c r="AQ700" i="11" s="1"/>
  <c r="AQ701" i="11" s="1"/>
  <c r="AQ702" i="11" s="1"/>
  <c r="AR742" i="11"/>
  <c r="AR748" i="11" s="1"/>
  <c r="AJ683" i="11"/>
  <c r="AJ684" i="11" s="1"/>
  <c r="AJ685" i="11" s="1"/>
  <c r="AJ686" i="11" s="1"/>
  <c r="BT706"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BC645" i="11"/>
  <c r="BC642" i="11"/>
  <c r="BC650" i="11"/>
  <c r="BC643" i="11"/>
  <c r="BC640" i="11"/>
  <c r="BC644" i="11"/>
  <c r="BC639" i="11"/>
  <c r="BC653" i="11"/>
  <c r="BC641" i="11"/>
  <c r="BC648" i="11"/>
  <c r="BC646" i="11"/>
  <c r="BC649" i="11"/>
  <c r="BC647" i="11"/>
  <c r="BC651" i="11"/>
  <c r="BC652" i="11"/>
  <c r="BC654" i="11"/>
  <c r="BC655" i="11"/>
  <c r="BC658" i="11"/>
  <c r="BC660" i="11"/>
  <c r="AL665" i="11"/>
  <c r="BG663" i="11"/>
  <c r="AN631" i="11"/>
  <c r="AN632" i="11"/>
  <c r="AZ659" i="11"/>
  <c r="AZ660" i="11" s="1"/>
  <c r="BN676" i="11"/>
  <c r="BN677" i="11" s="1"/>
  <c r="BL709" i="11" l="1"/>
  <c r="BL710" i="11" s="1"/>
  <c r="BL711" i="11" s="1"/>
  <c r="BI632" i="11" s="1"/>
  <c r="AQ704" i="11"/>
  <c r="AR763" i="11"/>
  <c r="AO661" i="11" s="1"/>
  <c r="AO747" i="11"/>
  <c r="AO675" i="11"/>
  <c r="AO694" i="11"/>
  <c r="AO704" i="11"/>
  <c r="AO673" i="11"/>
  <c r="AO730" i="11"/>
  <c r="AO669" i="11"/>
  <c r="AO672" i="11"/>
  <c r="AO729" i="11"/>
  <c r="AO682" i="11"/>
  <c r="AO702" i="11"/>
  <c r="AO731" i="11"/>
  <c r="AO724" i="11"/>
  <c r="AO723" i="11"/>
  <c r="AO754" i="11"/>
  <c r="AO725" i="11"/>
  <c r="AO650" i="11"/>
  <c r="AO645" i="11"/>
  <c r="AO655" i="11"/>
  <c r="AO657" i="11"/>
  <c r="AO663" i="11"/>
  <c r="AO664" i="11"/>
  <c r="AO738" i="11"/>
  <c r="AO740" i="11"/>
  <c r="AO667" i="11"/>
  <c r="AO676" i="11"/>
  <c r="AO741" i="11"/>
  <c r="AO671" i="11"/>
  <c r="AO743" i="11"/>
  <c r="AO721" i="11"/>
  <c r="AO685" i="11"/>
  <c r="AO703" i="11"/>
  <c r="AO722" i="11"/>
  <c r="AO752" i="11"/>
  <c r="AO684" i="11"/>
  <c r="AO696" i="11"/>
  <c r="AO753" i="11"/>
  <c r="AO706" i="11"/>
  <c r="AO720" i="11"/>
  <c r="AO678" i="11"/>
  <c r="AO691" i="11"/>
  <c r="AO710" i="11"/>
  <c r="AO700" i="11"/>
  <c r="AO679" i="11"/>
  <c r="AO727" i="11"/>
  <c r="AO687" i="11"/>
  <c r="AO717" i="11"/>
  <c r="AO658" i="11"/>
  <c r="AO656" i="11"/>
  <c r="AO748" i="11"/>
  <c r="AO697" i="11"/>
  <c r="AO712" i="11"/>
  <c r="AO719" i="11"/>
  <c r="AO750" i="11"/>
  <c r="AO766" i="11"/>
  <c r="AO746" i="11"/>
  <c r="AO689" i="11"/>
  <c r="AO713" i="11"/>
  <c r="AO662" i="11"/>
  <c r="AO708" i="11"/>
  <c r="AO683" i="11"/>
  <c r="AO688" i="11"/>
  <c r="AO693" i="11"/>
  <c r="AO763" i="11"/>
  <c r="AO758" i="11"/>
  <c r="AO742" i="11"/>
  <c r="AO765" i="11"/>
  <c r="AO646" i="11"/>
  <c r="AO711" i="11"/>
  <c r="AO674" i="11"/>
  <c r="AO749" i="11"/>
  <c r="AO670" i="11"/>
  <c r="AO665" i="11"/>
  <c r="AO690" i="11"/>
  <c r="AO647" i="11"/>
  <c r="AO648" i="11"/>
  <c r="AO649" i="11"/>
  <c r="AO654" i="11"/>
  <c r="AO659" i="11"/>
  <c r="AO660" i="11"/>
  <c r="AO736" i="11"/>
  <c r="AO728" i="11"/>
  <c r="AO739" i="11"/>
  <c r="AO756" i="11"/>
  <c r="AO668" i="11"/>
  <c r="AO699" i="11"/>
  <c r="AO733" i="11"/>
  <c r="AO705" i="11"/>
  <c r="AO734" i="11"/>
  <c r="AO716" i="11"/>
  <c r="AO681" i="11"/>
  <c r="AO701" i="11"/>
  <c r="AO764" i="11"/>
  <c r="AO757" i="11"/>
  <c r="AO666" i="11"/>
  <c r="AO760" i="11"/>
  <c r="AO692" i="11"/>
  <c r="AO698" i="11"/>
  <c r="AO714" i="11"/>
  <c r="AO707" i="11"/>
  <c r="AO745" i="11"/>
  <c r="AO718" i="11"/>
  <c r="AO709" i="11"/>
  <c r="AO715" i="11"/>
  <c r="AO735" i="11"/>
  <c r="AO686" i="11"/>
  <c r="AO737" i="11"/>
  <c r="AO732" i="11"/>
  <c r="BT707" i="11"/>
  <c r="BT711" i="11" s="1"/>
  <c r="BT713" i="11" s="1"/>
  <c r="BT717" i="11" s="1"/>
  <c r="BT718" i="11" s="1"/>
  <c r="AQ706" i="11"/>
  <c r="AQ707" i="11" s="1"/>
  <c r="BS706" i="11"/>
  <c r="BS707" i="11" s="1"/>
  <c r="AX684" i="11"/>
  <c r="BE701" i="11"/>
  <c r="AS664" i="11"/>
  <c r="AS665" i="11" s="1"/>
  <c r="AK763" i="11"/>
  <c r="AH639" i="11" s="1"/>
  <c r="AH633" i="11"/>
  <c r="BQ631" i="11"/>
  <c r="BQ632" i="11"/>
  <c r="AJ687" i="11"/>
  <c r="AQ721" i="11"/>
  <c r="BL714" i="11"/>
  <c r="BT720" i="11"/>
  <c r="AH690" i="11"/>
  <c r="AY742" i="11"/>
  <c r="AY743" i="11" s="1"/>
  <c r="AY744" i="11" s="1"/>
  <c r="AY741" i="11"/>
  <c r="BI631" i="11"/>
  <c r="BU663" i="11"/>
  <c r="BC629" i="11"/>
  <c r="BG664" i="11"/>
  <c r="AL666" i="11"/>
  <c r="AL667" i="11" s="1"/>
  <c r="BN678" i="11"/>
  <c r="BN679" i="11" s="1"/>
  <c r="AZ661" i="11"/>
  <c r="AO751" i="11" l="1"/>
  <c r="AO759" i="11"/>
  <c r="AO726" i="11"/>
  <c r="BL713" i="11"/>
  <c r="AO677" i="11"/>
  <c r="AH684" i="11"/>
  <c r="AQ709" i="11"/>
  <c r="AO695" i="11"/>
  <c r="AO680" i="11"/>
  <c r="AO755" i="11"/>
  <c r="AO653" i="11"/>
  <c r="AO761" i="11"/>
  <c r="AO651" i="11"/>
  <c r="AO744" i="11"/>
  <c r="AO762" i="11"/>
  <c r="BS709" i="11"/>
  <c r="AO652" i="11"/>
  <c r="AO639" i="11"/>
  <c r="AO644" i="11"/>
  <c r="AO640" i="11"/>
  <c r="AO638" i="11"/>
  <c r="AO629" i="11" s="1"/>
  <c r="AO642" i="11"/>
  <c r="AO641" i="11"/>
  <c r="AO643" i="11"/>
  <c r="BE702" i="11"/>
  <c r="AQ715" i="11"/>
  <c r="AX685" i="11"/>
  <c r="AQ716" i="11"/>
  <c r="AQ723" i="11"/>
  <c r="BS717" i="11"/>
  <c r="BS718" i="11" s="1"/>
  <c r="AH740" i="1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BT729" i="11"/>
  <c r="BL715" i="11"/>
  <c r="AY746" i="11"/>
  <c r="AY745" i="11"/>
  <c r="BU664" i="11"/>
  <c r="BU665" i="11" s="1"/>
  <c r="BG665" i="11"/>
  <c r="BG666" i="11" s="1"/>
  <c r="AL668" i="11"/>
  <c r="BN680" i="11"/>
  <c r="AZ662" i="11"/>
  <c r="AZ663" i="11" s="1"/>
  <c r="AQ710" i="11" l="1"/>
  <c r="AQ711" i="11" s="1"/>
  <c r="BS710" i="11"/>
  <c r="BS711" i="11" s="1"/>
  <c r="BS719" i="11"/>
  <c r="BS722" i="11" s="1"/>
  <c r="AX686" i="11"/>
  <c r="AQ717" i="11"/>
  <c r="BE704" i="11"/>
  <c r="AJ694" i="11"/>
  <c r="AS676" i="11"/>
  <c r="AS677" i="11" s="1"/>
  <c r="AS678" i="11" s="1"/>
  <c r="AS679" i="11" s="1"/>
  <c r="AH629" i="11"/>
  <c r="BU666" i="11"/>
  <c r="BU667" i="11" s="1"/>
  <c r="BU668" i="11" s="1"/>
  <c r="BB631" i="11"/>
  <c r="BB632" i="11"/>
  <c r="BL716" i="11"/>
  <c r="BL717" i="11" s="1"/>
  <c r="BL718" i="11" s="1"/>
  <c r="BT733" i="11"/>
  <c r="AY747" i="11"/>
  <c r="BG667" i="11"/>
  <c r="AL669" i="11"/>
  <c r="AZ664" i="11"/>
  <c r="BN681" i="11"/>
  <c r="BN682" i="11" s="1"/>
  <c r="BN683" i="11" s="1"/>
  <c r="BN684" i="11" s="1"/>
  <c r="BN685" i="11" s="1"/>
  <c r="BN686" i="11" s="1"/>
  <c r="BS712" i="11" l="1"/>
  <c r="BS713" i="11" s="1"/>
  <c r="BS714" i="11" s="1"/>
  <c r="BS715" i="11" s="1"/>
  <c r="BS716" i="11" s="1"/>
  <c r="AQ712" i="11"/>
  <c r="AQ713" i="11" s="1"/>
  <c r="AQ714" i="11" s="1"/>
  <c r="BS724" i="11"/>
  <c r="AQ718" i="11"/>
  <c r="AQ722" i="11"/>
  <c r="BS725" i="11"/>
  <c r="BS726" i="11" s="1"/>
  <c r="BS727" i="11" s="1"/>
  <c r="BS728" i="11" s="1"/>
  <c r="AQ719" i="11"/>
  <c r="AX687" i="11"/>
  <c r="BE706" i="11"/>
  <c r="AJ695" i="11"/>
  <c r="AY748" i="11"/>
  <c r="AY763" i="11" s="1"/>
  <c r="AV711" i="11" s="1"/>
  <c r="BL719" i="11"/>
  <c r="AX721" i="11"/>
  <c r="BT737" i="11"/>
  <c r="BG668" i="11"/>
  <c r="BU669" i="11"/>
  <c r="AL670" i="11"/>
  <c r="AS680" i="11"/>
  <c r="AS681" i="11" s="1"/>
  <c r="AS682" i="11" s="1"/>
  <c r="AS683" i="11" s="1"/>
  <c r="AS684" i="11" s="1"/>
  <c r="AS685" i="11" s="1"/>
  <c r="AS686" i="11" s="1"/>
  <c r="BN687" i="11"/>
  <c r="BN688" i="11" s="1"/>
  <c r="BN689" i="11" s="1"/>
  <c r="BN690" i="11" s="1"/>
  <c r="BN691" i="11" s="1"/>
  <c r="BN692" i="11" s="1"/>
  <c r="BN693" i="11" s="1"/>
  <c r="BN694" i="11" s="1"/>
  <c r="AZ665" i="11"/>
  <c r="BE707" i="11" l="1"/>
  <c r="AX688" i="11"/>
  <c r="AQ724" i="11"/>
  <c r="BS729" i="11"/>
  <c r="AJ696" i="11"/>
  <c r="AJ69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L722" i="11" s="1"/>
  <c r="BT741" i="11"/>
  <c r="BT742" i="11" s="1"/>
  <c r="BT743" i="11" s="1"/>
  <c r="BT744" i="11" s="1"/>
  <c r="AX723" i="11"/>
  <c r="BU670" i="11"/>
  <c r="BG66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E712" i="11" l="1"/>
  <c r="BE709" i="11"/>
  <c r="BE714" i="11"/>
  <c r="BE715" i="11" s="1"/>
  <c r="BE716" i="11" s="1"/>
  <c r="BE717" i="11" s="1"/>
  <c r="BE718" i="11" s="1"/>
  <c r="AX695" i="11"/>
  <c r="BS730" i="11"/>
  <c r="AQ725" i="11"/>
  <c r="AJ700" i="11"/>
  <c r="AJ701" i="11" s="1"/>
  <c r="AV629" i="11"/>
  <c r="BL723" i="11"/>
  <c r="BT745" i="11"/>
  <c r="BK650" i="11"/>
  <c r="BK649" i="11"/>
  <c r="AJ721" i="11"/>
  <c r="BU671" i="11"/>
  <c r="BG67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E710" i="11" l="1"/>
  <c r="BE711" i="11" s="1"/>
  <c r="BE713" i="11" s="1"/>
  <c r="BS731" i="11"/>
  <c r="AJ702" i="11"/>
  <c r="AJ704" i="11" s="1"/>
  <c r="AX696" i="11"/>
  <c r="AJ723" i="11"/>
  <c r="AQ726" i="11"/>
  <c r="BL724" i="11"/>
  <c r="BL725" i="11" s="1"/>
  <c r="BT747" i="11"/>
  <c r="AP650" i="11"/>
  <c r="BE719" i="11"/>
  <c r="AP649" i="11"/>
  <c r="BU672" i="11"/>
  <c r="BG671" i="11"/>
  <c r="AL673" i="11"/>
  <c r="AS712" i="11"/>
  <c r="AS713" i="11" s="1"/>
  <c r="AZ668" i="11"/>
  <c r="AZ669" i="11" s="1"/>
  <c r="AZ670" i="11" s="1"/>
  <c r="AZ671" i="11" s="1"/>
  <c r="BN714" i="11"/>
  <c r="BN715" i="11" s="1"/>
  <c r="BN716" i="11" s="1"/>
  <c r="BS732" i="11" l="1"/>
  <c r="AX697" i="11"/>
  <c r="AJ706" i="11"/>
  <c r="AQ727" i="11"/>
  <c r="BL726" i="11"/>
  <c r="BL727" i="11" s="1"/>
  <c r="BT748" i="11"/>
  <c r="BQ633" i="11" s="1"/>
  <c r="BE721" i="11"/>
  <c r="BE722" i="11" s="1"/>
  <c r="BU673" i="11"/>
  <c r="BG672" i="11"/>
  <c r="AG631" i="11"/>
  <c r="AG632" i="11"/>
  <c r="AL674" i="11"/>
  <c r="BN717" i="11"/>
  <c r="BN718" i="11" s="1"/>
  <c r="AZ672" i="11"/>
  <c r="AS714" i="11"/>
  <c r="AX700" i="11" l="1"/>
  <c r="AJ707" i="11"/>
  <c r="AJ709" i="11" s="1"/>
  <c r="AJ710" i="11" s="1"/>
  <c r="BS734" i="11"/>
  <c r="AQ728" i="11"/>
  <c r="AU631" i="11"/>
  <c r="AU632" i="11"/>
  <c r="BT763" i="11"/>
  <c r="BQ660" i="11" s="1"/>
  <c r="BL728" i="11"/>
  <c r="BL729" i="11" s="1"/>
  <c r="BE723" i="11"/>
  <c r="BE724" i="11" s="1"/>
  <c r="AS715" i="11"/>
  <c r="AS716" i="11" s="1"/>
  <c r="BG673" i="11"/>
  <c r="BU674" i="11"/>
  <c r="BS751" i="11"/>
  <c r="AL675" i="11"/>
  <c r="AZ673" i="11"/>
  <c r="BN719" i="11"/>
  <c r="BN720" i="11" s="1"/>
  <c r="AQ729" i="11" l="1"/>
  <c r="BS735" i="11"/>
  <c r="AJ711" i="11"/>
  <c r="AJ712" i="11"/>
  <c r="AJ713" i="11" s="1"/>
  <c r="AX701"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AL676" i="11"/>
  <c r="BN721" i="11"/>
  <c r="BN722" i="11" s="1"/>
  <c r="BN723" i="11" s="1"/>
  <c r="AZ674" i="11"/>
  <c r="BS736" i="11" l="1"/>
  <c r="BS742" i="11"/>
  <c r="BS741" i="11"/>
  <c r="AX702" i="11"/>
  <c r="AJ714" i="11"/>
  <c r="AQ730" i="11"/>
  <c r="AS719" i="11"/>
  <c r="AS720" i="11" s="1"/>
  <c r="AS721" i="11" s="1"/>
  <c r="AS722" i="11" s="1"/>
  <c r="AS723" i="11" s="1"/>
  <c r="BQ629" i="11"/>
  <c r="BL731" i="11"/>
  <c r="BL732" i="11" s="1"/>
  <c r="BE726" i="11"/>
  <c r="BG675" i="11"/>
  <c r="BG676" i="11" s="1"/>
  <c r="BU676" i="11"/>
  <c r="AL677" i="11"/>
  <c r="BN724" i="11"/>
  <c r="BN725" i="11" s="1"/>
  <c r="BN726" i="11" s="1"/>
  <c r="BN727" i="11" s="1"/>
  <c r="BN728" i="11" s="1"/>
  <c r="BN729" i="11" s="1"/>
  <c r="AZ675" i="11"/>
  <c r="BS738" i="11" l="1"/>
  <c r="AX704" i="11"/>
  <c r="AQ731" i="11"/>
  <c r="AJ715" i="11"/>
  <c r="AS724" i="11"/>
  <c r="AS725" i="11" s="1"/>
  <c r="AS726" i="11" s="1"/>
  <c r="AS727" i="11" s="1"/>
  <c r="AS728" i="11" s="1"/>
  <c r="BG677" i="11"/>
  <c r="BG678" i="11" s="1"/>
  <c r="BL734" i="11"/>
  <c r="BE727" i="11"/>
  <c r="BU677" i="11"/>
  <c r="BU678" i="11" s="1"/>
  <c r="BU679" i="11" s="1"/>
  <c r="BP631" i="11"/>
  <c r="BP633" i="11"/>
  <c r="BP632" i="11"/>
  <c r="AL678" i="11"/>
  <c r="BN730" i="11"/>
  <c r="BN731" i="11" s="1"/>
  <c r="BN732" i="11" s="1"/>
  <c r="BN733" i="11" s="1"/>
  <c r="BN734" i="11" s="1"/>
  <c r="BN735" i="11" s="1"/>
  <c r="AZ676" i="11"/>
  <c r="AZ677" i="11" s="1"/>
  <c r="AZ678" i="11" s="1"/>
  <c r="AZ679" i="11" s="1"/>
  <c r="AZ680" i="11" s="1"/>
  <c r="BS739" i="11" l="1"/>
  <c r="AJ716" i="11"/>
  <c r="AQ732" i="11"/>
  <c r="AX706" i="11"/>
  <c r="AS729" i="11"/>
  <c r="AS730" i="11" s="1"/>
  <c r="AS731" i="11" s="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E728" i="11"/>
  <c r="BE729" i="11" s="1"/>
  <c r="AL679" i="11"/>
  <c r="BN736" i="11"/>
  <c r="BN737" i="11" s="1"/>
  <c r="AZ681" i="11"/>
  <c r="AZ682" i="11" s="1"/>
  <c r="AZ683" i="11" s="1"/>
  <c r="AZ684" i="11" s="1"/>
  <c r="AZ685" i="11" s="1"/>
  <c r="AZ686" i="11" s="1"/>
  <c r="BL738" i="11" l="1"/>
  <c r="BS740" i="11"/>
  <c r="AJ717" i="11"/>
  <c r="AX707" i="11"/>
  <c r="AX709" i="11" s="1"/>
  <c r="AX710" i="11" s="1"/>
  <c r="AQ734" i="11"/>
  <c r="AG633" i="11"/>
  <c r="BS759" i="11"/>
  <c r="BG683" i="11"/>
  <c r="BG684" i="11" s="1"/>
  <c r="BG685" i="11" s="1"/>
  <c r="BG686" i="11" s="1"/>
  <c r="BL739" i="11"/>
  <c r="BE730" i="11"/>
  <c r="BU695" i="11"/>
  <c r="BU696" i="11" s="1"/>
  <c r="BU697" i="11" s="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S743" i="11" l="1"/>
  <c r="BS744" i="11" s="1"/>
  <c r="BS746" i="11" s="1"/>
  <c r="BS747" i="11" s="1"/>
  <c r="AJ718" i="11"/>
  <c r="AQ736" i="11"/>
  <c r="AQ735" i="11"/>
  <c r="AX711" i="11"/>
  <c r="AU633" i="11"/>
  <c r="BL740" i="11"/>
  <c r="BL741" i="11" s="1"/>
  <c r="BE731" i="11"/>
  <c r="BE732" i="11" s="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Q738" i="11" l="1"/>
  <c r="BS748" i="11"/>
  <c r="AJ719" i="11"/>
  <c r="AX712" i="11"/>
  <c r="AQ742" i="11"/>
  <c r="AQ741" i="11"/>
  <c r="AJ751" i="11"/>
  <c r="AU634"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L682" i="11"/>
  <c r="AS736" i="11"/>
  <c r="AS737" i="11" s="1"/>
  <c r="AZ712" i="11"/>
  <c r="AZ713" i="11" s="1"/>
  <c r="BN763" i="11"/>
  <c r="BN764" i="11" s="1"/>
  <c r="BN765" i="11" s="1"/>
  <c r="BN766" i="11" s="1"/>
  <c r="AQ739" i="11" l="1"/>
  <c r="BS749" i="11"/>
  <c r="AX713" i="11"/>
  <c r="AU647" i="11" s="1"/>
  <c r="AJ722" i="11"/>
  <c r="AJ724" i="11" s="1"/>
  <c r="AJ725" i="11" s="1"/>
  <c r="AJ726" i="11" s="1"/>
  <c r="AU638" i="11"/>
  <c r="AU644" i="11"/>
  <c r="AU642" i="11"/>
  <c r="AU640" i="11"/>
  <c r="AU635" i="11"/>
  <c r="AU637" i="11"/>
  <c r="AU639" i="11"/>
  <c r="AU643" i="11"/>
  <c r="AU641" i="11"/>
  <c r="AU636" i="11"/>
  <c r="AU645" i="11"/>
  <c r="AU646" i="11"/>
  <c r="BE736" i="11"/>
  <c r="BE738" i="11" s="1"/>
  <c r="BE739" i="11" s="1"/>
  <c r="BE740" i="11" s="1"/>
  <c r="BU701" i="11"/>
  <c r="BU702" i="11" s="1"/>
  <c r="BL743" i="11"/>
  <c r="BL744" i="11" s="1"/>
  <c r="BK640" i="11"/>
  <c r="BK641" i="11"/>
  <c r="BK642" i="11"/>
  <c r="BK645" i="11"/>
  <c r="BK644" i="11"/>
  <c r="BK643" i="11"/>
  <c r="BK646" i="11"/>
  <c r="BK647" i="11"/>
  <c r="BK655" i="11"/>
  <c r="BK635" i="11"/>
  <c r="BK648" i="11"/>
  <c r="BK654" i="11"/>
  <c r="BK652" i="11"/>
  <c r="AN633" i="11"/>
  <c r="AN634" i="11"/>
  <c r="BG714" i="11"/>
  <c r="BG715" i="11" s="1"/>
  <c r="BG716" i="11" s="1"/>
  <c r="BG717" i="11" s="1"/>
  <c r="AN637" i="11"/>
  <c r="AN643" i="11"/>
  <c r="AN635" i="11"/>
  <c r="AN638" i="11"/>
  <c r="AN648" i="11"/>
  <c r="AN647" i="11"/>
  <c r="AN645" i="11"/>
  <c r="AN649" i="11"/>
  <c r="AN644" i="11"/>
  <c r="AN639" i="11"/>
  <c r="AN636" i="11"/>
  <c r="AN641" i="11"/>
  <c r="AN650" i="11"/>
  <c r="AN642" i="11"/>
  <c r="AN640" i="11"/>
  <c r="AN646"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S750" i="11" l="1"/>
  <c r="AQ740" i="11"/>
  <c r="BE742" i="11"/>
  <c r="BE741" i="11"/>
  <c r="AX714" i="11"/>
  <c r="AJ727" i="11"/>
  <c r="AQ747" i="11"/>
  <c r="BU703" i="11"/>
  <c r="BL746" i="11"/>
  <c r="BL747" i="11" s="1"/>
  <c r="AZ715" i="11"/>
  <c r="AZ716" i="11" s="1"/>
  <c r="BG718" i="11"/>
  <c r="AS749" i="11"/>
  <c r="AS750" i="11" s="1"/>
  <c r="AS751" i="11" s="1"/>
  <c r="AS752" i="11" s="1"/>
  <c r="AS753" i="11" s="1"/>
  <c r="AS754" i="11" s="1"/>
  <c r="AS755" i="11" s="1"/>
  <c r="AL684" i="11"/>
  <c r="BK629" i="11"/>
  <c r="AN652" i="11" l="1"/>
  <c r="AQ743" i="11"/>
  <c r="AN651" i="11"/>
  <c r="AJ728" i="11"/>
  <c r="AJ729" i="11" s="1"/>
  <c r="BS752" i="11"/>
  <c r="AX715" i="11"/>
  <c r="AX716" i="11" s="1"/>
  <c r="AJ730" i="11"/>
  <c r="BE743" i="11"/>
  <c r="AG634" i="11"/>
  <c r="AG645" i="11"/>
  <c r="AG638" i="11"/>
  <c r="AG641" i="11"/>
  <c r="AG639" i="11"/>
  <c r="AG635" i="11"/>
  <c r="AG644" i="11"/>
  <c r="AG642" i="11"/>
  <c r="AG637" i="11"/>
  <c r="AG647" i="11"/>
  <c r="AG643" i="11"/>
  <c r="AG640" i="11"/>
  <c r="AG636" i="11"/>
  <c r="AG646" i="11"/>
  <c r="BP634" i="1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53" i="11" l="1"/>
  <c r="AQ744" i="11"/>
  <c r="AJ731" i="11"/>
  <c r="BE744" i="11"/>
  <c r="AX717" i="11"/>
  <c r="BL755" i="11"/>
  <c r="BL756" i="11" s="1"/>
  <c r="BL757" i="11" s="1"/>
  <c r="BI633" i="11"/>
  <c r="BU705" i="11"/>
  <c r="AZ720" i="11"/>
  <c r="AZ721" i="11" s="1"/>
  <c r="BG720" i="11"/>
  <c r="AL686" i="11"/>
  <c r="AS763" i="11"/>
  <c r="AS764" i="11" s="1"/>
  <c r="AS765" i="11" s="1"/>
  <c r="AS766" i="11" s="1"/>
  <c r="AQ746" i="11" l="1"/>
  <c r="AQ748" i="11" s="1"/>
  <c r="AN653" i="11"/>
  <c r="BE746" i="11"/>
  <c r="BS754" i="11"/>
  <c r="AX718" i="11"/>
  <c r="AJ734" i="11"/>
  <c r="AJ732" i="11"/>
  <c r="AX719" i="11"/>
  <c r="AX722" i="11" s="1"/>
  <c r="AX724" i="11" s="1"/>
  <c r="AX725" i="11" s="1"/>
  <c r="AX726" i="11" s="1"/>
  <c r="AX727" i="11" s="1"/>
  <c r="AX728" i="11" s="1"/>
  <c r="AX729" i="11" s="1"/>
  <c r="AX730" i="11" s="1"/>
  <c r="AX731" i="11" s="1"/>
  <c r="AX732" i="11" s="1"/>
  <c r="AX734" i="11" s="1"/>
  <c r="AX735" i="11" s="1"/>
  <c r="AX736" i="11" s="1"/>
  <c r="AX738" i="11" s="1"/>
  <c r="AX739" i="11" s="1"/>
  <c r="AX740" i="11" s="1"/>
  <c r="AX741" i="11" s="1"/>
  <c r="BL758" i="11"/>
  <c r="BL759" i="11" s="1"/>
  <c r="BL760" i="11" s="1"/>
  <c r="BL761" i="11" s="1"/>
  <c r="BL762" i="11" s="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N654" i="11" l="1"/>
  <c r="AJ735" i="11"/>
  <c r="AU651" i="11"/>
  <c r="BE747" i="11"/>
  <c r="AU649" i="11"/>
  <c r="AU648" i="11"/>
  <c r="BS755" i="11"/>
  <c r="AQ749" i="11"/>
  <c r="AN656" i="11"/>
  <c r="AN655" i="11"/>
  <c r="AJ736" i="11"/>
  <c r="AX743" i="11"/>
  <c r="AX744" i="11" s="1"/>
  <c r="AX746" i="11" s="1"/>
  <c r="AX747" i="11" s="1"/>
  <c r="BP656" i="11"/>
  <c r="BP637" i="11"/>
  <c r="BP640" i="11"/>
  <c r="BP639" i="11"/>
  <c r="BP636" i="11"/>
  <c r="BP643" i="11"/>
  <c r="BP638" i="11"/>
  <c r="BP635" i="11"/>
  <c r="BP641" i="11"/>
  <c r="BP642" i="11"/>
  <c r="BP646" i="11"/>
  <c r="BP644" i="11"/>
  <c r="BP649" i="11"/>
  <c r="BP653" i="11"/>
  <c r="BP648" i="11"/>
  <c r="BP645" i="11"/>
  <c r="BP650" i="11"/>
  <c r="BP660" i="11"/>
  <c r="BP654" i="11"/>
  <c r="BP661" i="11"/>
  <c r="BP651" i="11"/>
  <c r="BP659" i="11"/>
  <c r="BP658" i="11"/>
  <c r="BP652" i="11"/>
  <c r="BP657" i="11"/>
  <c r="BP655" i="11"/>
  <c r="BL763" i="11"/>
  <c r="BU708" i="11"/>
  <c r="BU709" i="11" s="1"/>
  <c r="BU710" i="11" s="1"/>
  <c r="AZ723" i="11"/>
  <c r="AZ724" i="11" s="1"/>
  <c r="AZ725" i="11" s="1"/>
  <c r="AZ726" i="11" s="1"/>
  <c r="AZ727" i="11" s="1"/>
  <c r="AZ728" i="11" s="1"/>
  <c r="BG722" i="11"/>
  <c r="AL688" i="11"/>
  <c r="AP629" i="11"/>
  <c r="AD41" i="3" s="1"/>
  <c r="AX748" i="11" l="1"/>
  <c r="AG648" i="11"/>
  <c r="AU654" i="11"/>
  <c r="BS756" i="11"/>
  <c r="AJ738" i="11"/>
  <c r="AQ750" i="11"/>
  <c r="AU655" i="11"/>
  <c r="AU653" i="11"/>
  <c r="BE748" i="11"/>
  <c r="AJ742" i="11"/>
  <c r="AJ741" i="11"/>
  <c r="BI634" i="11"/>
  <c r="BL764" i="11"/>
  <c r="BL765" i="11" s="1"/>
  <c r="BL766" i="11" s="1"/>
  <c r="BI683" i="11" s="1"/>
  <c r="AZ729" i="11"/>
  <c r="AZ730" i="11" s="1"/>
  <c r="AZ731" i="11" s="1"/>
  <c r="AL12" i="4"/>
  <c r="D2009" i="11" s="1"/>
  <c r="E2009" i="11" s="1"/>
  <c r="BG723" i="11"/>
  <c r="BU711" i="11"/>
  <c r="AL689" i="11"/>
  <c r="AJ739" i="11" l="1"/>
  <c r="BS757" i="11"/>
  <c r="BP663" i="11" s="1"/>
  <c r="BP662" i="11"/>
  <c r="AG650" i="11"/>
  <c r="BE749" i="11"/>
  <c r="AG649" i="11"/>
  <c r="AQ751" i="11"/>
  <c r="AN657" i="11"/>
  <c r="AX749" i="11"/>
  <c r="BI639" i="1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S758" i="11" l="1"/>
  <c r="BS760" i="11" s="1"/>
  <c r="BS761" i="11" s="1"/>
  <c r="BS762" i="11" s="1"/>
  <c r="AJ740" i="11"/>
  <c r="AG651" i="11" s="1"/>
  <c r="AX750" i="11"/>
  <c r="AJ743" i="11"/>
  <c r="AJ744" i="11" s="1"/>
  <c r="AJ746" i="11" s="1"/>
  <c r="AJ747" i="11" s="1"/>
  <c r="AJ748" i="11" s="1"/>
  <c r="AJ749" i="11" s="1"/>
  <c r="AJ750" i="11" s="1"/>
  <c r="AJ752" i="11" s="1"/>
  <c r="AJ753" i="11" s="1"/>
  <c r="AJ754" i="11" s="1"/>
  <c r="AJ755" i="11" s="1"/>
  <c r="AJ756" i="11" s="1"/>
  <c r="AJ757" i="11" s="1"/>
  <c r="AJ758" i="11" s="1"/>
  <c r="AJ759" i="11" s="1"/>
  <c r="AJ760" i="11" s="1"/>
  <c r="AJ761" i="11" s="1"/>
  <c r="AJ762" i="11" s="1"/>
  <c r="BE750" i="11"/>
  <c r="BE751" i="11" s="1"/>
  <c r="BE752" i="11" s="1"/>
  <c r="BE753" i="11" s="1"/>
  <c r="BE754" i="11" s="1"/>
  <c r="BE755" i="11" s="1"/>
  <c r="AQ752" i="11"/>
  <c r="AN658" i="11"/>
  <c r="BI629" i="11"/>
  <c r="BU713" i="11"/>
  <c r="BG725" i="11"/>
  <c r="BG726" i="11" s="1"/>
  <c r="AL691" i="11"/>
  <c r="AZ734" i="11"/>
  <c r="AZ735" i="11" s="1"/>
  <c r="BS763" i="11" l="1"/>
  <c r="BS764" i="11" s="1"/>
  <c r="AX751" i="11"/>
  <c r="AG660" i="11"/>
  <c r="AG653" i="11"/>
  <c r="BP664" i="11"/>
  <c r="BP666" i="11"/>
  <c r="BP665" i="11"/>
  <c r="BP668" i="11"/>
  <c r="BP667" i="11"/>
  <c r="AQ753" i="11"/>
  <c r="BE756" i="11"/>
  <c r="AG654" i="11"/>
  <c r="AG662" i="11"/>
  <c r="AG663" i="11"/>
  <c r="AG665" i="11"/>
  <c r="AG657" i="11"/>
  <c r="AG652" i="11"/>
  <c r="AG666" i="11"/>
  <c r="AG658" i="11"/>
  <c r="AG655" i="11"/>
  <c r="AG656" i="11"/>
  <c r="AG664" i="11"/>
  <c r="AG667" i="11"/>
  <c r="AJ763" i="11"/>
  <c r="AG661" i="11"/>
  <c r="BU714" i="11"/>
  <c r="BG727" i="11"/>
  <c r="BG728" i="11" s="1"/>
  <c r="AL692" i="11"/>
  <c r="AZ736" i="11"/>
  <c r="AZ737" i="11" s="1"/>
  <c r="BS765" i="11" l="1"/>
  <c r="BS766" i="11" s="1"/>
  <c r="BP669" i="11"/>
  <c r="AQ754" i="11"/>
  <c r="AX752" i="11"/>
  <c r="AJ764" i="11"/>
  <c r="BE757" i="1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P670" i="11" l="1"/>
  <c r="BP647" i="11"/>
  <c r="BP686" i="11"/>
  <c r="BP681" i="11"/>
  <c r="BP704" i="11"/>
  <c r="BP705" i="11"/>
  <c r="BP742" i="11"/>
  <c r="BP759" i="11"/>
  <c r="BP752" i="11"/>
  <c r="BP673" i="11"/>
  <c r="BP695" i="11"/>
  <c r="BP688" i="11"/>
  <c r="BP741" i="11"/>
  <c r="BP731" i="11"/>
  <c r="BP698" i="11"/>
  <c r="BP708" i="11"/>
  <c r="BP701" i="11"/>
  <c r="BP743" i="11"/>
  <c r="BP738" i="11"/>
  <c r="BP724" i="11"/>
  <c r="BP725" i="11"/>
  <c r="BP736" i="11"/>
  <c r="BP732" i="11"/>
  <c r="BP710" i="11"/>
  <c r="BP722" i="11"/>
  <c r="BP697" i="11"/>
  <c r="BP692" i="11"/>
  <c r="BP703" i="11"/>
  <c r="BP689" i="11"/>
  <c r="BP728" i="11"/>
  <c r="BP746" i="11"/>
  <c r="BP718" i="11"/>
  <c r="BP748" i="11"/>
  <c r="BP756" i="11"/>
  <c r="BP735" i="11"/>
  <c r="BP737" i="11"/>
  <c r="BP696" i="11"/>
  <c r="BP747" i="11"/>
  <c r="BP687" i="11"/>
  <c r="BP682" i="11"/>
  <c r="BP702" i="11"/>
  <c r="BP683" i="11"/>
  <c r="BP685" i="11"/>
  <c r="BP739" i="11"/>
  <c r="BP709" i="11"/>
  <c r="BP727" i="11"/>
  <c r="BP753" i="11"/>
  <c r="BP690" i="11"/>
  <c r="BP684" i="11"/>
  <c r="BP766" i="11"/>
  <c r="BP699" i="11"/>
  <c r="BP713" i="11"/>
  <c r="BP740" i="11"/>
  <c r="BP680" i="11"/>
  <c r="BP672" i="11"/>
  <c r="BP758" i="11"/>
  <c r="BP720" i="11"/>
  <c r="BP714" i="11"/>
  <c r="BP761" i="11"/>
  <c r="BP763" i="11"/>
  <c r="AJ765" i="11"/>
  <c r="BP693" i="11"/>
  <c r="BP749" i="11"/>
  <c r="BP677" i="11"/>
  <c r="BP730" i="11"/>
  <c r="BP729" i="11"/>
  <c r="BP723" i="11"/>
  <c r="BP719" i="11"/>
  <c r="BP717" i="11"/>
  <c r="BP721" i="11"/>
  <c r="BP707" i="11"/>
  <c r="BP726" i="11"/>
  <c r="BE758" i="11"/>
  <c r="AX753" i="11"/>
  <c r="AQ755" i="11"/>
  <c r="BP755" i="11"/>
  <c r="BP760" i="11"/>
  <c r="BP751" i="11"/>
  <c r="BP675" i="11"/>
  <c r="BP711" i="11"/>
  <c r="BP734" i="11"/>
  <c r="BP757" i="11"/>
  <c r="BP764" i="11"/>
  <c r="BP762" i="11"/>
  <c r="BP679" i="11"/>
  <c r="BP674" i="11"/>
  <c r="BP691" i="11"/>
  <c r="BP715" i="11"/>
  <c r="BP676" i="11"/>
  <c r="BP733" i="11"/>
  <c r="BP671" i="11"/>
  <c r="BP700" i="11"/>
  <c r="BP706" i="11"/>
  <c r="BP678" i="11"/>
  <c r="BP765" i="11"/>
  <c r="BP694" i="11"/>
  <c r="BP744" i="11"/>
  <c r="BP712" i="11"/>
  <c r="BP745" i="11"/>
  <c r="BP754" i="11"/>
  <c r="BP750" i="11"/>
  <c r="BP716" i="1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X754" i="11" l="1"/>
  <c r="AQ756" i="11"/>
  <c r="AQ757" i="11" s="1"/>
  <c r="AQ758" i="11" s="1"/>
  <c r="AQ760" i="11" s="1"/>
  <c r="AQ761" i="11" s="1"/>
  <c r="AQ762" i="11" s="1"/>
  <c r="AQ763" i="11" s="1"/>
  <c r="AQ764" i="11" s="1"/>
  <c r="AQ765" i="11" s="1"/>
  <c r="AQ766" i="11" s="1"/>
  <c r="BE760" i="11"/>
  <c r="AJ766" i="11"/>
  <c r="AG694" i="11" s="1"/>
  <c r="AG764" i="11"/>
  <c r="AG722" i="11"/>
  <c r="AG729" i="11"/>
  <c r="AG743" i="11"/>
  <c r="AG754" i="11"/>
  <c r="AG720" i="11"/>
  <c r="AG748" i="11"/>
  <c r="AG749" i="11"/>
  <c r="AG758" i="11"/>
  <c r="BP629" i="11"/>
  <c r="BB646" i="11"/>
  <c r="BB640" i="11"/>
  <c r="BB662" i="11"/>
  <c r="BB639" i="11"/>
  <c r="BB636" i="11"/>
  <c r="BB637" i="11"/>
  <c r="BB638" i="11"/>
  <c r="BB635" i="11"/>
  <c r="BB634" i="11"/>
  <c r="BB642" i="11"/>
  <c r="BB643" i="11"/>
  <c r="BB644" i="11"/>
  <c r="BB645" i="11"/>
  <c r="BB641" i="11"/>
  <c r="BB652" i="11"/>
  <c r="BB657" i="11"/>
  <c r="BB659" i="11"/>
  <c r="BB654" i="11"/>
  <c r="BB664" i="11"/>
  <c r="BB660" i="11"/>
  <c r="BB650" i="11"/>
  <c r="BB661" i="11"/>
  <c r="BB653" i="11"/>
  <c r="BB656" i="11"/>
  <c r="BB655" i="11"/>
  <c r="BB663" i="11"/>
  <c r="BB648" i="11"/>
  <c r="BB647" i="11"/>
  <c r="BB651" i="11"/>
  <c r="BB658" i="11"/>
  <c r="BB665" i="11"/>
  <c r="BB649" i="11"/>
  <c r="AL741" i="11"/>
  <c r="AL742" i="11" s="1"/>
  <c r="BU717" i="11"/>
  <c r="BG731" i="11"/>
  <c r="BG732" i="11" s="1"/>
  <c r="AZ763" i="11"/>
  <c r="AG760" i="11" l="1"/>
  <c r="AG733" i="11"/>
  <c r="AG762" i="11"/>
  <c r="AG723" i="11"/>
  <c r="AG711" i="11"/>
  <c r="AG750" i="11"/>
  <c r="AG708" i="11"/>
  <c r="AG734" i="11"/>
  <c r="AG719" i="11"/>
  <c r="AG710" i="11"/>
  <c r="AG693" i="11"/>
  <c r="AG745" i="11"/>
  <c r="AG715" i="11"/>
  <c r="AG725" i="11"/>
  <c r="AG732" i="11"/>
  <c r="AG735" i="11"/>
  <c r="AG700" i="11"/>
  <c r="AG705" i="11"/>
  <c r="AG721" i="11"/>
  <c r="AG717" i="11"/>
  <c r="AG757" i="11"/>
  <c r="AG756" i="11"/>
  <c r="AG692" i="11"/>
  <c r="AG728" i="11"/>
  <c r="AG724" i="11"/>
  <c r="AG703" i="11"/>
  <c r="AG727" i="11"/>
  <c r="AG738" i="11"/>
  <c r="AG747" i="11"/>
  <c r="AG742" i="11"/>
  <c r="AN748" i="11"/>
  <c r="AN701" i="11"/>
  <c r="AN677" i="11"/>
  <c r="AN667" i="11"/>
  <c r="AN690" i="11"/>
  <c r="AN688" i="11"/>
  <c r="AN679" i="11"/>
  <c r="AN671" i="11"/>
  <c r="AN668" i="11"/>
  <c r="AN684" i="11"/>
  <c r="AN680" i="11"/>
  <c r="AN764" i="11"/>
  <c r="AN676" i="11"/>
  <c r="AN670" i="11"/>
  <c r="AN689" i="11"/>
  <c r="AN698" i="11"/>
  <c r="AN681" i="11"/>
  <c r="AN692" i="11"/>
  <c r="AN660" i="11"/>
  <c r="AN682" i="11"/>
  <c r="AN665" i="11"/>
  <c r="AN672" i="11"/>
  <c r="AN752" i="11"/>
  <c r="AN691" i="11"/>
  <c r="AN696" i="11"/>
  <c r="AN693" i="11"/>
  <c r="AN659" i="11"/>
  <c r="AN673" i="11"/>
  <c r="AN669" i="11"/>
  <c r="AN663" i="11"/>
  <c r="AN674" i="11"/>
  <c r="AN683" i="11"/>
  <c r="AN694" i="11"/>
  <c r="AN700" i="11"/>
  <c r="AN715" i="11"/>
  <c r="AN762" i="11"/>
  <c r="AN746" i="11"/>
  <c r="AN756" i="11"/>
  <c r="AN713" i="11"/>
  <c r="AN720" i="11"/>
  <c r="AN736" i="11"/>
  <c r="AN729" i="11"/>
  <c r="AN750" i="11"/>
  <c r="AN699" i="11"/>
  <c r="AN761" i="11"/>
  <c r="AN702" i="11"/>
  <c r="AN721" i="11"/>
  <c r="AN732" i="11"/>
  <c r="AN740" i="11"/>
  <c r="AN741" i="11"/>
  <c r="AN687" i="11"/>
  <c r="AN765" i="11"/>
  <c r="AN717" i="11"/>
  <c r="AN666" i="11"/>
  <c r="AN734" i="11"/>
  <c r="AN738" i="11"/>
  <c r="AN744" i="11"/>
  <c r="AN742" i="11"/>
  <c r="AN724" i="11"/>
  <c r="AN760" i="11"/>
  <c r="AN685" i="11"/>
  <c r="AN678" i="11"/>
  <c r="AN735" i="11"/>
  <c r="AN710" i="11"/>
  <c r="AN664" i="11"/>
  <c r="AN745" i="11"/>
  <c r="AN722" i="11"/>
  <c r="AN675" i="11"/>
  <c r="AN711" i="11"/>
  <c r="AN661" i="11"/>
  <c r="AN705" i="11"/>
  <c r="AN695" i="11"/>
  <c r="AN686" i="11"/>
  <c r="AN743" i="11"/>
  <c r="AN726" i="11"/>
  <c r="AN737" i="11"/>
  <c r="AN662" i="11"/>
  <c r="AN712" i="11"/>
  <c r="AN751" i="11"/>
  <c r="AN704" i="11"/>
  <c r="AN697" i="11"/>
  <c r="AN725" i="11"/>
  <c r="AN703" i="11"/>
  <c r="AN766" i="11"/>
  <c r="AN749" i="11"/>
  <c r="AN709" i="11"/>
  <c r="AN757" i="11"/>
  <c r="AN763" i="11"/>
  <c r="AN754" i="11"/>
  <c r="AN727" i="11"/>
  <c r="AN707" i="11"/>
  <c r="AN733" i="11"/>
  <c r="AN747" i="11"/>
  <c r="AN718" i="11"/>
  <c r="AN739" i="11"/>
  <c r="AN731" i="11"/>
  <c r="AN758" i="11"/>
  <c r="AN719" i="11"/>
  <c r="AN723" i="11"/>
  <c r="AN730" i="11"/>
  <c r="AN755" i="11"/>
  <c r="AN716" i="11"/>
  <c r="AN753" i="11"/>
  <c r="AN708" i="11"/>
  <c r="AN714" i="11"/>
  <c r="AN759" i="11"/>
  <c r="AN728" i="11"/>
  <c r="AN706" i="11"/>
  <c r="AG739" i="11"/>
  <c r="BE761" i="11"/>
  <c r="BE762" i="11" s="1"/>
  <c r="AX755" i="11"/>
  <c r="AG740" i="11"/>
  <c r="AG744" i="11"/>
  <c r="AG714" i="11"/>
  <c r="AG680" i="11"/>
  <c r="AG659" i="11"/>
  <c r="AG685" i="11"/>
  <c r="AG687" i="11"/>
  <c r="AG688" i="11"/>
  <c r="AG682" i="11"/>
  <c r="AG671" i="11"/>
  <c r="AG672" i="11"/>
  <c r="AG684" i="11"/>
  <c r="AG678" i="11"/>
  <c r="AG669" i="11"/>
  <c r="AG674" i="11"/>
  <c r="AG677" i="11"/>
  <c r="AG683" i="11"/>
  <c r="AG679" i="11"/>
  <c r="AG670" i="11"/>
  <c r="AG681" i="11"/>
  <c r="AG673" i="11"/>
  <c r="AG676" i="11"/>
  <c r="AG675" i="11"/>
  <c r="AG686" i="11"/>
  <c r="AG668" i="11"/>
  <c r="AG690" i="11"/>
  <c r="AG689" i="11"/>
  <c r="AG691" i="11"/>
  <c r="AG696" i="11"/>
  <c r="AG707" i="11"/>
  <c r="AG718" i="11"/>
  <c r="AG752" i="11"/>
  <c r="AG731" i="11"/>
  <c r="AG746" i="11"/>
  <c r="AG699" i="11"/>
  <c r="AG753" i="11"/>
  <c r="AG741" i="11"/>
  <c r="AG765" i="11"/>
  <c r="AG706" i="11"/>
  <c r="AG766" i="11"/>
  <c r="AG716" i="11"/>
  <c r="AG761" i="11"/>
  <c r="AG755" i="11"/>
  <c r="AG751" i="11"/>
  <c r="AG726" i="11"/>
  <c r="AG730" i="11"/>
  <c r="AG737" i="11"/>
  <c r="AG763" i="11"/>
  <c r="AG736" i="11"/>
  <c r="AG712" i="11"/>
  <c r="AG701" i="11"/>
  <c r="AG698" i="11"/>
  <c r="AG713" i="11"/>
  <c r="AG697" i="11"/>
  <c r="AG695" i="11"/>
  <c r="AG702" i="11"/>
  <c r="AG704" i="11"/>
  <c r="AG759" i="11"/>
  <c r="AG709" i="11"/>
  <c r="BU718" i="11"/>
  <c r="AL743" i="11"/>
  <c r="BG733" i="11"/>
  <c r="AZ764" i="11"/>
  <c r="AZ765" i="11" s="1"/>
  <c r="AZ766" i="11" s="1"/>
  <c r="AG629" i="11" l="1"/>
  <c r="BE763" i="11"/>
  <c r="BE764" i="11" s="1"/>
  <c r="AN629" i="11"/>
  <c r="BB668" i="11"/>
  <c r="BB666" i="11"/>
  <c r="BB667" i="11"/>
  <c r="AX756" i="11"/>
  <c r="AW639" i="1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E765" i="11" l="1"/>
  <c r="BE766" i="11" s="1"/>
  <c r="BB687" i="11" s="1"/>
  <c r="BB733" i="11"/>
  <c r="BB680" i="11"/>
  <c r="BB704" i="11"/>
  <c r="BB691" i="11"/>
  <c r="BB753" i="11"/>
  <c r="BB685" i="11"/>
  <c r="BB701" i="11"/>
  <c r="BB721" i="11"/>
  <c r="BB677" i="11"/>
  <c r="BB734" i="11"/>
  <c r="BB688" i="11"/>
  <c r="BB713" i="11"/>
  <c r="BB694" i="11"/>
  <c r="BB719" i="11"/>
  <c r="BB682" i="11"/>
  <c r="BB673" i="11"/>
  <c r="BB692" i="11"/>
  <c r="BB686" i="11"/>
  <c r="BB690" i="11"/>
  <c r="BB722" i="11"/>
  <c r="BB742" i="11"/>
  <c r="BB674" i="11"/>
  <c r="BB744" i="11"/>
  <c r="BB693" i="11"/>
  <c r="BB764" i="11"/>
  <c r="BB679" i="11"/>
  <c r="BB698" i="11"/>
  <c r="BB711" i="11"/>
  <c r="BB683" i="11"/>
  <c r="BB672" i="11"/>
  <c r="BB714" i="11"/>
  <c r="BB752" i="11"/>
  <c r="BB717" i="11"/>
  <c r="BB699" i="11"/>
  <c r="BB747" i="11"/>
  <c r="BB726" i="11"/>
  <c r="BB681" i="11"/>
  <c r="BB735" i="11"/>
  <c r="BB756" i="11"/>
  <c r="BB727" i="11"/>
  <c r="BB766" i="11"/>
  <c r="BB759" i="11"/>
  <c r="BB696" i="11"/>
  <c r="BB676" i="11"/>
  <c r="BB697" i="11"/>
  <c r="BB730" i="11"/>
  <c r="BB728" i="11"/>
  <c r="BB736" i="11"/>
  <c r="BB710" i="11"/>
  <c r="BB678" i="11"/>
  <c r="BB761" i="11"/>
  <c r="BB724" i="11"/>
  <c r="BB700" i="11"/>
  <c r="BB750" i="11"/>
  <c r="BB715" i="11"/>
  <c r="BB762" i="11"/>
  <c r="BB763" i="11"/>
  <c r="BB705" i="11"/>
  <c r="BB671" i="11"/>
  <c r="BB669" i="11"/>
  <c r="BB765" i="11"/>
  <c r="BB707" i="11"/>
  <c r="BB725" i="11"/>
  <c r="BB739" i="11"/>
  <c r="BB741" i="11"/>
  <c r="BB743" i="11"/>
  <c r="BB695" i="11"/>
  <c r="BB755" i="11"/>
  <c r="BB748" i="11"/>
  <c r="BB706" i="11"/>
  <c r="BB729" i="11"/>
  <c r="BB732" i="11"/>
  <c r="BB758" i="11"/>
  <c r="BB751" i="11"/>
  <c r="BB702" i="11"/>
  <c r="BB749" i="11"/>
  <c r="BB689" i="11"/>
  <c r="BB675" i="11"/>
  <c r="BB718" i="11"/>
  <c r="BB684" i="11"/>
  <c r="BB712" i="11"/>
  <c r="BB731" i="11"/>
  <c r="BB709" i="11"/>
  <c r="BB723" i="11"/>
  <c r="BB746" i="11"/>
  <c r="BB720" i="11"/>
  <c r="BB716" i="11"/>
  <c r="AX757" i="11"/>
  <c r="BB737" i="11"/>
  <c r="BU720" i="11"/>
  <c r="BG735" i="11"/>
  <c r="BG736" i="11" s="1"/>
  <c r="AL745" i="11"/>
  <c r="AW629" i="11"/>
  <c r="BB745" i="11" l="1"/>
  <c r="BB760" i="11"/>
  <c r="BB740" i="11"/>
  <c r="BB708" i="11"/>
  <c r="BB670" i="11"/>
  <c r="BB629" i="11" s="1"/>
  <c r="AX758" i="11"/>
  <c r="BB703" i="11"/>
  <c r="BB738" i="11"/>
  <c r="BB754" i="11"/>
  <c r="BB757" i="11"/>
  <c r="BU721" i="1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AX759" i="11" l="1"/>
  <c r="AX760" i="11" s="1"/>
  <c r="AX761" i="11" s="1"/>
  <c r="AX762" i="11" s="1"/>
  <c r="AX763" i="11" s="1"/>
  <c r="BU722" i="11"/>
  <c r="BU723" i="11" s="1"/>
  <c r="BU724" i="11" s="1"/>
  <c r="BU725" i="11" s="1"/>
  <c r="BU726" i="11" s="1"/>
  <c r="BU727" i="11" s="1"/>
  <c r="BU728" i="11" s="1"/>
  <c r="BU729" i="11" s="1"/>
  <c r="BU730" i="11" s="1"/>
  <c r="BU731" i="11" s="1"/>
  <c r="BU732" i="11" s="1"/>
  <c r="BU733" i="11" s="1"/>
  <c r="BU734" i="11" s="1"/>
  <c r="BU735" i="11" s="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AX764" i="11" l="1"/>
  <c r="AX765" i="11" s="1"/>
  <c r="AX766" i="11" s="1"/>
  <c r="BU736" i="11"/>
  <c r="BU737" i="11" s="1"/>
  <c r="AL748" i="11"/>
  <c r="BD629" i="11"/>
  <c r="AU650" i="11" l="1"/>
  <c r="AU652" i="11"/>
  <c r="AU675" i="11"/>
  <c r="AU671" i="11"/>
  <c r="AU656" i="11"/>
  <c r="AU672" i="11"/>
  <c r="AU660" i="11"/>
  <c r="AU670" i="11"/>
  <c r="AU669" i="11"/>
  <c r="AU658" i="11"/>
  <c r="AU674" i="11"/>
  <c r="AU673" i="11"/>
  <c r="AU657" i="11"/>
  <c r="AU668" i="11"/>
  <c r="AU663" i="11"/>
  <c r="AU659" i="11"/>
  <c r="AU667" i="11"/>
  <c r="AU664" i="11"/>
  <c r="AU665" i="11"/>
  <c r="AU662" i="11"/>
  <c r="AU661" i="11"/>
  <c r="AU666" i="11"/>
  <c r="AU677" i="11"/>
  <c r="AU696" i="11"/>
  <c r="AU676" i="11"/>
  <c r="AU684" i="11"/>
  <c r="AU678" i="11"/>
  <c r="AU680" i="11"/>
  <c r="AU679" i="11"/>
  <c r="AU687" i="11"/>
  <c r="AU694" i="11"/>
  <c r="AU697" i="11"/>
  <c r="AU742" i="11"/>
  <c r="AU704" i="11"/>
  <c r="AU681" i="11"/>
  <c r="AU692" i="11"/>
  <c r="AU719" i="11"/>
  <c r="AU762" i="11"/>
  <c r="AU686" i="11"/>
  <c r="AU682" i="11"/>
  <c r="AU688" i="11"/>
  <c r="AU702" i="11"/>
  <c r="AU690" i="11"/>
  <c r="AU700" i="11"/>
  <c r="AU695" i="11"/>
  <c r="AU689" i="11"/>
  <c r="AU683" i="11"/>
  <c r="AU693" i="11"/>
  <c r="AU691" i="11"/>
  <c r="AU698" i="11"/>
  <c r="AU685" i="11"/>
  <c r="AU706" i="11"/>
  <c r="AU765" i="11"/>
  <c r="AU705" i="11"/>
  <c r="AU728" i="11"/>
  <c r="AU763" i="11"/>
  <c r="AU753" i="11"/>
  <c r="AU758" i="11"/>
  <c r="AU734" i="11"/>
  <c r="AU722" i="11"/>
  <c r="AU760" i="11"/>
  <c r="AU703" i="11"/>
  <c r="AU715" i="11"/>
  <c r="AU751" i="11"/>
  <c r="AU701" i="11"/>
  <c r="AU732" i="11"/>
  <c r="AU707" i="11"/>
  <c r="AU743" i="11"/>
  <c r="AU740" i="11"/>
  <c r="AU699" i="11"/>
  <c r="AU729" i="11"/>
  <c r="AU714" i="11"/>
  <c r="AU754" i="11"/>
  <c r="AU708" i="11"/>
  <c r="AU764" i="11"/>
  <c r="AU710" i="11"/>
  <c r="AU745" i="11"/>
  <c r="AU757" i="11"/>
  <c r="AU716" i="11"/>
  <c r="AU759" i="11"/>
  <c r="AU731" i="11"/>
  <c r="AU724" i="11"/>
  <c r="AU711" i="11"/>
  <c r="AU713" i="11"/>
  <c r="AU741" i="11"/>
  <c r="AU735" i="11"/>
  <c r="AU748" i="11"/>
  <c r="AU739" i="11"/>
  <c r="AU766" i="11"/>
  <c r="AU629" i="11" s="1"/>
  <c r="AU744" i="11"/>
  <c r="AU752" i="11"/>
  <c r="AU736" i="11"/>
  <c r="AU749" i="11"/>
  <c r="AU726" i="11"/>
  <c r="AU746" i="11"/>
  <c r="AU738" i="11"/>
  <c r="AU737" i="11"/>
  <c r="AU727" i="11"/>
  <c r="AU720" i="11"/>
  <c r="AU723" i="11"/>
  <c r="AU747" i="11"/>
  <c r="AU756" i="11"/>
  <c r="AU761" i="11"/>
  <c r="AU721" i="11"/>
  <c r="AU725" i="11"/>
  <c r="AU730" i="11"/>
  <c r="AU750" i="11"/>
  <c r="AU755" i="11"/>
  <c r="AU717" i="11"/>
  <c r="AU709" i="11"/>
  <c r="AU718" i="11"/>
  <c r="AU733" i="11"/>
  <c r="AU712" i="11"/>
  <c r="BU738" i="11"/>
  <c r="BR639" i="11"/>
  <c r="BR640" i="11"/>
  <c r="BR641" i="11"/>
  <c r="BR642" i="11"/>
  <c r="BR643" i="11"/>
  <c r="BR645" i="11"/>
  <c r="BR644" i="11"/>
  <c r="BR646" i="11"/>
  <c r="BR647" i="11"/>
  <c r="BR648" i="11"/>
  <c r="BR651" i="11"/>
  <c r="BR650" i="11"/>
  <c r="BR649" i="11"/>
  <c r="BR652" i="11"/>
  <c r="BR653" i="11"/>
  <c r="BR654" i="11"/>
  <c r="BR655" i="11"/>
  <c r="BR657" i="11"/>
  <c r="BR656" i="11"/>
  <c r="BR658" i="11"/>
  <c r="AL749" i="11"/>
  <c r="BU739" i="11" l="1"/>
  <c r="BU740" i="11"/>
  <c r="AL750" i="11"/>
  <c r="BU741" i="11" l="1"/>
  <c r="BU742" i="11" s="1"/>
  <c r="AL751" i="11"/>
  <c r="BU743" i="11" l="1"/>
  <c r="AL752" i="11"/>
  <c r="BU744" i="11" l="1"/>
  <c r="AL753" i="11"/>
  <c r="BU745" i="11" l="1"/>
  <c r="BU746" i="11"/>
  <c r="AL754" i="11"/>
  <c r="AL755" i="11" s="1"/>
  <c r="AL756" i="11" s="1"/>
  <c r="AL757" i="11" s="1"/>
  <c r="AL758" i="11" s="1"/>
  <c r="AL759" i="11" s="1"/>
  <c r="AL760" i="11" s="1"/>
  <c r="AL761" i="11" s="1"/>
  <c r="AL762" i="11" s="1"/>
  <c r="AL763" i="11" s="1"/>
  <c r="AL764" i="11" s="1"/>
  <c r="AL765" i="11" s="1"/>
  <c r="AL766" i="11" s="1"/>
  <c r="BU747" i="11" l="1"/>
  <c r="BU748" i="11" s="1"/>
  <c r="BR659" i="11"/>
  <c r="BR660" i="11"/>
  <c r="BU749" i="11"/>
  <c r="BU750" i="11" s="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AI629" i="11"/>
  <c r="AD40" i="3" s="1"/>
  <c r="BU752" i="11" l="1"/>
  <c r="BU753" i="11" s="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C2043" i="11"/>
  <c r="C2046" i="11"/>
  <c r="C2027" i="11"/>
  <c r="C2028" i="11"/>
  <c r="C2032" i="11"/>
  <c r="C2026" i="11"/>
  <c r="C2024" i="11"/>
  <c r="C2025" i="11"/>
  <c r="E2008" i="11"/>
  <c r="C2008" i="11"/>
  <c r="BU755" i="11" l="1"/>
  <c r="BU756"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G829" i="26"/>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17" i="11" s="1"/>
  <c r="BR727" i="11"/>
  <c r="O16" i="25"/>
  <c r="AL29" i="25"/>
  <c r="AD21" i="25" s="1"/>
  <c r="I656" i="26"/>
  <c r="AD44" i="5" s="1"/>
  <c r="F656" i="26"/>
  <c r="G656" i="26" s="1"/>
  <c r="AJ43" i="5" s="1"/>
  <c r="BR638" i="11" l="1"/>
  <c r="BR665" i="11"/>
  <c r="BR667" i="11"/>
  <c r="BR664" i="11"/>
  <c r="BR670" i="11"/>
  <c r="BR661" i="11"/>
  <c r="BR663" i="11"/>
  <c r="BR662" i="11"/>
  <c r="BR666" i="11"/>
  <c r="BR673" i="11"/>
  <c r="BR672" i="11"/>
  <c r="BR669" i="11"/>
  <c r="BR671" i="11"/>
  <c r="BR668" i="11"/>
  <c r="BR675" i="11"/>
  <c r="BR674" i="11"/>
  <c r="BR677" i="11"/>
  <c r="BR676" i="11"/>
  <c r="BR679" i="11"/>
  <c r="BR690" i="11"/>
  <c r="BR678" i="11"/>
  <c r="BR706" i="11"/>
  <c r="BR685" i="11"/>
  <c r="BR680" i="11"/>
  <c r="BR691" i="11"/>
  <c r="BR711" i="11"/>
  <c r="BR698" i="11"/>
  <c r="BR681" i="11"/>
  <c r="BR699" i="11"/>
  <c r="BR707" i="11"/>
  <c r="BR709" i="11"/>
  <c r="BR694" i="11"/>
  <c r="BR713" i="11"/>
  <c r="BR695" i="11"/>
  <c r="BR712" i="11"/>
  <c r="BR693" i="11"/>
  <c r="BR708" i="11"/>
  <c r="BR686" i="11"/>
  <c r="BR704" i="11"/>
  <c r="BR714" i="11"/>
  <c r="BR702" i="11"/>
  <c r="BR687" i="11"/>
  <c r="BR701" i="11"/>
  <c r="BR682" i="11"/>
  <c r="BR697" i="11"/>
  <c r="BR703" i="11"/>
  <c r="BR683" i="11"/>
  <c r="BR715" i="11"/>
  <c r="BR692" i="11"/>
  <c r="BR688" i="11"/>
  <c r="BR689" i="11"/>
  <c r="BR705" i="11"/>
  <c r="BR710" i="11"/>
  <c r="BR716" i="11"/>
  <c r="BR696" i="11"/>
  <c r="BR684" i="11"/>
  <c r="BR700" i="11"/>
  <c r="E29" i="5"/>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W93" i="3" s="1"/>
  <c r="AA93" i="9"/>
  <c r="AN91" i="9" s="1"/>
  <c r="BH47" i="4"/>
  <c r="Z72" i="14"/>
  <c r="V62" i="3"/>
  <c r="L1052" i="11"/>
  <c r="AK21" i="8"/>
  <c r="AK19" i="8"/>
  <c r="AK17" i="8"/>
  <c r="W62" i="18"/>
  <c r="AR11" i="2" l="1"/>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AP91" i="9"/>
  <c r="AS4" i="9" s="1"/>
  <c r="AT4" i="9" s="1"/>
  <c r="AR91" i="9"/>
  <c r="AS6" i="9" s="1"/>
  <c r="AT6" i="9" s="1"/>
  <c r="AQ91" i="9"/>
  <c r="AS5" i="9" s="1"/>
  <c r="AT5" i="9" s="1"/>
  <c r="AO91" i="9"/>
  <c r="AS3" i="9" s="1"/>
  <c r="AT3" i="9" s="1"/>
  <c r="D33" i="4" l="1"/>
  <c r="C32" i="4" s="1"/>
  <c r="F31" i="4"/>
  <c r="AS11" i="2"/>
  <c r="G11" i="2" s="1"/>
  <c r="AT11" i="2"/>
  <c r="AO20" i="2" s="1"/>
  <c r="H16" i="2"/>
  <c r="R14" i="10"/>
  <c r="W36" i="3"/>
  <c r="W30" i="3"/>
  <c r="AA30" i="3" s="1"/>
  <c r="U754" i="11"/>
  <c r="F23" i="4"/>
  <c r="F13" i="10"/>
  <c r="AO22" i="2"/>
  <c r="AQ22" i="2" s="1"/>
  <c r="AS22" i="2" s="1"/>
  <c r="N16" i="2" s="1"/>
  <c r="W28" i="3"/>
  <c r="AA28" i="3" s="1"/>
  <c r="H12" i="2"/>
  <c r="R13" i="10"/>
  <c r="AO19" i="2"/>
  <c r="AQ19" i="2" s="1"/>
  <c r="AS19" i="2" s="1"/>
  <c r="J11" i="2" s="1"/>
  <c r="E23" i="4"/>
  <c r="W34" i="3"/>
  <c r="W185" i="3"/>
  <c r="AI31" i="1"/>
  <c r="H14" i="2"/>
  <c r="AW45" i="4" s="1"/>
  <c r="E791" i="11" l="1"/>
  <c r="E819" i="11"/>
  <c r="X819" i="11" s="1"/>
  <c r="E858" i="11"/>
  <c r="X858" i="11" s="1"/>
  <c r="E863" i="11"/>
  <c r="X863" i="11" s="1"/>
  <c r="E836" i="11"/>
  <c r="X836" i="11" s="1"/>
  <c r="E841" i="11"/>
  <c r="X841" i="11" s="1"/>
  <c r="E831" i="11"/>
  <c r="X831" i="11" s="1"/>
  <c r="E828" i="11"/>
  <c r="X828" i="11" s="1"/>
  <c r="E789" i="11"/>
  <c r="E849" i="11"/>
  <c r="X849" i="11" s="1"/>
  <c r="E860" i="11"/>
  <c r="X860" i="11" s="1"/>
  <c r="BB45" i="4"/>
  <c r="W43" i="4" s="1"/>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U177" i="3" s="1"/>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S17" i="4" s="1"/>
  <c r="U160" i="3"/>
  <c r="U142" i="3"/>
  <c r="U140" i="3"/>
  <c r="U141" i="3"/>
  <c r="AH32" i="1"/>
  <c r="AK32" i="1"/>
  <c r="G60" i="2"/>
  <c r="J60" i="2" s="1"/>
  <c r="G59" i="2"/>
  <c r="J59" i="2" s="1"/>
  <c r="G58" i="2"/>
  <c r="J58" i="2" s="1"/>
  <c r="U185" i="3"/>
  <c r="Z185" i="3" s="1"/>
  <c r="N11" i="2" s="1"/>
  <c r="E20" i="2"/>
  <c r="K11" i="2"/>
  <c r="K12" i="2"/>
  <c r="AV5" i="4"/>
  <c r="AW5" i="4" s="1"/>
  <c r="H95" i="10"/>
  <c r="L29" i="4"/>
  <c r="B177" i="3" l="1"/>
  <c r="E12" i="10"/>
  <c r="AY5" i="4"/>
  <c r="AD15" i="4" s="1"/>
  <c r="AA177" i="3" s="1"/>
  <c r="Q95" i="10"/>
  <c r="U127" i="3"/>
  <c r="U162" i="3"/>
  <c r="U128" i="3"/>
  <c r="U126" i="3"/>
  <c r="U130" i="3"/>
  <c r="U166" i="3"/>
  <c r="D25" i="2"/>
  <c r="W24" i="3"/>
  <c r="U129" i="3"/>
  <c r="E16" i="4"/>
  <c r="L16" i="2" s="1"/>
  <c r="AQ20" i="2" s="1"/>
  <c r="AS20" i="2" s="1"/>
  <c r="U59" i="11" s="1"/>
  <c r="J16" i="2" s="1"/>
  <c r="K17" i="2" s="1"/>
  <c r="O907" i="11"/>
  <c r="L21" i="4" s="1"/>
  <c r="AV50" i="4" s="1"/>
  <c r="AW50" i="4" s="1"/>
  <c r="H28" i="2"/>
  <c r="F16" i="10"/>
  <c r="N22" i="14"/>
  <c r="V16" i="10"/>
  <c r="N23" i="14"/>
  <c r="R16" i="10"/>
  <c r="N24" i="14"/>
  <c r="D28" i="2"/>
  <c r="O23" i="2"/>
  <c r="O25" i="2"/>
  <c r="O58" i="2"/>
  <c r="O62" i="2"/>
  <c r="AF1969" i="11" s="1"/>
  <c r="W1969" i="11" s="1"/>
  <c r="AB1969" i="11" s="1"/>
  <c r="O22" i="2"/>
  <c r="O56" i="2"/>
  <c r="O26" i="2"/>
  <c r="O27" i="2"/>
  <c r="O52" i="2"/>
  <c r="Q1980" i="11" l="1"/>
  <c r="W1980" i="11" s="1"/>
  <c r="AB1980" i="11" s="1"/>
  <c r="Q73" i="2"/>
  <c r="O1980" i="11"/>
  <c r="AB177" i="3"/>
  <c r="AA36" i="3"/>
  <c r="D18" i="5" s="1"/>
  <c r="AA131" i="3"/>
  <c r="Q1934" i="11" s="1"/>
  <c r="AA156" i="3"/>
  <c r="Z826" i="11" s="1"/>
  <c r="AA38" i="3"/>
  <c r="D22" i="5" s="1"/>
  <c r="AG37" i="10" s="1"/>
  <c r="H19" i="2"/>
  <c r="AA98" i="3"/>
  <c r="M28" i="6" s="1"/>
  <c r="AF50" i="10" s="1"/>
  <c r="AA158" i="3"/>
  <c r="AB158" i="3" s="1"/>
  <c r="AA155" i="3"/>
  <c r="Q1958" i="11" s="1"/>
  <c r="W1958" i="11" s="1"/>
  <c r="AB1958" i="11" s="1"/>
  <c r="AA138" i="3"/>
  <c r="AA139" i="3"/>
  <c r="AA93" i="3"/>
  <c r="P12" i="6" s="1"/>
  <c r="AA146" i="3"/>
  <c r="Q1949" i="11" s="1"/>
  <c r="W1949" i="11" s="1"/>
  <c r="AB1949" i="11" s="1"/>
  <c r="AA159" i="3"/>
  <c r="Q55" i="2" s="1"/>
  <c r="AA142" i="3"/>
  <c r="AA168" i="3"/>
  <c r="AB168" i="3" s="1"/>
  <c r="H11" i="8"/>
  <c r="AL51" i="8" s="1"/>
  <c r="AA136" i="3"/>
  <c r="AA91" i="3"/>
  <c r="AA97" i="3"/>
  <c r="M27" i="6" s="1"/>
  <c r="AF48" i="10" s="1"/>
  <c r="AA169" i="3"/>
  <c r="Q65" i="2" s="1"/>
  <c r="AA160" i="3"/>
  <c r="AA176" i="3"/>
  <c r="AA133" i="3"/>
  <c r="O1936" i="11" s="1"/>
  <c r="AA134" i="3"/>
  <c r="AB134" i="3" s="1"/>
  <c r="AA137" i="3"/>
  <c r="AA174" i="3"/>
  <c r="AA23" i="3"/>
  <c r="AT20" i="4" s="1"/>
  <c r="AA140" i="3"/>
  <c r="Z859" i="11" s="1"/>
  <c r="AA161" i="3"/>
  <c r="AA151" i="3"/>
  <c r="AA96" i="3"/>
  <c r="M26" i="6" s="1"/>
  <c r="Y50" i="10" s="1"/>
  <c r="AA129" i="3"/>
  <c r="Q1932" i="11" s="1"/>
  <c r="I25" i="2"/>
  <c r="AA135" i="3"/>
  <c r="AA173" i="3"/>
  <c r="Q1976" i="11" s="1"/>
  <c r="W1976" i="11" s="1"/>
  <c r="AB1976" i="11" s="1"/>
  <c r="AA152" i="3"/>
  <c r="Q1955" i="11" s="1"/>
  <c r="W1955" i="11" s="1"/>
  <c r="AB1955" i="11" s="1"/>
  <c r="AA170" i="3"/>
  <c r="AA150" i="3"/>
  <c r="AA172" i="3"/>
  <c r="Z835" i="11" s="1"/>
  <c r="AA141" i="3"/>
  <c r="Q37" i="2" s="1"/>
  <c r="AA132" i="3"/>
  <c r="AA175" i="3"/>
  <c r="AA34" i="3"/>
  <c r="D14" i="5" s="1"/>
  <c r="E14" i="5" s="1"/>
  <c r="AA165" i="3"/>
  <c r="O1968" i="11" s="1"/>
  <c r="AA95" i="3"/>
  <c r="M25" i="6" s="1"/>
  <c r="Y48" i="10" s="1"/>
  <c r="AA37" i="3"/>
  <c r="D20" i="5" s="1"/>
  <c r="AA109" i="3"/>
  <c r="P12" i="8" s="1"/>
  <c r="AA157" i="3"/>
  <c r="Q1960" i="11" s="1"/>
  <c r="W1960" i="11" s="1"/>
  <c r="AB1960" i="11" s="1"/>
  <c r="AA143" i="3"/>
  <c r="AA35" i="3"/>
  <c r="D16" i="5" s="1"/>
  <c r="Q37" i="10" s="1"/>
  <c r="AA145" i="3"/>
  <c r="Q1948" i="11" s="1"/>
  <c r="W1948" i="11" s="1"/>
  <c r="AB1948" i="11" s="1"/>
  <c r="AA148" i="3"/>
  <c r="Q44" i="2" s="1"/>
  <c r="AA22" i="3"/>
  <c r="AT18" i="4" s="1"/>
  <c r="I21" i="4" s="1"/>
  <c r="AA33" i="3"/>
  <c r="D12" i="5" s="1"/>
  <c r="AA163" i="3"/>
  <c r="O1966" i="11" s="1"/>
  <c r="AA162" i="3"/>
  <c r="Q1965" i="11" s="1"/>
  <c r="AA130" i="3"/>
  <c r="AA127" i="3"/>
  <c r="AB127" i="3" s="1"/>
  <c r="AA24" i="3"/>
  <c r="AT22" i="4" s="1"/>
  <c r="AA126" i="3"/>
  <c r="Q1929" i="11" s="1"/>
  <c r="AA128" i="3"/>
  <c r="Q24" i="2" s="1"/>
  <c r="AX50" i="4"/>
  <c r="AY50" i="4" s="1"/>
  <c r="Z841" i="11"/>
  <c r="O1934" i="11"/>
  <c r="AB131" i="3"/>
  <c r="D31" i="2"/>
  <c r="AZ40" i="4" s="1"/>
  <c r="AZ41" i="4" s="1"/>
  <c r="S36" i="4" s="1"/>
  <c r="T65" i="11"/>
  <c r="S93" i="10" s="1"/>
  <c r="O1931" i="11"/>
  <c r="AB128" i="3"/>
  <c r="E16" i="5"/>
  <c r="Q72" i="2"/>
  <c r="AB176" i="3"/>
  <c r="O1979" i="11"/>
  <c r="Q1979" i="11"/>
  <c r="W1979" i="11" s="1"/>
  <c r="AB1979" i="11" s="1"/>
  <c r="AB159" i="3"/>
  <c r="O1930" i="11"/>
  <c r="Q32" i="2"/>
  <c r="O1939" i="11"/>
  <c r="Q1939" i="11"/>
  <c r="W1939" i="11" s="1"/>
  <c r="AB1939" i="11" s="1"/>
  <c r="AB136" i="3"/>
  <c r="Q57" i="2"/>
  <c r="AB161" i="3"/>
  <c r="O1964" i="11"/>
  <c r="Q1964" i="11"/>
  <c r="W1964" i="11" s="1"/>
  <c r="AB1964" i="11" s="1"/>
  <c r="Q1935" i="11"/>
  <c r="W1935" i="11" s="1"/>
  <c r="AB1935" i="11" s="1"/>
  <c r="AB132" i="3"/>
  <c r="O1935" i="11"/>
  <c r="Q28" i="2"/>
  <c r="AW42" i="4"/>
  <c r="BE42" i="4"/>
  <c r="I59" i="4" s="1"/>
  <c r="BB42" i="4"/>
  <c r="T43" i="4" s="1"/>
  <c r="AA878" i="11"/>
  <c r="AA890" i="11"/>
  <c r="AA895" i="11"/>
  <c r="AA859" i="11"/>
  <c r="AA826" i="11"/>
  <c r="AA844" i="11"/>
  <c r="AA886" i="11"/>
  <c r="AA824" i="11"/>
  <c r="AA822" i="11"/>
  <c r="AA889" i="11"/>
  <c r="AA869" i="11"/>
  <c r="AA870" i="11"/>
  <c r="AA887" i="11"/>
  <c r="AA856" i="11"/>
  <c r="AA829" i="11"/>
  <c r="AA852" i="11"/>
  <c r="AA888" i="11"/>
  <c r="AA849" i="11"/>
  <c r="AA905" i="11"/>
  <c r="Z905" i="11" s="1"/>
  <c r="V58" i="3" s="1"/>
  <c r="AA872" i="11"/>
  <c r="AA861" i="11"/>
  <c r="AY42" i="4"/>
  <c r="I36" i="4" s="1"/>
  <c r="I965" i="11"/>
  <c r="BD42" i="4"/>
  <c r="T50" i="4" s="1"/>
  <c r="AA821" i="11"/>
  <c r="AA855" i="11"/>
  <c r="I959" i="11"/>
  <c r="AA901" i="11"/>
  <c r="AA817" i="11"/>
  <c r="AA835" i="11"/>
  <c r="AA864" i="11"/>
  <c r="AA899" i="11"/>
  <c r="Z899" i="11" s="1"/>
  <c r="AA862" i="11"/>
  <c r="AA819" i="11"/>
  <c r="AA898" i="11"/>
  <c r="Z898" i="11" s="1"/>
  <c r="AA885" i="11"/>
  <c r="Z885" i="11" s="1"/>
  <c r="AA827" i="11"/>
  <c r="AA842" i="11"/>
  <c r="AA883" i="11"/>
  <c r="Z883" i="11" s="1"/>
  <c r="I1000" i="11"/>
  <c r="AA853" i="11"/>
  <c r="AA863" i="11"/>
  <c r="AA880" i="11"/>
  <c r="Z880" i="11" s="1"/>
  <c r="I993" i="11"/>
  <c r="AA823" i="11"/>
  <c r="AA875" i="11"/>
  <c r="Z875" i="11" s="1"/>
  <c r="AA846" i="11"/>
  <c r="BA42" i="4"/>
  <c r="I43" i="4" s="1"/>
  <c r="BF42" i="4"/>
  <c r="T59" i="4" s="1"/>
  <c r="AA867" i="11"/>
  <c r="AA881" i="11"/>
  <c r="Z881" i="11" s="1"/>
  <c r="AA828" i="11"/>
  <c r="AA893" i="11"/>
  <c r="Z893" i="11" s="1"/>
  <c r="AA858" i="11"/>
  <c r="AA884" i="11"/>
  <c r="Z884" i="11" s="1"/>
  <c r="AA833" i="11"/>
  <c r="Z833" i="11" s="1"/>
  <c r="AA850" i="11"/>
  <c r="AA838" i="11"/>
  <c r="AA892" i="11"/>
  <c r="Z892" i="11" s="1"/>
  <c r="AA840" i="11"/>
  <c r="AA836" i="11"/>
  <c r="AA851" i="11"/>
  <c r="AA868" i="11"/>
  <c r="AA857" i="11"/>
  <c r="AA832" i="11"/>
  <c r="AA837" i="11"/>
  <c r="AA831" i="11"/>
  <c r="AA866" i="11"/>
  <c r="AA845" i="11"/>
  <c r="AZ42" i="4"/>
  <c r="T36" i="4" s="1"/>
  <c r="AA877" i="11"/>
  <c r="AA854" i="11"/>
  <c r="Z854" i="11" s="1"/>
  <c r="AA825" i="11"/>
  <c r="AA865" i="11"/>
  <c r="AA847" i="11"/>
  <c r="BC42" i="4"/>
  <c r="I50" i="4" s="1"/>
  <c r="AA891" i="11"/>
  <c r="AA879" i="11"/>
  <c r="AA902" i="11"/>
  <c r="Z902" i="11" s="1"/>
  <c r="AA860" i="11"/>
  <c r="AA876" i="11"/>
  <c r="Z876" i="11" s="1"/>
  <c r="AA839" i="11"/>
  <c r="AA904" i="11"/>
  <c r="I994" i="11"/>
  <c r="AA900" i="11"/>
  <c r="AA848" i="11"/>
  <c r="AA896" i="11"/>
  <c r="I984" i="11"/>
  <c r="I990" i="11"/>
  <c r="AA897" i="11"/>
  <c r="AA834" i="11"/>
  <c r="Z834" i="11" s="1"/>
  <c r="AX42" i="4"/>
  <c r="T29" i="4" s="1"/>
  <c r="I981" i="11"/>
  <c r="AA818" i="11"/>
  <c r="AA874" i="11"/>
  <c r="AA903" i="11"/>
  <c r="Z903" i="11" s="1"/>
  <c r="AA894" i="11"/>
  <c r="AA882" i="11"/>
  <c r="Z882" i="11" s="1"/>
  <c r="I991" i="11"/>
  <c r="AA873" i="11"/>
  <c r="AA843" i="11"/>
  <c r="I988" i="11"/>
  <c r="AA841" i="11"/>
  <c r="I986" i="11"/>
  <c r="V78" i="3" s="1"/>
  <c r="AA830" i="11"/>
  <c r="AA820" i="11"/>
  <c r="I978" i="11"/>
  <c r="AB174" i="3"/>
  <c r="Q1977" i="11"/>
  <c r="W1977" i="11" s="1"/>
  <c r="AB1977" i="11" s="1"/>
  <c r="Q70" i="2"/>
  <c r="O1977" i="11"/>
  <c r="O1940" i="11"/>
  <c r="AB137" i="3"/>
  <c r="Q33" i="2"/>
  <c r="Q1940" i="11"/>
  <c r="W1940" i="11" s="1"/>
  <c r="AB1940" i="11" s="1"/>
  <c r="AB142" i="3"/>
  <c r="Q38" i="2"/>
  <c r="Q1945" i="11"/>
  <c r="W1945" i="11" s="1"/>
  <c r="AB1945" i="11" s="1"/>
  <c r="O1945" i="11"/>
  <c r="AB892" i="11"/>
  <c r="O1941" i="11"/>
  <c r="Q1941" i="11"/>
  <c r="W1941" i="11" s="1"/>
  <c r="Z1941" i="11" s="1"/>
  <c r="AB1941" i="11" s="1"/>
  <c r="AB138" i="3"/>
  <c r="Q34" i="2"/>
  <c r="Q1963" i="11"/>
  <c r="O1963" i="11"/>
  <c r="AB160" i="3"/>
  <c r="O1954" i="11"/>
  <c r="Q47" i="2"/>
  <c r="AB151" i="3"/>
  <c r="Q1954" i="11"/>
  <c r="W1954" i="11" s="1"/>
  <c r="AB1954" i="11" s="1"/>
  <c r="Q71" i="2"/>
  <c r="AB175" i="3"/>
  <c r="Q1978" i="11"/>
  <c r="W1978" i="11" s="1"/>
  <c r="AB1978" i="11" s="1"/>
  <c r="O1978" i="11"/>
  <c r="E12" i="5"/>
  <c r="U37" i="10"/>
  <c r="AB150" i="3"/>
  <c r="Q46" i="2"/>
  <c r="O1953" i="11"/>
  <c r="Q1953" i="11"/>
  <c r="W1953" i="11" s="1"/>
  <c r="AB1953" i="11" s="1"/>
  <c r="O1973" i="11"/>
  <c r="Q1973" i="11"/>
  <c r="W1973" i="11" s="1"/>
  <c r="AB1973" i="11" s="1"/>
  <c r="Q66" i="2"/>
  <c r="AB170" i="3"/>
  <c r="O1946" i="11"/>
  <c r="Q1946" i="11"/>
  <c r="W1946" i="11" s="1"/>
  <c r="AB1946" i="11" s="1"/>
  <c r="AB143" i="3"/>
  <c r="Q39" i="2"/>
  <c r="W92" i="3"/>
  <c r="AA92" i="3" s="1"/>
  <c r="J12" i="6" s="1"/>
  <c r="N50" i="10" s="1"/>
  <c r="L12" i="6"/>
  <c r="L1051" i="11" s="1"/>
  <c r="O1933" i="11"/>
  <c r="AB130" i="3"/>
  <c r="Q1933" i="11"/>
  <c r="O1942" i="11"/>
  <c r="Q35" i="2"/>
  <c r="Q1942" i="11"/>
  <c r="W1942" i="11" s="1"/>
  <c r="AB1942" i="11" s="1"/>
  <c r="AB139" i="3"/>
  <c r="Q31" i="2"/>
  <c r="AB135" i="3"/>
  <c r="O1938" i="11"/>
  <c r="Q1938" i="11"/>
  <c r="W1938" i="11" s="1"/>
  <c r="AB1938" i="11" s="1"/>
  <c r="E20" i="5"/>
  <c r="AC37" i="10"/>
  <c r="AZ50" i="4"/>
  <c r="AF1932" i="11"/>
  <c r="AF1959" i="11"/>
  <c r="AF1929" i="11"/>
  <c r="AF1930" i="11"/>
  <c r="Q23" i="2"/>
  <c r="AF1963" i="11"/>
  <c r="Q56" i="2"/>
  <c r="AF1934" i="11"/>
  <c r="W1934" i="11" s="1"/>
  <c r="AB1934" i="11" s="1"/>
  <c r="Q27" i="2"/>
  <c r="AF1933" i="11"/>
  <c r="Q26" i="2"/>
  <c r="AF1965" i="11"/>
  <c r="Q1931" i="11" l="1"/>
  <c r="W1931" i="11" s="1"/>
  <c r="AB1931" i="11" s="1"/>
  <c r="Z817" i="11"/>
  <c r="O1962" i="11"/>
  <c r="Q1962" i="11"/>
  <c r="W1962" i="11" s="1"/>
  <c r="AB1962" i="11" s="1"/>
  <c r="Q12" i="6"/>
  <c r="Q1971" i="11"/>
  <c r="W1971" i="11" s="1"/>
  <c r="AB1971" i="11" s="1"/>
  <c r="AB894" i="11"/>
  <c r="AB893" i="11"/>
  <c r="Q1930" i="11"/>
  <c r="Q1961" i="11"/>
  <c r="W1961" i="11" s="1"/>
  <c r="AB1961" i="11" s="1"/>
  <c r="AB843" i="11"/>
  <c r="N1980" i="11"/>
  <c r="N1934" i="11"/>
  <c r="AD1972" i="11"/>
  <c r="K1972" i="11" s="1"/>
  <c r="AC894" i="11"/>
  <c r="Q64" i="2"/>
  <c r="O1961" i="11"/>
  <c r="AB830" i="11"/>
  <c r="Q69" i="2"/>
  <c r="AB831" i="11"/>
  <c r="AC864" i="11"/>
  <c r="AC895" i="11"/>
  <c r="AC891" i="11"/>
  <c r="AB898" i="11"/>
  <c r="AB903" i="11"/>
  <c r="AX44" i="4"/>
  <c r="AB904" i="11"/>
  <c r="AB873" i="11"/>
  <c r="AB867" i="11"/>
  <c r="AZ44" i="4"/>
  <c r="Z850" i="11"/>
  <c r="I989" i="11"/>
  <c r="AC819" i="11"/>
  <c r="AC858" i="11"/>
  <c r="AC878" i="11"/>
  <c r="AC905" i="11"/>
  <c r="AC818" i="11"/>
  <c r="AY40" i="4"/>
  <c r="AY41" i="4" s="1"/>
  <c r="H36" i="4" s="1"/>
  <c r="AB844" i="11"/>
  <c r="AB895" i="11"/>
  <c r="AB875" i="11"/>
  <c r="AB833" i="11"/>
  <c r="AB870" i="11"/>
  <c r="AB817" i="11"/>
  <c r="AB173" i="3"/>
  <c r="BE40" i="4"/>
  <c r="BE41" i="4" s="1"/>
  <c r="H59" i="4" s="1"/>
  <c r="Q41" i="2"/>
  <c r="AB891" i="11"/>
  <c r="AB863" i="11"/>
  <c r="AB888" i="11"/>
  <c r="AB857" i="11"/>
  <c r="AB860" i="11"/>
  <c r="AB884" i="11"/>
  <c r="AC876" i="11"/>
  <c r="AC853" i="11"/>
  <c r="AC899" i="11"/>
  <c r="Q1966" i="11"/>
  <c r="W1966" i="11" s="1"/>
  <c r="AB1966" i="11" s="1"/>
  <c r="AC851" i="11"/>
  <c r="AC824" i="11"/>
  <c r="AC857" i="11"/>
  <c r="AC900" i="11"/>
  <c r="AC863" i="11"/>
  <c r="Z863" i="11" s="1"/>
  <c r="AC825" i="11"/>
  <c r="AC821" i="11"/>
  <c r="Q29" i="2"/>
  <c r="AB872" i="11"/>
  <c r="AB889" i="11"/>
  <c r="AB851" i="11"/>
  <c r="AB847" i="11"/>
  <c r="AB832" i="11"/>
  <c r="AB853" i="11"/>
  <c r="AB826" i="11"/>
  <c r="AB835" i="11"/>
  <c r="AB850" i="11"/>
  <c r="AB899" i="11"/>
  <c r="AB849" i="11"/>
  <c r="AB881" i="11"/>
  <c r="Q12" i="8"/>
  <c r="K64" i="10" s="1"/>
  <c r="O1937" i="11"/>
  <c r="N1937" i="11" s="1"/>
  <c r="Z828" i="11"/>
  <c r="O12" i="8"/>
  <c r="AB133" i="3"/>
  <c r="O1948" i="11"/>
  <c r="AB821" i="11"/>
  <c r="Z821" i="11" s="1"/>
  <c r="AB876" i="11"/>
  <c r="AB820" i="11"/>
  <c r="AB842" i="11"/>
  <c r="AB901" i="11"/>
  <c r="AB866" i="11"/>
  <c r="AB827" i="11"/>
  <c r="AB869" i="11"/>
  <c r="AB862" i="11"/>
  <c r="AY44" i="4"/>
  <c r="AB868" i="11"/>
  <c r="AB846" i="11"/>
  <c r="Q59" i="2"/>
  <c r="AW43" i="4"/>
  <c r="AC877" i="11"/>
  <c r="AY43" i="4"/>
  <c r="AC898" i="11"/>
  <c r="AC837" i="11"/>
  <c r="AC860" i="11"/>
  <c r="O1959" i="11"/>
  <c r="AD1964" i="11" s="1"/>
  <c r="K1964" i="11" s="1"/>
  <c r="O1972" i="11"/>
  <c r="N1972" i="11" s="1"/>
  <c r="AL25" i="8"/>
  <c r="O1951" i="11"/>
  <c r="AD1979" i="11" s="1"/>
  <c r="K1979" i="11" s="1"/>
  <c r="J62" i="10"/>
  <c r="AL47" i="8"/>
  <c r="AB162" i="3"/>
  <c r="Q1936" i="11"/>
  <c r="W1936" i="11" s="1"/>
  <c r="AB1936" i="11" s="1"/>
  <c r="I955" i="11"/>
  <c r="O1971" i="11"/>
  <c r="AD1970" i="11" s="1"/>
  <c r="K1970" i="11" s="1"/>
  <c r="Q54" i="2"/>
  <c r="D24" i="5"/>
  <c r="AB145" i="3"/>
  <c r="AB839" i="11"/>
  <c r="AB880"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Z877" i="11" s="1"/>
  <c r="AB855" i="11"/>
  <c r="AW44" i="4"/>
  <c r="O1960" i="11"/>
  <c r="AD1968" i="11" s="1"/>
  <c r="K1968" i="11" s="1"/>
  <c r="O1976" i="11"/>
  <c r="AD1938" i="11" s="1"/>
  <c r="K1938" i="11" s="1"/>
  <c r="Z848" i="11"/>
  <c r="Z849" i="11"/>
  <c r="Z868" i="11"/>
  <c r="R22" i="14"/>
  <c r="AL27" i="8"/>
  <c r="AC882" i="11"/>
  <c r="BE43" i="4"/>
  <c r="AC838" i="11"/>
  <c r="BA43" i="4"/>
  <c r="AC868" i="11"/>
  <c r="AC829" i="11"/>
  <c r="AC839" i="11"/>
  <c r="AC826" i="11"/>
  <c r="BF43" i="4"/>
  <c r="AC830" i="11"/>
  <c r="F26" i="2"/>
  <c r="AC852" i="11"/>
  <c r="AD23" i="3"/>
  <c r="I992" i="11" s="1"/>
  <c r="Z847" i="11"/>
  <c r="O1949" i="11"/>
  <c r="N1949" i="11" s="1"/>
  <c r="O1929" i="11"/>
  <c r="N1929" i="11" s="1"/>
  <c r="O1958" i="11"/>
  <c r="N1958" i="11" s="1"/>
  <c r="O1932" i="11"/>
  <c r="N1932" i="11" s="1"/>
  <c r="AL43" i="8"/>
  <c r="Q52" i="2"/>
  <c r="Q1968" i="11"/>
  <c r="W1968" i="11" s="1"/>
  <c r="AB1968" i="11" s="1"/>
  <c r="AB864" i="11"/>
  <c r="Z864" i="11" s="1"/>
  <c r="AB896" i="11"/>
  <c r="AB837" i="11"/>
  <c r="BF44" i="4"/>
  <c r="AB840" i="11"/>
  <c r="AB887" i="11"/>
  <c r="AB818" i="11"/>
  <c r="AB905" i="11"/>
  <c r="AB854" i="11"/>
  <c r="AB819" i="11"/>
  <c r="Z819" i="11" s="1"/>
  <c r="AB878" i="11"/>
  <c r="Z878" i="11" s="1"/>
  <c r="AB874" i="11"/>
  <c r="AB823" i="11"/>
  <c r="AB883" i="11"/>
  <c r="AB902" i="11"/>
  <c r="AB822" i="11"/>
  <c r="BE44" i="4"/>
  <c r="AB858" i="11"/>
  <c r="Z858" i="11" s="1"/>
  <c r="AB897" i="11"/>
  <c r="AB824" i="11"/>
  <c r="Z824" i="11" s="1"/>
  <c r="AB861" i="11"/>
  <c r="BA44" i="4"/>
  <c r="AB852" i="11"/>
  <c r="Z852" i="11" s="1"/>
  <c r="AB900" i="11"/>
  <c r="Z900" i="11" s="1"/>
  <c r="E22" i="5"/>
  <c r="O1955" i="11"/>
  <c r="N1955" i="11" s="1"/>
  <c r="Z827" i="11"/>
  <c r="Q1944" i="11"/>
  <c r="W1944" i="11" s="1"/>
  <c r="AB1944" i="11" s="1"/>
  <c r="Q68" i="2"/>
  <c r="AL49" i="8"/>
  <c r="AC854" i="11"/>
  <c r="AC820" i="11"/>
  <c r="AC833" i="11"/>
  <c r="AC855" i="11"/>
  <c r="AX43" i="4"/>
  <c r="AC884" i="11"/>
  <c r="AC870" i="11"/>
  <c r="AC890" i="11"/>
  <c r="AC904" i="11"/>
  <c r="AC834" i="11"/>
  <c r="AC879" i="11"/>
  <c r="AC847" i="11"/>
  <c r="Y37" i="10"/>
  <c r="AB156" i="3"/>
  <c r="Z829" i="11"/>
  <c r="J21" i="4"/>
  <c r="Z838" i="11"/>
  <c r="H21" i="4"/>
  <c r="Z869" i="11" s="1"/>
  <c r="BA40" i="4"/>
  <c r="BA41" i="4" s="1"/>
  <c r="H43" i="4" s="1"/>
  <c r="AB146" i="3"/>
  <c r="Q36" i="2"/>
  <c r="AB140" i="3"/>
  <c r="O1944" i="11"/>
  <c r="AD1937" i="11" s="1"/>
  <c r="K1937" i="11" s="1"/>
  <c r="Q1972" i="11"/>
  <c r="W1972" i="11" s="1"/>
  <c r="AB1972" i="11" s="1"/>
  <c r="AL19" i="8"/>
  <c r="AL57" i="8"/>
  <c r="AL53" i="8"/>
  <c r="AL39" i="8"/>
  <c r="AL29" i="8"/>
  <c r="AL37" i="8"/>
  <c r="Q1951" i="11"/>
  <c r="W1951" i="11" s="1"/>
  <c r="AB1951" i="11" s="1"/>
  <c r="Q58" i="2"/>
  <c r="O12" i="6"/>
  <c r="BF40" i="4"/>
  <c r="BF41" i="4" s="1"/>
  <c r="S59" i="4" s="1"/>
  <c r="BD40" i="4"/>
  <c r="BD41" i="4" s="1"/>
  <c r="S50" i="4" s="1"/>
  <c r="AW40" i="4"/>
  <c r="AW41" i="4" s="1"/>
  <c r="H29" i="4" s="1"/>
  <c r="Q25" i="2"/>
  <c r="Q61" i="2"/>
  <c r="O1965" i="11"/>
  <c r="AD1977" i="11" s="1"/>
  <c r="K1977" i="11" s="1"/>
  <c r="Q42" i="2"/>
  <c r="AB126" i="3"/>
  <c r="Q1943" i="11"/>
  <c r="W1943" i="11" s="1"/>
  <c r="AB1943" i="11" s="1"/>
  <c r="Q51" i="2"/>
  <c r="AB157" i="3"/>
  <c r="Q48" i="2"/>
  <c r="Q1937" i="11"/>
  <c r="W1937" i="11" s="1"/>
  <c r="AB1937" i="11" s="1"/>
  <c r="AB141" i="3"/>
  <c r="AB169" i="3"/>
  <c r="O1975" i="11"/>
  <c r="N1975" i="11" s="1"/>
  <c r="AB172" i="3"/>
  <c r="AB163" i="3"/>
  <c r="AL41" i="8"/>
  <c r="AL33" i="8"/>
  <c r="AL45" i="8"/>
  <c r="AL21" i="8"/>
  <c r="AL61" i="8"/>
  <c r="AL35" i="8"/>
  <c r="AB148" i="3"/>
  <c r="AC836" i="11"/>
  <c r="AC840" i="11"/>
  <c r="AC822" i="11"/>
  <c r="AC896" i="11"/>
  <c r="AC887" i="11"/>
  <c r="AC901" i="11"/>
  <c r="AC865" i="11"/>
  <c r="AC889" i="11"/>
  <c r="Z889" i="11" s="1"/>
  <c r="AC885" i="11"/>
  <c r="AC875" i="11"/>
  <c r="AC886" i="11"/>
  <c r="Z886" i="11" s="1"/>
  <c r="AC866" i="11"/>
  <c r="BD43" i="4"/>
  <c r="V50" i="4" s="1"/>
  <c r="U50" i="4" s="1"/>
  <c r="AC832" i="11"/>
  <c r="AC874" i="11"/>
  <c r="AC817" i="11"/>
  <c r="AC862" i="11"/>
  <c r="AC843" i="11"/>
  <c r="Z843" i="11" s="1"/>
  <c r="BB43" i="4"/>
  <c r="AC893" i="11"/>
  <c r="AC856" i="11"/>
  <c r="AC848" i="11"/>
  <c r="AC888" i="11"/>
  <c r="AC872" i="11"/>
  <c r="AC897" i="11"/>
  <c r="Z820" i="11"/>
  <c r="Q1959" i="11"/>
  <c r="W1959" i="11" s="1"/>
  <c r="AB1959" i="11" s="1"/>
  <c r="Z844" i="11"/>
  <c r="BB40" i="4"/>
  <c r="BB41" i="4" s="1"/>
  <c r="S43" i="4" s="1"/>
  <c r="Q22" i="2"/>
  <c r="AB165" i="3"/>
  <c r="AB155" i="3"/>
  <c r="AB129" i="3"/>
  <c r="Q53" i="2"/>
  <c r="AB152" i="3"/>
  <c r="Q30" i="2"/>
  <c r="AX40" i="4"/>
  <c r="AX41" i="4" s="1"/>
  <c r="S29" i="4" s="1"/>
  <c r="BC40" i="4"/>
  <c r="BC41" i="4" s="1"/>
  <c r="H50" i="4" s="1"/>
  <c r="O1943" i="11"/>
  <c r="AD1930" i="11" s="1"/>
  <c r="K1930" i="11" s="1"/>
  <c r="I983" i="11"/>
  <c r="V79" i="3" s="1"/>
  <c r="Q1975" i="11"/>
  <c r="W1975" i="11" s="1"/>
  <c r="AB1975" i="11" s="1"/>
  <c r="AL23" i="8"/>
  <c r="AL17" i="8"/>
  <c r="AL55" i="8"/>
  <c r="AL31" i="8"/>
  <c r="AL59" i="8"/>
  <c r="AC892" i="11"/>
  <c r="AC844" i="11"/>
  <c r="AC869" i="11"/>
  <c r="AC850" i="11"/>
  <c r="AC873" i="11"/>
  <c r="AC841" i="11"/>
  <c r="AC880" i="11"/>
  <c r="AC881" i="11"/>
  <c r="AC861" i="11"/>
  <c r="AC828" i="11"/>
  <c r="AC859" i="11"/>
  <c r="AC902" i="11"/>
  <c r="AC827" i="11"/>
  <c r="AC867" i="11"/>
  <c r="Z867" i="11" s="1"/>
  <c r="V56" i="3" s="1"/>
  <c r="AC842" i="11"/>
  <c r="Z842" i="11" s="1"/>
  <c r="AC883" i="11"/>
  <c r="AC823" i="11"/>
  <c r="AC845" i="11"/>
  <c r="AZ43" i="4"/>
  <c r="AC846" i="11"/>
  <c r="Z846" i="11" s="1"/>
  <c r="AC903" i="11"/>
  <c r="AC835" i="11"/>
  <c r="AC849" i="11"/>
  <c r="AC831" i="11"/>
  <c r="BC43" i="4"/>
  <c r="E18" i="5"/>
  <c r="M37" i="10"/>
  <c r="V57" i="3"/>
  <c r="H24" i="2"/>
  <c r="AV48" i="4"/>
  <c r="AW48" i="4" s="1"/>
  <c r="Z894" i="11"/>
  <c r="W1930" i="11"/>
  <c r="AB1930" i="11" s="1"/>
  <c r="M1054" i="11"/>
  <c r="M1056" i="11"/>
  <c r="M1053" i="11"/>
  <c r="M1051" i="11"/>
  <c r="M1060" i="11"/>
  <c r="M1055" i="11"/>
  <c r="M1052" i="11"/>
  <c r="M1061" i="11"/>
  <c r="M1057" i="11"/>
  <c r="M1059" i="11"/>
  <c r="M1058" i="11"/>
  <c r="I964" i="11"/>
  <c r="I972" i="11"/>
  <c r="W1933" i="11"/>
  <c r="AB1933" i="11" s="1"/>
  <c r="N1959" i="11"/>
  <c r="W1929" i="11"/>
  <c r="AB1929" i="11" s="1"/>
  <c r="I960" i="11"/>
  <c r="I968" i="11"/>
  <c r="I962" i="11"/>
  <c r="J52" i="10"/>
  <c r="AD1967" i="11"/>
  <c r="K1967" i="11" s="1"/>
  <c r="N1945" i="11"/>
  <c r="N1977" i="11"/>
  <c r="AD1963" i="11"/>
  <c r="K1963" i="11" s="1"/>
  <c r="W1932" i="11"/>
  <c r="AB1932" i="11" s="1"/>
  <c r="N16" i="14"/>
  <c r="L14" i="6"/>
  <c r="AD1953" i="11"/>
  <c r="K1953" i="11" s="1"/>
  <c r="N1948" i="11"/>
  <c r="AD1952" i="11"/>
  <c r="K1952" i="11" s="1"/>
  <c r="I29" i="4"/>
  <c r="N1930" i="11"/>
  <c r="AD1935" i="11"/>
  <c r="K1935" i="11" s="1"/>
  <c r="W1965" i="11"/>
  <c r="AB1965" i="11" s="1"/>
  <c r="AD1940" i="11"/>
  <c r="K1940" i="11" s="1"/>
  <c r="N1961" i="11"/>
  <c r="AD1932" i="11"/>
  <c r="K1932" i="11" s="1"/>
  <c r="N1946" i="11"/>
  <c r="AD1933" i="11"/>
  <c r="K1933" i="11" s="1"/>
  <c r="N1973" i="11"/>
  <c r="N1978" i="11"/>
  <c r="AD1944" i="11"/>
  <c r="K1944" i="11" s="1"/>
  <c r="N1954" i="11"/>
  <c r="AD1960" i="11"/>
  <c r="K1960" i="11" s="1"/>
  <c r="N1935" i="11"/>
  <c r="AD1966" i="11"/>
  <c r="K1966" i="11" s="1"/>
  <c r="AD1969" i="11"/>
  <c r="K1969" i="11" s="1"/>
  <c r="N1964" i="11"/>
  <c r="N1966" i="11"/>
  <c r="AD1981" i="11"/>
  <c r="K1981" i="11" s="1"/>
  <c r="AD1943" i="11"/>
  <c r="K1943" i="11" s="1"/>
  <c r="N1979" i="11"/>
  <c r="N1968" i="11"/>
  <c r="AD1934" i="11"/>
  <c r="K1934" i="11" s="1"/>
  <c r="AD1954" i="11"/>
  <c r="K1954" i="11" s="1"/>
  <c r="N1938" i="11"/>
  <c r="AD1982" i="11"/>
  <c r="K1982" i="11" s="1"/>
  <c r="N1933" i="11"/>
  <c r="AD1956" i="11"/>
  <c r="K1956" i="11" s="1"/>
  <c r="N1953" i="11"/>
  <c r="N1941" i="11"/>
  <c r="AD1939" i="11"/>
  <c r="K1939" i="11" s="1"/>
  <c r="W1963" i="11"/>
  <c r="AB1963" i="11" s="1"/>
  <c r="AD1946" i="11"/>
  <c r="K1946" i="11" s="1"/>
  <c r="N1936" i="11"/>
  <c r="N1942" i="11"/>
  <c r="AD1947" i="11"/>
  <c r="K1947" i="11" s="1"/>
  <c r="N1963" i="11"/>
  <c r="AD1961" i="11"/>
  <c r="K1961" i="11" s="1"/>
  <c r="AD1942" i="11"/>
  <c r="K1942" i="11" s="1"/>
  <c r="N1940" i="11"/>
  <c r="I1002" i="11"/>
  <c r="N1939" i="11"/>
  <c r="AD1965" i="11"/>
  <c r="K1965" i="11" s="1"/>
  <c r="AD1945" i="11"/>
  <c r="K1945" i="11" s="1"/>
  <c r="N1962" i="11"/>
  <c r="K21" i="4"/>
  <c r="AT24" i="4"/>
  <c r="N1931" i="11"/>
  <c r="AD1957" i="11"/>
  <c r="K1957" i="11" s="1"/>
  <c r="BA50" i="4"/>
  <c r="BB50" i="4" s="1"/>
  <c r="BC50" i="4" s="1"/>
  <c r="N1960" i="11" l="1"/>
  <c r="K36" i="4"/>
  <c r="J36" i="4" s="1"/>
  <c r="Z822" i="11"/>
  <c r="Z891" i="11"/>
  <c r="AD1971" i="11"/>
  <c r="K1971" i="11" s="1"/>
  <c r="Z831" i="11"/>
  <c r="Z860" i="11"/>
  <c r="Z873" i="11"/>
  <c r="Z855" i="11"/>
  <c r="Z857" i="11"/>
  <c r="Z861" i="1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D1949" i="11"/>
  <c r="K1949" i="11" s="1"/>
  <c r="I1001" i="11"/>
  <c r="Z840" i="11"/>
  <c r="V59" i="4"/>
  <c r="U59" i="4" s="1"/>
  <c r="AD1929" i="11"/>
  <c r="K1929" i="11" s="1"/>
  <c r="I987" i="11"/>
  <c r="I1008" i="11"/>
  <c r="Z897" i="11"/>
  <c r="R16" i="14"/>
  <c r="I975" i="11"/>
  <c r="I980" i="11"/>
  <c r="Z870" i="11"/>
  <c r="AD1978" i="11"/>
  <c r="K1978" i="11" s="1"/>
  <c r="AV49" i="4"/>
  <c r="N1056" i="11"/>
  <c r="O1052" i="11"/>
  <c r="N1060" i="11"/>
  <c r="O1057" i="11"/>
  <c r="O1053" i="11"/>
  <c r="O1051" i="11"/>
  <c r="N1051" i="11"/>
  <c r="N1055" i="11"/>
  <c r="N1057" i="11"/>
  <c r="N1053" i="11"/>
  <c r="O1061" i="11"/>
  <c r="O1059" i="11"/>
  <c r="N1061" i="11"/>
  <c r="O1055" i="11"/>
  <c r="O1054" i="11"/>
  <c r="O1060" i="11"/>
  <c r="N1059" i="11"/>
  <c r="O1058" i="11"/>
  <c r="O1056" i="11"/>
  <c r="N1058" i="11"/>
  <c r="N1052" i="11"/>
  <c r="N1054" i="11"/>
  <c r="V83" i="3"/>
  <c r="H26" i="2"/>
  <c r="I967" i="11"/>
  <c r="I971" i="11"/>
  <c r="I970" i="11"/>
  <c r="I974" i="11"/>
  <c r="I963" i="11"/>
  <c r="I969" i="11"/>
  <c r="I976" i="11"/>
  <c r="AX48" i="4"/>
  <c r="I966" i="11"/>
  <c r="I977" i="11"/>
  <c r="I973" i="11"/>
  <c r="I961" i="11"/>
  <c r="BD50" i="4"/>
  <c r="AW47" i="4"/>
  <c r="N1985" i="11" l="1"/>
  <c r="D98" i="10" s="1"/>
  <c r="K1985" i="11"/>
  <c r="AW49" i="4"/>
  <c r="AX49" i="4" s="1"/>
  <c r="AY49" i="4" s="1"/>
  <c r="Z26" i="3"/>
  <c r="P1051" i="11"/>
  <c r="Q1051" i="11"/>
  <c r="Q1060" i="11"/>
  <c r="P1060" i="11"/>
  <c r="P1054" i="11"/>
  <c r="Q1054" i="11"/>
  <c r="Q1053" i="11"/>
  <c r="P1053" i="11"/>
  <c r="P1058" i="11"/>
  <c r="Q1058" i="11"/>
  <c r="Q1055" i="11"/>
  <c r="P1055" i="11"/>
  <c r="P1052" i="11"/>
  <c r="Q1052" i="11"/>
  <c r="Q1059" i="11"/>
  <c r="P1059" i="11"/>
  <c r="Q1061" i="11"/>
  <c r="P1061" i="11"/>
  <c r="P1057" i="11"/>
  <c r="Q1057" i="11"/>
  <c r="Q1056" i="11"/>
  <c r="P1056" i="11"/>
  <c r="AY48" i="4"/>
  <c r="BE50" i="4"/>
  <c r="BF50" i="4" s="1"/>
  <c r="BG50" i="4" s="1"/>
  <c r="AX47" i="4"/>
  <c r="Q1062" i="11" l="1"/>
  <c r="P1062" i="11"/>
  <c r="AZ49" i="4"/>
  <c r="AZ48" i="4"/>
  <c r="BA48" i="4" s="1"/>
  <c r="AY47" i="4"/>
  <c r="H28" i="10"/>
  <c r="H1062" i="11" l="1"/>
  <c r="F48" i="10" s="1"/>
  <c r="BA49" i="4"/>
  <c r="BB48" i="4"/>
  <c r="BC48" i="4" s="1"/>
  <c r="AZ47" i="4"/>
  <c r="BD48" i="4" l="1"/>
  <c r="BB49" i="4"/>
  <c r="BA47" i="4"/>
  <c r="BB47" i="4" s="1"/>
  <c r="BC47" i="4" s="1"/>
  <c r="BC49" i="4" l="1"/>
  <c r="BD49" i="4" s="1"/>
  <c r="BE49" i="4" s="1"/>
  <c r="BF49" i="4" s="1"/>
  <c r="BG49" i="4" s="1"/>
  <c r="BE48" i="4"/>
  <c r="BF48" i="4" s="1"/>
  <c r="BG48" i="4" s="1"/>
  <c r="BD47" i="4"/>
  <c r="BE47" i="4" s="1"/>
  <c r="BF47" i="4" s="1"/>
  <c r="BG47" i="4" s="1"/>
  <c r="H25" i="10" l="1"/>
  <c r="H19" i="10"/>
  <c r="H22" i="10"/>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<sst xmlns="http://schemas.openxmlformats.org/spreadsheetml/2006/main" count="26412" uniqueCount="10273">
  <si>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</si>
  <si>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</si>
  <si>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</si>
  <si>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</si>
  <si>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</si>
  <si>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</si>
  <si>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</si>
  <si>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</si>
  <si>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</si>
  <si>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</si>
  <si>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</si>
  <si>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</si>
  <si>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</si>
  <si>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</si>
  <si>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</si>
  <si>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</si>
  <si>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</si>
  <si>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</si>
  <si>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</si>
  <si>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</si>
  <si>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</si>
  <si>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</si>
  <si>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</si>
  <si>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</si>
  <si>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</si>
  <si>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</si>
  <si>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</si>
  <si>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</si>
  <si>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</si>
  <si>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</si>
  <si>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</si>
  <si>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</si>
  <si>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</si>
  <si>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</si>
  <si>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</si>
  <si>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</si>
  <si>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</si>
  <si>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</si>
  <si>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</si>
  <si>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</si>
  <si>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</si>
  <si>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</si>
  <si>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</si>
  <si>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</si>
  <si>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</si>
  <si>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</si>
  <si>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</si>
  <si>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</si>
  <si>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</si>
  <si>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</si>
  <si>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</si>
  <si>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</si>
  <si>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</si>
  <si>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</si>
  <si>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</si>
  <si>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</si>
  <si>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</si>
  <si>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</si>
  <si>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</si>
  <si>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</si>
  <si>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</si>
  <si>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</si>
  <si>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</si>
  <si>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</si>
  <si>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</si>
  <si>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</si>
  <si>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</si>
  <si>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</si>
  <si>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</si>
  <si>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</si>
  <si>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</si>
  <si>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</si>
  <si>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</si>
  <si>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</si>
  <si>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</si>
  <si>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</si>
  <si>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</si>
  <si>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</si>
  <si>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</si>
  <si>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</si>
  <si>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</si>
  <si>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</si>
  <si>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</si>
  <si>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</si>
  <si>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</si>
  <si>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</si>
  <si>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</si>
  <si>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</si>
  <si>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</si>
  <si>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</si>
  <si>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</si>
  <si>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</si>
  <si>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</si>
  <si>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</si>
  <si>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</si>
  <si>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</si>
  <si>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</si>
  <si>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</si>
  <si>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</si>
  <si>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</si>
  <si>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</si>
  <si>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</si>
  <si>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</si>
  <si>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</si>
  <si>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</si>
  <si>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</si>
  <si>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</si>
  <si>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</si>
  <si>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</si>
  <si>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</si>
  <si>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</si>
  <si>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</si>
  <si>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</si>
  <si>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</si>
  <si>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</si>
  <si>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</si>
  <si>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</si>
  <si>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</si>
  <si>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</si>
  <si>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</si>
  <si>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</si>
  <si>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</si>
  <si>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</si>
  <si>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</si>
  <si>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</si>
  <si>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</si>
  <si>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</si>
  <si>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</si>
  <si>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</si>
  <si>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</si>
  <si>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</si>
  <si>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</si>
  <si>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</si>
  <si>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</si>
  <si>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</si>
  <si>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</si>
  <si>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</si>
  <si>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</si>
  <si>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</si>
  <si>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</si>
  <si>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</si>
  <si>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</si>
  <si>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</si>
  <si>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</si>
  <si>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</si>
  <si>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</si>
  <si>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</si>
  <si>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</si>
  <si>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</si>
  <si>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</si>
  <si>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</si>
  <si>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</si>
  <si>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</si>
  <si>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</si>
  <si>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</si>
  <si>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</si>
  <si>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</si>
  <si>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</si>
  <si>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</si>
  <si>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</si>
  <si>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</si>
  <si>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</si>
  <si>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</si>
  <si>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</si>
  <si>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</si>
  <si>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</si>
  <si>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</si>
  <si>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</si>
  <si>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</si>
  <si>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</si>
  <si>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</si>
  <si>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</si>
  <si>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</si>
  <si>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</si>
  <si>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</si>
  <si>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</si>
  <si>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</si>
  <si>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</si>
  <si>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</si>
  <si>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</si>
  <si>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</si>
  <si>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</si>
  <si>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</si>
  <si>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</si>
  <si>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</si>
  <si>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</si>
  <si>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</si>
  <si>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</si>
  <si>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</si>
  <si>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</si>
  <si>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</si>
  <si>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</si>
  <si>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</si>
  <si>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</si>
  <si>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</si>
  <si>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</si>
  <si>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</si>
  <si>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</si>
  <si>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</si>
  <si>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</si>
  <si>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</si>
  <si>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</si>
  <si>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</si>
  <si>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</si>
  <si>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</si>
  <si>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</si>
  <si>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</si>
  <si>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</si>
  <si>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</si>
  <si>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</si>
  <si>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</si>
  <si>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</si>
  <si>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</si>
  <si>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</si>
  <si>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</si>
  <si>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</si>
  <si>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</si>
  <si>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</si>
  <si>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</si>
  <si>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</si>
  <si>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</si>
  <si>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</si>
  <si>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</si>
  <si>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</si>
  <si>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</si>
  <si>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</si>
  <si>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</si>
  <si>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</si>
  <si>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</si>
  <si>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</si>
  <si>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</si>
  <si>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</si>
  <si>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</si>
  <si>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</si>
  <si>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</si>
  <si>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</si>
  <si>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</si>
  <si>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</si>
  <si>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</si>
  <si>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</si>
  <si>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</si>
  <si>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</si>
  <si>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</si>
  <si>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</si>
  <si>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</si>
  <si>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</si>
  <si>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</si>
  <si>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</si>
  <si>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</si>
  <si>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</si>
  <si>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</si>
  <si>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</si>
  <si>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</si>
  <si>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</si>
  <si>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</si>
  <si>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</si>
  <si>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</si>
  <si>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</si>
  <si>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</si>
  <si>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</si>
  <si>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</si>
  <si>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</si>
  <si>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</si>
  <si>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</si>
  <si>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</si>
  <si>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</si>
  <si>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</si>
  <si>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</si>
  <si>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</si>
  <si>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</si>
  <si>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</si>
  <si>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</si>
  <si>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</si>
  <si>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</si>
  <si>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</si>
  <si>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</si>
  <si>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</si>
  <si>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</si>
  <si>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</si>
  <si>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</si>
  <si>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</si>
  <si>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</si>
  <si>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</si>
  <si>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</si>
  <si>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</si>
  <si>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</si>
  <si>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</si>
  <si>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</si>
  <si>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</si>
  <si>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</si>
  <si>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</si>
  <si>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</si>
  <si>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</si>
  <si>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</si>
  <si>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</si>
  <si>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</si>
  <si>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</si>
  <si>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</si>
  <si>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</si>
  <si>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</si>
  <si>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</si>
  <si>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</si>
  <si>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</si>
  <si>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</si>
  <si>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</si>
  <si>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</si>
  <si>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</si>
  <si>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</si>
  <si>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</si>
  <si>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</si>
  <si>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</si>
  <si>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</si>
  <si>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</si>
  <si>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</si>
  <si>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</si>
  <si>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</si>
  <si>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</si>
  <si>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</si>
  <si>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</si>
  <si>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</si>
  <si>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</si>
  <si>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</si>
  <si>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</si>
  <si>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</si>
  <si>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</si>
  <si>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</si>
  <si>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</si>
  <si>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</si>
  <si>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</si>
  <si>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</si>
  <si>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</si>
  <si>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</si>
  <si>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</si>
  <si>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</si>
  <si>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</si>
  <si>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</si>
  <si>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</si>
  <si>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</si>
  <si>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</si>
  <si>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</si>
  <si>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</si>
  <si>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</si>
  <si>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</si>
  <si>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</si>
  <si>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</si>
  <si>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</si>
  <si>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</si>
  <si>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</si>
  <si>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</si>
  <si>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</si>
  <si>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</si>
  <si>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</si>
  <si>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</si>
  <si>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</si>
  <si>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</si>
  <si>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</si>
  <si>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</si>
  <si>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</si>
  <si>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</si>
  <si>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</si>
  <si>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</si>
  <si>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</si>
  <si>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</si>
  <si>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</si>
  <si>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</si>
  <si>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</si>
  <si>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</si>
  <si>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</si>
  <si>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</si>
  <si>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</si>
  <si>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</si>
  <si>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</si>
  <si>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</si>
  <si>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</si>
  <si>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</si>
  <si>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</si>
  <si>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</si>
  <si>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</si>
  <si>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</si>
  <si>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</si>
  <si>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</si>
  <si>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</si>
  <si>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</si>
  <si>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</si>
  <si>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</si>
  <si>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</si>
  <si>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</si>
  <si>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</si>
  <si>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</si>
  <si>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</si>
  <si>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</si>
  <si>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</si>
  <si>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</si>
  <si>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</si>
  <si>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</si>
  <si>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</si>
  <si>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</si>
  <si>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</si>
  <si>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</si>
  <si>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</si>
  <si>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</si>
  <si>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</si>
  <si>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</si>
  <si>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</si>
  <si>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</si>
  <si>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</si>
  <si>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</si>
  <si>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</si>
  <si>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</si>
  <si>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</si>
  <si>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</si>
  <si>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</si>
  <si>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</si>
  <si>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</si>
  <si>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</si>
  <si>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</si>
  <si>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</si>
  <si>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</si>
  <si>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</si>
  <si>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</si>
  <si>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</si>
  <si>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</si>
  <si>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</si>
  <si>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</si>
  <si>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</si>
  <si>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</si>
  <si>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</si>
  <si>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</si>
  <si>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</si>
  <si>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</si>
  <si>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</si>
  <si>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</si>
  <si>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</si>
  <si>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</si>
  <si>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</si>
  <si>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</si>
  <si>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</si>
  <si>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</si>
  <si>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</si>
  <si>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</si>
  <si>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</si>
  <si>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</si>
  <si>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</si>
  <si>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</si>
  <si>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</si>
  <si>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</si>
  <si>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</si>
  <si>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</si>
  <si>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</si>
  <si>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</si>
  <si>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</si>
  <si>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</si>
  <si>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</si>
  <si>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</si>
  <si>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</si>
  <si>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</si>
  <si>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</si>
  <si>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</si>
  <si>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</si>
  <si>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</si>
  <si>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</si>
  <si>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</si>
  <si>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</si>
  <si>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</si>
  <si>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</si>
  <si>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</si>
  <si>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</si>
  <si>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</si>
  <si>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</si>
  <si>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</si>
  <si>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</si>
  <si>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</si>
  <si>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</si>
  <si>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</si>
  <si>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</si>
  <si>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</si>
  <si>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</si>
  <si>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</si>
  <si>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</si>
  <si>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</si>
  <si>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</si>
  <si>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</si>
  <si>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</si>
  <si>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</si>
  <si>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</si>
  <si>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</si>
  <si>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</si>
  <si>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</si>
  <si>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</si>
  <si>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</si>
  <si>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</si>
  <si>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</si>
  <si>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</si>
  <si>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</si>
  <si>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</si>
  <si>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</si>
  <si>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</si>
  <si>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</si>
  <si>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</si>
  <si>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</si>
  <si>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</si>
  <si>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</si>
  <si>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</si>
  <si>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</si>
  <si>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</si>
  <si>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</si>
  <si>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</si>
  <si>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</si>
  <si>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</si>
  <si>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</si>
  <si>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</si>
  <si>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</si>
  <si>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</si>
  <si>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</si>
  <si>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</si>
  <si>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</si>
  <si>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</si>
  <si>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</si>
  <si>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</si>
  <si>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</si>
  <si>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</si>
  <si>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</si>
  <si>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</si>
  <si>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</si>
  <si>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</si>
  <si>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</si>
  <si>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</si>
  <si>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</si>
  <si>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</si>
  <si>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</si>
  <si>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</si>
  <si>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</si>
  <si>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</si>
  <si>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</si>
  <si>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</si>
  <si>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</si>
  <si>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</si>
  <si>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</si>
  <si>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</si>
  <si>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</si>
  <si>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</si>
  <si>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</si>
  <si>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</si>
  <si>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</si>
  <si>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</si>
  <si>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</si>
  <si>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</si>
  <si>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</si>
  <si>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</si>
  <si>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</si>
  <si>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</si>
  <si>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</si>
  <si>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</si>
  <si>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</si>
  <si>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</si>
  <si>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</si>
  <si>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</si>
  <si>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</si>
  <si>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</si>
  <si>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</si>
  <si>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</si>
  <si>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</si>
  <si>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</si>
  <si>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</si>
  <si>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</si>
  <si>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</si>
  <si>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</si>
  <si>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</si>
  <si>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</si>
  <si>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</si>
  <si>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</si>
  <si>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</si>
  <si>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</si>
  <si>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</si>
  <si>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</si>
  <si>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</si>
  <si>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</si>
  <si>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</si>
  <si>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</si>
  <si>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</si>
  <si>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</si>
  <si>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</si>
  <si>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</si>
  <si>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</si>
  <si>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</si>
  <si>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</si>
  <si>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</si>
  <si>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</si>
  <si>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</si>
  <si>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</si>
  <si>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</si>
  <si>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</si>
  <si>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</si>
  <si>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</si>
  <si>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</si>
  <si>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</si>
  <si>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</si>
  <si>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</si>
  <si>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</si>
  <si>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</si>
  <si>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</si>
  <si>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</si>
  <si>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</si>
  <si>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</si>
  <si>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</si>
  <si>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</si>
  <si>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</si>
  <si>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</si>
  <si>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</si>
  <si>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</si>
  <si>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</si>
  <si>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</si>
  <si>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</si>
  <si>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</si>
  <si>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</si>
  <si>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</si>
  <si>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</si>
  <si>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</si>
  <si>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</si>
  <si>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</si>
  <si>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</si>
  <si>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</si>
  <si>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</si>
  <si>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</si>
  <si>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</si>
  <si>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</si>
  <si>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</si>
  <si>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</si>
  <si>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</si>
  <si>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</si>
  <si>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</si>
  <si>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</si>
  <si>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</si>
  <si>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</si>
  <si>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</si>
  <si>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</si>
  <si>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</si>
  <si>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</si>
  <si>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</si>
  <si>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</si>
  <si>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</si>
  <si>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</si>
  <si>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</si>
  <si>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</si>
  <si>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</si>
  <si>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</si>
  <si>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</si>
  <si>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</si>
  <si>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</si>
  <si>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</si>
  <si>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</si>
  <si>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</si>
  <si>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</si>
  <si>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</si>
  <si>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</si>
  <si>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</si>
  <si>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</si>
  <si>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</si>
  <si>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</si>
  <si>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</si>
  <si>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</si>
  <si>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</si>
  <si>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</si>
  <si>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</si>
  <si>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</si>
  <si>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</si>
  <si>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</si>
  <si>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</si>
  <si>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</si>
  <si>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</si>
  <si>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</si>
  <si>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</si>
  <si>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</si>
  <si>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</si>
  <si>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</si>
  <si>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</si>
  <si>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</si>
  <si>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</si>
  <si>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</si>
  <si>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</si>
  <si>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</si>
  <si>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</si>
  <si>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</si>
  <si>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</si>
  <si>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</si>
  <si>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</si>
  <si>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</si>
  <si>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</si>
  <si>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</si>
  <si>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</si>
  <si>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</si>
  <si>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</si>
  <si>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</si>
  <si>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</si>
  <si>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</si>
  <si>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</si>
  <si>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</si>
  <si>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</si>
  <si>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</si>
  <si>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</si>
  <si>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</si>
  <si>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</si>
  <si>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</si>
  <si>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</si>
  <si>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</si>
  <si>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</si>
  <si>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</si>
  <si>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</si>
  <si>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</si>
  <si>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</si>
  <si>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</si>
  <si>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</si>
  <si>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</si>
  <si>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</si>
  <si>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</si>
  <si>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</si>
  <si>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</si>
  <si>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</si>
  <si>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</si>
  <si>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</si>
  <si>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</si>
  <si>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</si>
  <si>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</si>
  <si>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</si>
  <si>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</si>
  <si>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</si>
  <si>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</si>
  <si>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</si>
  <si>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</si>
  <si>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</si>
  <si>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</si>
  <si>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</si>
  <si>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</si>
  <si>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</si>
  <si>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</si>
  <si>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</si>
  <si>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</si>
  <si>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</si>
  <si>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</si>
  <si>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</si>
  <si>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</si>
  <si>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</si>
  <si>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</si>
  <si>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</si>
  <si>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</si>
  <si>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</si>
  <si>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</si>
  <si>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</si>
  <si>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</si>
  <si>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</si>
  <si>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</si>
  <si>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</si>
  <si>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</si>
  <si>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</si>
  <si>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</si>
  <si>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</si>
  <si>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</si>
  <si>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</si>
  <si>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</si>
  <si>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</si>
  <si>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</si>
  <si>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</si>
  <si>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</si>
  <si>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</si>
  <si>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</si>
  <si>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</si>
  <si>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</si>
  <si>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</si>
  <si>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</si>
  <si>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</si>
  <si>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</si>
  <si>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</si>
  <si>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</si>
  <si>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</si>
  <si>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</si>
  <si>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</si>
  <si>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</si>
  <si>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</si>
  <si>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</si>
  <si>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</si>
  <si>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</si>
  <si>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</si>
  <si>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</si>
  <si>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</si>
  <si>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</si>
  <si>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</si>
  <si>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</si>
  <si>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</si>
  <si>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</si>
  <si>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</si>
  <si>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</si>
  <si>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</si>
  <si>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</si>
  <si>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</si>
  <si>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</si>
  <si>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</si>
  <si>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</si>
  <si>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</si>
  <si>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</si>
  <si>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</si>
  <si>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</si>
  <si>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</si>
  <si>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</si>
  <si>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</si>
  <si>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</si>
  <si>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</si>
  <si>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</si>
  <si>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</si>
  <si>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</si>
  <si>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</si>
  <si>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</si>
  <si>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</si>
  <si>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</si>
  <si>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</si>
  <si>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</si>
  <si>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</si>
  <si>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</si>
  <si>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</si>
  <si>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</si>
  <si>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</si>
  <si>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</si>
  <si>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</si>
  <si>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</si>
  <si>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</si>
  <si>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</si>
  <si>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</si>
  <si>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</si>
  <si>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</si>
  <si>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</si>
  <si>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</si>
  <si>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</si>
  <si>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</si>
  <si>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</si>
  <si>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</si>
  <si>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</si>
  <si>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</si>
  <si>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</si>
  <si>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</si>
  <si>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</si>
  <si>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</si>
  <si>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</si>
  <si>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</si>
  <si>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</si>
  <si>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</si>
  <si>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</si>
  <si>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</si>
  <si>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</si>
  <si>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</si>
  <si>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</si>
  <si>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</si>
  <si>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</si>
  <si>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</si>
  <si>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</si>
  <si>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</si>
  <si>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</si>
  <si>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</si>
  <si>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</si>
  <si>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</si>
  <si>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</si>
  <si>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</si>
  <si>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</si>
  <si>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</si>
  <si>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</si>
  <si>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</si>
  <si>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</si>
  <si>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</si>
  <si>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</si>
  <si>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</si>
  <si>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</si>
  <si>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</si>
  <si>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</si>
  <si>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</si>
  <si>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</si>
  <si>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</si>
  <si>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</si>
  <si>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</si>
  <si>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</si>
  <si>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</si>
  <si>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</si>
  <si>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</si>
  <si>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</si>
  <si>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</si>
  <si>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</si>
  <si>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</si>
  <si>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</si>
  <si>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</si>
  <si>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</si>
  <si>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</si>
  <si>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</si>
  <si>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</si>
  <si>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</si>
  <si>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</si>
  <si>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</si>
  <si>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</si>
  <si>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</si>
  <si>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</si>
  <si>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</si>
  <si>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</si>
  <si>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</si>
  <si>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</si>
  <si>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</si>
  <si>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</si>
  <si>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</si>
  <si>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</si>
  <si>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</si>
  <si>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</si>
  <si>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</si>
  <si>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</si>
  <si>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</si>
  <si>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</si>
  <si>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</si>
  <si>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</si>
  <si>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</si>
  <si>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</si>
  <si>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</si>
  <si>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</si>
  <si>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</si>
  <si>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</si>
  <si>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</si>
  <si>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</si>
  <si>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</si>
  <si>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</si>
  <si>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</si>
  <si>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</si>
  <si>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</si>
  <si>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</si>
  <si>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</si>
  <si>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</si>
  <si>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</si>
  <si>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</si>
  <si>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</si>
  <si>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</si>
  <si>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</si>
  <si>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</si>
  <si>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</si>
  <si>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</si>
  <si>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</si>
  <si>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</si>
  <si>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</si>
  <si>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</si>
  <si>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</si>
  <si>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</si>
  <si>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</si>
  <si>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</si>
  <si>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</si>
  <si>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</si>
  <si>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</si>
  <si>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</si>
  <si>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</si>
  <si>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</si>
  <si>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</si>
  <si>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</si>
  <si>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</si>
  <si>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</si>
  <si>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</si>
  <si>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</si>
  <si>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</si>
  <si>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</si>
  <si>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</si>
  <si>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</si>
  <si>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</si>
  <si>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</si>
  <si>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</si>
  <si>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</si>
  <si>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</si>
  <si>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</si>
  <si>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</si>
  <si>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</si>
  <si>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</si>
  <si>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</si>
  <si>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</si>
  <si>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</si>
  <si>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</si>
  <si>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</si>
  <si>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</si>
  <si>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</si>
  <si>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</si>
  <si>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</si>
  <si>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</si>
  <si>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</si>
  <si>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</si>
  <si>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</si>
  <si>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</si>
  <si>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</si>
  <si>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</si>
  <si>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</si>
  <si>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</si>
  <si>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</si>
  <si>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</si>
  <si>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</si>
  <si>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</si>
  <si>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</si>
  <si>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</si>
  <si>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</si>
  <si>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</si>
  <si>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</si>
  <si>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</si>
  <si>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</si>
  <si>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</si>
  <si>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</si>
  <si>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</si>
  <si>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</si>
  <si>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</si>
  <si>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</si>
  <si>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</si>
  <si>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</si>
  <si>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</si>
  <si>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</si>
  <si>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</si>
  <si>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</si>
  <si>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</si>
  <si>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</si>
  <si>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</si>
  <si>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</si>
  <si>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</si>
  <si>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</si>
  <si>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</si>
  <si>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</si>
  <si>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</si>
  <si>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</si>
  <si>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</si>
  <si>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</si>
  <si>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</si>
  <si>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</si>
  <si>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</si>
  <si>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</si>
  <si>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</si>
  <si>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</si>
  <si>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</si>
  <si>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</si>
  <si>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</si>
  <si>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</si>
  <si>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</si>
  <si>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</si>
  <si>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</si>
  <si>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</si>
  <si>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</si>
  <si>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</si>
  <si>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</si>
  <si>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</si>
  <si>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</si>
  <si>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</si>
  <si>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</si>
  <si>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</si>
  <si>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</si>
  <si>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</si>
  <si>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</si>
  <si>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</si>
  <si>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</si>
  <si>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</si>
  <si>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</si>
  <si>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</si>
  <si>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</si>
  <si>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</si>
  <si>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</si>
  <si>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</si>
  <si>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</si>
  <si>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</si>
  <si>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</si>
  <si>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</si>
  <si>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</si>
  <si>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</si>
  <si>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</si>
  <si>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</si>
  <si>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</si>
  <si>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</si>
  <si>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</si>
  <si>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</si>
  <si>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</si>
  <si>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</si>
  <si>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</si>
  <si>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</si>
  <si>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</si>
  <si>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</si>
  <si>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</si>
  <si>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</si>
  <si>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</si>
  <si>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</si>
  <si>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</si>
  <si>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</si>
  <si>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</si>
  <si>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</si>
  <si>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</si>
  <si>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</si>
  <si>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</si>
  <si>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</si>
  <si>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</si>
  <si>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</si>
  <si>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</si>
  <si>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</si>
  <si>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</si>
  <si>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</si>
  <si>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</si>
  <si>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</si>
  <si>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</si>
  <si>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</si>
  <si>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</si>
  <si>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</si>
  <si>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</si>
  <si>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</si>
  <si>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</si>
  <si>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</si>
  <si>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</si>
  <si>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</si>
  <si>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</si>
  <si>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</si>
  <si>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</si>
  <si>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</si>
  <si>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</si>
  <si>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</si>
  <si>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</si>
  <si>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</si>
  <si>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</si>
  <si>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</si>
  <si>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</si>
  <si>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</si>
  <si>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</si>
  <si>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</si>
  <si>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</si>
  <si>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</si>
  <si>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</si>
  <si>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</si>
  <si>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</si>
  <si>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</si>
  <si>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</si>
  <si>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</si>
  <si>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</si>
  <si>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</si>
  <si>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</si>
  <si>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</si>
  <si>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</si>
  <si>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</si>
  <si>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</si>
  <si>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</si>
  <si>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</si>
  <si>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</si>
  <si>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</si>
  <si>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</si>
  <si>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</si>
  <si>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</si>
  <si>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</si>
  <si>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</si>
  <si>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</si>
  <si>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</si>
  <si>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</si>
  <si>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</si>
  <si>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</si>
  <si>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</si>
  <si>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</si>
  <si>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</si>
  <si>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</si>
  <si>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</si>
  <si>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</si>
  <si>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</si>
  <si>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</si>
  <si>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</si>
  <si>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</si>
  <si>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</si>
  <si>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</si>
  <si>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</si>
  <si>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</si>
  <si>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</si>
  <si>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</si>
  <si>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</si>
  <si>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</si>
  <si>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</si>
  <si>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</si>
  <si>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</si>
  <si>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</si>
  <si>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</si>
  <si>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</si>
  <si>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</si>
  <si>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</si>
  <si>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</si>
  <si>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</si>
  <si>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</si>
  <si>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</si>
  <si>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</si>
  <si>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</si>
  <si>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</si>
  <si>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</si>
  <si>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</si>
  <si>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</si>
  <si>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</si>
  <si>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</si>
  <si>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</si>
  <si>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</si>
  <si>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</si>
  <si>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</si>
  <si>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</si>
  <si>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</si>
  <si>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</si>
  <si>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</si>
  <si>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</si>
  <si>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</si>
  <si>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</si>
  <si>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</si>
  <si>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</si>
  <si>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</si>
  <si>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</si>
  <si>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</si>
  <si>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</si>
  <si>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</si>
  <si>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</si>
  <si>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</si>
  <si>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</si>
  <si>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</si>
  <si>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</si>
  <si>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</si>
  <si>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</si>
  <si>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</si>
  <si>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</si>
  <si>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</si>
  <si>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</si>
  <si>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</si>
  <si>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</si>
  <si>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</si>
  <si>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</si>
  <si>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</si>
  <si>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</si>
  <si>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</si>
  <si>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</si>
  <si>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</si>
  <si>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</si>
  <si>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</si>
  <si>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</si>
  <si>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</si>
  <si>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</si>
  <si>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</si>
  <si>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</si>
  <si>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</si>
  <si>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</si>
  <si>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</si>
  <si>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</si>
  <si>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</si>
  <si>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</si>
  <si>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</si>
  <si>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</si>
  <si>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</si>
  <si>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</si>
  <si>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</si>
  <si>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</si>
  <si>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</si>
  <si>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</si>
  <si>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</si>
  <si>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</si>
  <si>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</si>
  <si>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</si>
  <si>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</si>
  <si>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</si>
  <si>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</si>
  <si>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</si>
  <si>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</si>
  <si>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</si>
  <si>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</si>
  <si>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</si>
  <si>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</si>
  <si>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</si>
  <si>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</si>
  <si>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</si>
  <si>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</si>
  <si>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</si>
  <si>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</si>
  <si>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</si>
  <si>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</si>
  <si>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</si>
  <si>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</si>
  <si>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</si>
  <si>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</si>
  <si>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</si>
  <si>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</si>
  <si>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</si>
  <si>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</si>
  <si>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</si>
  <si>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</si>
  <si>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</si>
  <si>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</si>
  <si>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</si>
  <si>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</si>
  <si>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</si>
  <si>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</si>
  <si>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</si>
  <si>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</si>
  <si>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</si>
  <si>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</si>
  <si>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</si>
  <si>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</si>
  <si>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</si>
  <si>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</si>
  <si>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</si>
  <si>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</si>
  <si>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</si>
  <si>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</si>
  <si>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</si>
  <si>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</si>
  <si>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</si>
  <si>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</si>
  <si>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</si>
  <si>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</si>
  <si>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</si>
  <si>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</si>
  <si>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</si>
  <si>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</si>
  <si>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</si>
  <si>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</si>
  <si>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</si>
  <si>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</si>
  <si>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</si>
  <si>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</si>
  <si>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</si>
  <si>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</si>
  <si>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</si>
  <si>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</si>
  <si>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</si>
  <si>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</si>
  <si>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</si>
  <si>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</si>
  <si>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</si>
  <si>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</si>
  <si>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</si>
  <si>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</si>
  <si>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</si>
  <si>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</si>
  <si>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</si>
  <si>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</si>
  <si>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</si>
  <si>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</si>
  <si>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</si>
  <si>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</si>
  <si>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</si>
  <si>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</si>
  <si>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</si>
  <si>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</si>
  <si>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</si>
  <si>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</si>
  <si>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</si>
  <si>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</si>
  <si>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</si>
  <si>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</si>
  <si>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</si>
  <si>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</si>
  <si>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</si>
  <si>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</si>
  <si>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</si>
  <si>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</si>
  <si>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</si>
  <si>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</si>
  <si>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</si>
  <si>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</si>
  <si>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</si>
  <si>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</si>
  <si>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</si>
  <si>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</si>
  <si>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</si>
  <si>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</si>
  <si>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</si>
  <si>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</si>
  <si>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</si>
  <si>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</si>
  <si>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</si>
  <si>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</si>
  <si>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</si>
  <si>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</si>
  <si>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</si>
  <si>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</si>
  <si>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</si>
  <si>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</si>
  <si>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</si>
  <si>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</si>
  <si>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</si>
  <si>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</si>
  <si>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</si>
  <si>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</si>
  <si>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</si>
  <si>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</si>
  <si>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</si>
  <si>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</si>
  <si>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</si>
  <si>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</si>
  <si>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</si>
  <si>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</si>
  <si>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</si>
  <si>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</si>
  <si>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</si>
  <si>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</si>
  <si>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</si>
  <si>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</si>
  <si>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</si>
  <si>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</si>
  <si>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</si>
  <si>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</si>
  <si>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</si>
  <si>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</si>
  <si>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</si>
  <si>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</si>
  <si>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</si>
  <si>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</si>
  <si>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</si>
  <si>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</si>
  <si>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</si>
  <si>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</si>
  <si>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</si>
  <si>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</si>
  <si>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</si>
  <si>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</si>
  <si>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</si>
  <si>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</si>
  <si>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</si>
  <si>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</si>
  <si>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</si>
  <si>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</si>
  <si>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</si>
  <si>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</si>
  <si>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</si>
  <si>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</si>
  <si>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</si>
  <si>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</si>
  <si>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</si>
  <si>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</si>
  <si>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</si>
  <si>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</si>
  <si>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</si>
  <si>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</si>
  <si>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</si>
  <si>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</si>
  <si>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</si>
  <si>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</si>
  <si>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</si>
  <si>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</si>
  <si>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</si>
  <si>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</si>
  <si>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</si>
  <si>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</si>
  <si>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</si>
  <si>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</si>
  <si>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</si>
  <si>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</si>
  <si>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</si>
  <si>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</si>
  <si>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</si>
  <si>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</si>
  <si>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</si>
  <si>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</si>
  <si>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</si>
  <si>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</si>
  <si>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</si>
  <si>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</si>
  <si>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</si>
  <si>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</si>
  <si>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</si>
  <si>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</si>
  <si>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</si>
  <si>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</si>
  <si>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</si>
  <si>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</si>
  <si>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</si>
  <si>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</si>
  <si>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</si>
  <si>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</si>
  <si>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</si>
  <si>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</si>
  <si>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</si>
  <si>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</si>
  <si>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</si>
  <si>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</si>
  <si>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</si>
  <si>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</si>
  <si>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</si>
  <si>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</si>
  <si>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</si>
  <si>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</si>
  <si>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</si>
  <si>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</si>
  <si>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</si>
  <si>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</si>
  <si>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</si>
  <si>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</si>
  <si>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</si>
  <si>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</si>
  <si>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</si>
  <si>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</si>
  <si>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</si>
  <si>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</si>
  <si>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</si>
  <si>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</si>
  <si>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</si>
  <si>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</si>
  <si>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</si>
  <si>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</si>
  <si>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</si>
  <si>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</si>
  <si>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</si>
  <si>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</si>
  <si>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</si>
  <si>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</si>
  <si>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</si>
  <si>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</si>
  <si>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</si>
  <si>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</si>
  <si>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</si>
  <si>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</si>
  <si>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</si>
  <si>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</si>
  <si>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</si>
  <si>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</si>
  <si>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</si>
  <si>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</si>
  <si>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</si>
  <si>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</si>
  <si>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</si>
  <si>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</si>
  <si>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</si>
  <si>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</si>
  <si>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</si>
  <si>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</si>
  <si>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</si>
  <si>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</si>
  <si>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</si>
  <si>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</si>
  <si>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</si>
  <si>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</si>
  <si>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</si>
  <si>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</si>
  <si>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</si>
  <si>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</si>
  <si>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</si>
  <si>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</si>
  <si>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</si>
  <si>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</si>
  <si>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</si>
  <si>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</si>
  <si>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</si>
  <si>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</si>
  <si>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</si>
  <si>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</si>
  <si>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</si>
  <si>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</si>
  <si>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</si>
  <si>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</si>
  <si>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</si>
  <si>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</si>
  <si>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</si>
  <si>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</si>
  <si>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</si>
  <si>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</si>
  <si>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</si>
  <si>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</si>
  <si>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</si>
  <si>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</si>
  <si>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</si>
  <si>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</si>
  <si>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</si>
  <si>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</si>
  <si>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</si>
  <si>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</si>
  <si>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</si>
  <si>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</si>
  <si>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</si>
  <si>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</si>
  <si>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</si>
  <si>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</si>
  <si>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</si>
  <si>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</si>
  <si>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</si>
  <si>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</si>
  <si>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</si>
  <si>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</si>
  <si>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</si>
  <si>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</si>
  <si>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</si>
  <si>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</si>
  <si>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</si>
  <si>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</si>
  <si>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</si>
  <si>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</si>
  <si>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</si>
  <si>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</si>
  <si>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</si>
  <si>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</si>
  <si>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</si>
  <si>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</si>
  <si>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</si>
  <si>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</si>
  <si>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</si>
  <si>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</si>
  <si>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</si>
  <si>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</si>
  <si>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</si>
  <si>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</si>
  <si>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</si>
  <si>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</si>
  <si>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</si>
  <si>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</si>
  <si>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</si>
  <si>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</si>
  <si>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</si>
  <si>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</si>
  <si>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</si>
  <si>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</si>
  <si>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</si>
  <si>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</si>
  <si>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</si>
  <si>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</si>
  <si>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</si>
  <si>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</si>
  <si>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</si>
  <si>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</si>
  <si>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</si>
  <si>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</si>
  <si>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</si>
  <si>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</si>
  <si>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</si>
  <si>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</si>
  <si>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</si>
  <si>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</si>
  <si>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</si>
  <si>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</si>
  <si>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</si>
  <si>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</si>
  <si>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</si>
  <si>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</si>
  <si>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</si>
  <si>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</si>
  <si>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</si>
  <si>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</si>
  <si>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</si>
  <si>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</si>
  <si>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</si>
  <si>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</si>
  <si>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</si>
  <si>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</si>
  <si>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</si>
  <si>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</si>
  <si>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</si>
  <si>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</si>
  <si>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</si>
  <si>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</si>
  <si>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</si>
  <si>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</si>
  <si>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</si>
  <si>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</si>
  <si>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</si>
  <si>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</si>
  <si>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</si>
  <si>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</si>
  <si>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</si>
  <si>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</si>
  <si>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</si>
  <si>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</si>
  <si>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</si>
  <si>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</si>
  <si>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</si>
  <si>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</si>
  <si>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</si>
  <si>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</si>
  <si>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</si>
  <si>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</si>
  <si>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</si>
  <si>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</si>
  <si>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</si>
  <si>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</si>
  <si>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</si>
  <si>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</si>
  <si>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</si>
  <si>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</si>
  <si>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</si>
  <si>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</si>
  <si>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</si>
  <si>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</si>
  <si>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</si>
  <si>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</si>
  <si>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</si>
  <si>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</si>
  <si>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</si>
  <si>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</si>
  <si>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</si>
  <si>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</si>
  <si>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</si>
  <si>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</si>
  <si>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</si>
  <si>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</si>
  <si>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</si>
  <si>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</si>
  <si>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</si>
  <si>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</si>
  <si>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</si>
  <si>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</si>
  <si>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</si>
  <si>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</si>
  <si>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</si>
  <si>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</si>
  <si>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</si>
  <si>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</si>
  <si>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</si>
  <si>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</si>
  <si>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</si>
  <si>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</si>
  <si>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</si>
  <si>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</si>
  <si>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</si>
  <si>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</si>
  <si>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</si>
  <si>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</si>
  <si>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</si>
  <si>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</si>
  <si>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</si>
  <si>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</si>
  <si>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</si>
  <si>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</si>
  <si>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</si>
  <si>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</si>
  <si>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</si>
  <si>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</si>
  <si>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</si>
  <si>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</si>
  <si>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</si>
  <si>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</si>
  <si>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</si>
  <si>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</si>
  <si>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</si>
  <si>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</si>
  <si>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</si>
  <si>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</si>
  <si>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</si>
  <si>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</si>
  <si>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</si>
  <si>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</si>
  <si>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</si>
  <si>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</si>
  <si>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</si>
  <si>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</si>
  <si>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</si>
  <si>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</si>
  <si>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</si>
  <si>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</si>
  <si>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</si>
  <si>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</si>
  <si>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</si>
  <si>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</si>
  <si>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</si>
  <si>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</si>
  <si>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</si>
  <si>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</si>
  <si>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</si>
  <si>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</si>
  <si>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</si>
  <si>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</si>
  <si>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</si>
  <si>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</si>
  <si>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</si>
  <si>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</si>
  <si>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</si>
  <si>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</si>
  <si>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</si>
  <si>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</si>
  <si>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</si>
  <si>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</si>
  <si>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</si>
  <si>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</si>
  <si>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</si>
  <si>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</si>
  <si>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</si>
  <si>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</si>
  <si>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</si>
  <si>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</si>
  <si>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</si>
  <si>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</si>
  <si>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</si>
  <si>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</si>
  <si>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</si>
  <si>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</si>
  <si>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</si>
  <si>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</si>
  <si>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</si>
  <si>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</si>
  <si>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</si>
  <si>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</si>
  <si>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</si>
  <si>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</si>
  <si>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</si>
  <si>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</si>
  <si>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</si>
  <si>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</si>
  <si>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</si>
  <si>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</si>
  <si>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</si>
  <si>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</si>
  <si>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</si>
  <si>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</si>
  <si>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</si>
  <si>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</si>
  <si>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</si>
  <si>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</si>
  <si>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</si>
  <si>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</si>
  <si>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</si>
  <si>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</si>
  <si>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</si>
  <si>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</si>
  <si>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</si>
  <si>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</si>
  <si>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</si>
  <si>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</si>
  <si>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</si>
  <si>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</si>
  <si>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</si>
  <si>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</si>
  <si>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</si>
  <si>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</si>
  <si>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</si>
  <si>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</si>
  <si>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</si>
  <si>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</si>
  <si>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</si>
  <si>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</si>
  <si>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</si>
  <si>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</si>
  <si>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</si>
  <si>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</si>
  <si>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</si>
  <si>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</si>
  <si>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</si>
  <si>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</si>
  <si>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</si>
  <si>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</si>
  <si>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</si>
  <si>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</si>
  <si>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</si>
  <si>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</si>
  <si>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</si>
  <si>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</si>
  <si>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</si>
  <si>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</si>
  <si>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</si>
  <si>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</si>
  <si>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</si>
  <si>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</si>
  <si>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</si>
  <si>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</si>
  <si>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</si>
  <si>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</si>
  <si>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</si>
  <si>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</si>
  <si>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</si>
  <si>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</si>
  <si>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</si>
  <si>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</si>
  <si>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</si>
  <si>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</si>
  <si>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</si>
  <si>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</si>
  <si>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</si>
  <si>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</si>
  <si>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</si>
  <si>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</si>
  <si>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</si>
  <si>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</si>
  <si>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</si>
  <si>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</si>
  <si>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</si>
  <si>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</si>
  <si>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</si>
  <si>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</si>
  <si>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</si>
  <si>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</si>
  <si>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</si>
  <si>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</si>
  <si>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</si>
  <si>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</si>
  <si>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</si>
  <si>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</si>
  <si>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</si>
  <si>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</si>
  <si>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</si>
  <si>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</si>
  <si>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</si>
  <si>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</si>
  <si>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</si>
  <si>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</si>
  <si>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</si>
  <si>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</si>
  <si>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</si>
  <si>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</si>
  <si>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</si>
  <si>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</si>
  <si>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</si>
  <si>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</si>
  <si>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</si>
  <si>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</si>
  <si>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</si>
  <si>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</si>
  <si>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</si>
  <si>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</si>
  <si>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</si>
  <si>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</si>
  <si>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</si>
  <si>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</si>
  <si>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</si>
  <si>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</si>
  <si>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</si>
  <si>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</si>
  <si>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</si>
  <si>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</si>
  <si>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</si>
  <si>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</si>
  <si>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</si>
  <si>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</si>
  <si>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</si>
  <si>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</si>
  <si>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</si>
  <si>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</si>
  <si>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</si>
  <si>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</si>
  <si>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</si>
  <si>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</si>
  <si>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</si>
  <si>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</si>
  <si>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</si>
  <si>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</si>
  <si>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</si>
  <si>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</si>
  <si>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</si>
  <si>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</si>
  <si>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</si>
  <si>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</si>
  <si>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</si>
  <si>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</si>
  <si>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</si>
  <si>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</si>
  <si>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</si>
  <si>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</si>
  <si>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</si>
  <si>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</si>
  <si>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</si>
  <si>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</si>
  <si>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</si>
  <si>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</si>
  <si>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</si>
  <si>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</si>
  <si>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</si>
  <si>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</si>
  <si>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</si>
  <si>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</si>
  <si>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</si>
  <si>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</si>
  <si>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</si>
  <si>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</si>
  <si>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</si>
  <si>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</si>
  <si>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</si>
  <si>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</si>
  <si>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</si>
  <si>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</si>
  <si>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</si>
  <si>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</si>
  <si>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</si>
  <si>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</si>
  <si>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</si>
  <si>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</si>
  <si>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</si>
  <si>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</si>
  <si>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</si>
  <si>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</si>
  <si>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</si>
  <si>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</si>
  <si>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</si>
  <si>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</si>
  <si>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</si>
  <si>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</si>
  <si>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</si>
  <si>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</si>
  <si>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</si>
  <si>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</si>
  <si>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</si>
  <si>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</si>
  <si>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</si>
  <si>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</si>
  <si>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</si>
  <si>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</si>
  <si>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</si>
  <si>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</si>
  <si>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</si>
  <si>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</si>
  <si>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</si>
  <si>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</si>
  <si>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</si>
  <si>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</si>
  <si>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</si>
  <si>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</si>
  <si>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</si>
  <si>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</si>
  <si>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</si>
  <si>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</si>
  <si>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</si>
  <si>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</si>
  <si>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</si>
  <si>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</si>
  <si>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</si>
  <si>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</si>
  <si>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</si>
  <si>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</si>
  <si>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</si>
  <si>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</si>
  <si>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</si>
  <si>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</si>
  <si>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</si>
  <si>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</si>
  <si>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</si>
  <si>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</si>
  <si>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</si>
  <si>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</si>
  <si>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</si>
  <si>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</si>
  <si>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</si>
  <si>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</si>
  <si>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</si>
  <si>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</si>
  <si>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</si>
  <si>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</si>
  <si>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</si>
  <si>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</si>
  <si>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</si>
  <si>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</si>
  <si>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</si>
  <si>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</si>
  <si>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</si>
  <si>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</si>
  <si>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</si>
  <si>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</si>
  <si>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</si>
  <si>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</si>
  <si>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</si>
  <si>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</si>
  <si>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</si>
  <si>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</si>
  <si>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</si>
  <si>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</si>
  <si>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</si>
  <si>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</si>
  <si>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</si>
  <si>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</si>
  <si>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</si>
  <si>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</si>
  <si>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</si>
  <si>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</si>
  <si>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</si>
  <si>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</si>
  <si>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</si>
  <si>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</si>
  <si>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</si>
  <si>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</si>
  <si>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</si>
  <si>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</si>
  <si>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</si>
  <si>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</si>
  <si>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</si>
  <si>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</si>
  <si>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</si>
  <si>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</si>
  <si>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</si>
  <si>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</si>
  <si>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</si>
  <si>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</si>
  <si>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</si>
  <si>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</si>
  <si>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</si>
  <si>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</si>
  <si>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</si>
  <si>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</si>
  <si>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</si>
  <si>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</si>
  <si>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</si>
  <si>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</si>
  <si>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</si>
  <si>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</si>
  <si>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</si>
  <si>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</si>
  <si>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</si>
  <si>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</si>
  <si>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</si>
  <si>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</si>
  <si>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</si>
  <si>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</si>
  <si>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</si>
  <si>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</si>
  <si>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</si>
  <si>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</si>
  <si>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</si>
  <si>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</si>
  <si>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</si>
  <si>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</si>
  <si>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</si>
  <si>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</si>
  <si>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</si>
  <si>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</si>
  <si>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</si>
  <si>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</si>
  <si>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</si>
  <si>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</si>
  <si>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</si>
  <si>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</si>
  <si>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</si>
  <si>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</si>
  <si>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</si>
  <si>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</si>
  <si>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</si>
  <si>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</si>
  <si>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</si>
  <si>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</si>
  <si>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</si>
  <si>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</si>
  <si>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</si>
  <si>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</si>
  <si>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</si>
  <si>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</si>
  <si>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</si>
  <si>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</si>
  <si>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</si>
  <si>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</si>
  <si>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</si>
  <si>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</si>
  <si>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</si>
  <si>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</si>
  <si>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</si>
  <si>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</si>
  <si>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</si>
  <si>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</si>
  <si>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</si>
  <si>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</si>
  <si>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</si>
  <si>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</si>
  <si>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</si>
  <si>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</si>
  <si>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</si>
  <si>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</si>
  <si>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</si>
  <si>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</si>
  <si>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</si>
  <si>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</si>
  <si>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</si>
  <si>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</si>
  <si>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</si>
  <si>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</si>
  <si>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</si>
  <si>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</si>
  <si>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</si>
  <si>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</si>
  <si>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</si>
  <si>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</si>
  <si>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</si>
  <si>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</si>
  <si>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</si>
  <si>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</si>
  <si>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</si>
  <si>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</si>
  <si>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</si>
  <si>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</si>
  <si>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</si>
  <si>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</si>
  <si>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</si>
  <si>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</si>
  <si>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</si>
  <si>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</si>
  <si>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</si>
  <si>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</si>
  <si>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</si>
  <si>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</si>
  <si>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</si>
  <si>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</si>
  <si>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</si>
  <si>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</si>
  <si>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</si>
  <si>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</si>
  <si>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</si>
  <si>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</si>
  <si>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</si>
  <si>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</si>
  <si>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</si>
  <si>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</si>
  <si>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</si>
  <si>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</si>
  <si>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</si>
  <si>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</si>
  <si>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</si>
  <si>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</si>
  <si>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</si>
  <si>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</si>
  <si>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</si>
  <si>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</si>
  <si>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</si>
  <si>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</si>
  <si>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</si>
  <si>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</si>
  <si>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</si>
  <si>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</si>
  <si>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</si>
  <si>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</si>
  <si>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</si>
  <si>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</si>
  <si>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</si>
  <si>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</si>
  <si>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</si>
  <si>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</si>
  <si>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</si>
  <si>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</si>
  <si>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</si>
  <si>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</si>
  <si>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</si>
  <si>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</si>
  <si>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</si>
  <si>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</si>
  <si>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</si>
  <si>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</si>
  <si>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</si>
  <si>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</si>
  <si>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</si>
  <si>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</si>
  <si>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</si>
  <si>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</si>
  <si>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</si>
  <si>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</si>
  <si>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</si>
  <si>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</si>
  <si>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</si>
  <si>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</si>
  <si>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</si>
  <si>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</si>
  <si>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</si>
  <si>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</si>
  <si>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</si>
  <si>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</si>
  <si>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</si>
  <si>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</si>
  <si>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</si>
  <si>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</si>
  <si>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</si>
  <si>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</si>
  <si>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</si>
  <si>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</si>
  <si>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</si>
  <si>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</si>
  <si>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</si>
  <si>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</si>
  <si>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</si>
  <si>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</si>
  <si>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</si>
  <si>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</si>
  <si>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</si>
  <si>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</si>
  <si>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</si>
  <si>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</si>
  <si>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</si>
  <si>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</si>
  <si>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</si>
  <si>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</si>
  <si>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</si>
  <si>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</si>
  <si>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</si>
  <si>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</si>
  <si>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</si>
  <si>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</si>
  <si>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</si>
  <si>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</si>
  <si>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</si>
  <si>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</si>
  <si>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</si>
  <si>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</si>
  <si>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</si>
  <si>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</si>
  <si>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</si>
  <si>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</si>
  <si>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</si>
  <si>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</si>
  <si>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</si>
  <si>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</si>
  <si>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</si>
  <si>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</si>
  <si>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</si>
  <si>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</si>
  <si>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</si>
  <si>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</si>
  <si>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</si>
  <si>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</si>
  <si>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</si>
  <si>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</si>
  <si>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</si>
  <si>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</si>
  <si>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</si>
  <si>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</si>
  <si>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</si>
  <si>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</si>
  <si>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</si>
  <si>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</si>
  <si>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</si>
  <si>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</si>
  <si>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</si>
  <si>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</si>
  <si>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</si>
  <si>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</si>
  <si>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</si>
  <si>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</si>
  <si>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</si>
  <si>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</si>
  <si>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</si>
  <si>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</si>
  <si>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</si>
  <si>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</si>
  <si>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</si>
  <si>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</si>
  <si>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</si>
  <si>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</si>
  <si>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</si>
  <si>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</si>
  <si>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</si>
  <si>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</si>
  <si>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</si>
  <si>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</si>
  <si>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</si>
  <si>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</si>
  <si>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</si>
  <si>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</si>
  <si>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</si>
  <si>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</si>
  <si>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</si>
  <si>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</si>
  <si>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</si>
  <si>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</si>
  <si>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</si>
  <si>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</si>
  <si>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</si>
  <si>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</si>
  <si>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</si>
  <si>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</si>
  <si>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</si>
  <si>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</si>
  <si>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</si>
  <si>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</si>
  <si>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</si>
  <si>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</si>
  <si>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</si>
  <si>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</si>
  <si>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</si>
  <si>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</si>
  <si>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</si>
  <si>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</si>
  <si>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</si>
  <si>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</si>
  <si>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</si>
  <si>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</si>
  <si>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</si>
  <si>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</si>
  <si>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</si>
  <si>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</si>
  <si>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</si>
  <si>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</si>
  <si>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</si>
  <si>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</si>
  <si>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</si>
  <si>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</si>
  <si>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</si>
  <si>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</si>
  <si>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</si>
  <si>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</si>
  <si>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</si>
  <si>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</si>
  <si>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</si>
  <si>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</si>
  <si>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</si>
  <si>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</si>
  <si>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</si>
  <si>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</si>
  <si>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</si>
  <si>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</si>
  <si>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</si>
  <si>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</si>
  <si>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</si>
  <si>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</si>
  <si>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</si>
  <si>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</si>
  <si>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</si>
  <si>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</si>
  <si>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</si>
  <si>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</si>
  <si>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</si>
  <si>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</si>
  <si>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</si>
  <si>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</si>
  <si>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</si>
  <si>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</si>
  <si>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</si>
  <si>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</si>
  <si>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</si>
  <si>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</si>
  <si>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</si>
  <si>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</si>
  <si>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</si>
  <si>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</si>
  <si>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</si>
  <si>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</si>
  <si>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</si>
  <si>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</si>
  <si>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</si>
  <si>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</si>
  <si>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</si>
  <si>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</si>
  <si>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</si>
  <si>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</si>
  <si>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</si>
  <si>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</si>
  <si>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</si>
  <si>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</si>
  <si>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</si>
  <si>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</si>
  <si>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</si>
  <si>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</si>
  <si>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</si>
  <si>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</si>
  <si>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</si>
  <si>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</si>
  <si>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</si>
  <si>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</si>
  <si>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</si>
  <si>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</si>
  <si>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</si>
  <si>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</si>
  <si>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</si>
  <si>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</si>
  <si>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</si>
  <si>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</si>
  <si>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</si>
  <si>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</si>
  <si>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</si>
  <si>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</si>
  <si>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</si>
  <si>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</si>
  <si>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</si>
  <si>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</si>
  <si>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</si>
  <si>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</si>
  <si>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</si>
  <si>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</si>
  <si>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</si>
  <si>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</si>
  <si>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</si>
  <si>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</si>
  <si>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</si>
  <si>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</si>
  <si>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</si>
  <si>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</si>
  <si>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</si>
  <si>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</si>
  <si>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</si>
  <si>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</si>
  <si>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</si>
  <si>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</si>
  <si>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</si>
  <si>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</si>
  <si>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</si>
  <si>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</si>
  <si>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</si>
  <si>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</si>
  <si>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</si>
  <si>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</si>
  <si>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</si>
  <si>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</si>
  <si>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</si>
  <si>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</si>
  <si>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</si>
  <si>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</si>
  <si>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</si>
  <si>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</si>
  <si>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</si>
  <si>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</si>
  <si>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</si>
  <si>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</si>
  <si>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</si>
  <si>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</si>
  <si>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</si>
  <si>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</si>
  <si>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</si>
  <si>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</si>
  <si>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</si>
  <si>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</si>
  <si>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</si>
  <si>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</si>
  <si>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</si>
  <si>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</si>
  <si>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</si>
  <si>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</si>
  <si>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</si>
  <si>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</si>
  <si>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</si>
  <si>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</si>
  <si>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</si>
  <si>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</si>
  <si>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</si>
  <si>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</si>
  <si>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</si>
  <si>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</si>
  <si>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</si>
  <si>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</si>
  <si>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</si>
  <si>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</si>
  <si>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</si>
  <si>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</si>
  <si>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</si>
  <si>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</si>
  <si>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</si>
  <si>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</si>
  <si>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</si>
  <si>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</si>
  <si>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</si>
  <si>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</si>
  <si>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</si>
  <si>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</si>
  <si>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</si>
  <si>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</si>
  <si>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</si>
  <si>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</si>
  <si>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</si>
  <si>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</si>
  <si>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</si>
  <si>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</si>
  <si>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</si>
  <si>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</si>
  <si>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</si>
  <si>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</si>
  <si>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</si>
  <si>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</si>
  <si>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</si>
  <si>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</si>
  <si>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</si>
  <si>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</si>
  <si>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</si>
  <si>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</si>
  <si>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</si>
  <si>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</si>
  <si>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</si>
  <si>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</si>
  <si>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</si>
  <si>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</si>
  <si>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</si>
  <si>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</si>
  <si>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</si>
  <si>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</si>
  <si>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</si>
  <si>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</si>
  <si>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</si>
  <si>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</si>
  <si>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</si>
  <si>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</si>
  <si>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</si>
  <si>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</si>
  <si>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</si>
  <si>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</si>
  <si>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</si>
  <si>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</si>
  <si>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</si>
  <si>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</si>
  <si>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</si>
  <si>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</si>
  <si>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</si>
  <si>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</si>
  <si>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</si>
  <si>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</si>
  <si>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</si>
  <si>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</si>
  <si>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</si>
  <si>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</si>
  <si>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</si>
  <si>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</si>
  <si>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</si>
  <si>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</si>
  <si>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</si>
  <si>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</si>
  <si>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</si>
  <si>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</si>
  <si>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</si>
  <si>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</si>
  <si>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</si>
  <si>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</si>
  <si>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</si>
  <si>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</si>
  <si>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</si>
  <si>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</si>
  <si>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</si>
  <si>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</si>
  <si>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</si>
  <si>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</si>
  <si>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</si>
  <si>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</si>
  <si>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</si>
  <si>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</si>
  <si>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</si>
  <si>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</si>
  <si>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</si>
  <si>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</si>
  <si>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</si>
  <si>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</si>
  <si>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</si>
  <si>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</si>
  <si>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</si>
  <si>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</si>
  <si>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</si>
  <si>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</si>
  <si>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</si>
  <si>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</si>
  <si>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</si>
  <si>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</si>
  <si>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</si>
  <si>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</si>
  <si>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</si>
  <si>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</si>
  <si>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</si>
  <si>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</si>
  <si>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</si>
  <si>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</si>
  <si>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</si>
  <si>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</si>
  <si>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</si>
  <si>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</si>
  <si>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</si>
  <si>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</si>
  <si>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</si>
  <si>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</si>
  <si>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</si>
  <si>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</si>
  <si>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</si>
  <si>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</si>
  <si>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</si>
  <si>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</si>
  <si>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</si>
  <si>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</si>
  <si>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</si>
  <si>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</si>
  <si>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</si>
  <si>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</si>
  <si>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</si>
  <si>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</si>
  <si>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</si>
  <si>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</si>
  <si>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</si>
  <si>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</si>
  <si>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</si>
  <si>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</si>
  <si>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</si>
  <si>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</si>
  <si>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</si>
  <si>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</si>
  <si>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</si>
  <si>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</si>
  <si>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</si>
  <si>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</si>
  <si>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</si>
  <si>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</si>
  <si>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</si>
  <si>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</si>
  <si>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</si>
  <si>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</si>
  <si>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</si>
  <si>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</si>
  <si>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</si>
  <si>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</si>
  <si>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</si>
  <si>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</si>
  <si>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</si>
  <si>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</si>
  <si>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</si>
  <si>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</si>
  <si>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</si>
  <si>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</si>
  <si>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</si>
  <si>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</si>
  <si>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</si>
  <si>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</si>
  <si>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</si>
  <si>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</si>
  <si>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</si>
  <si>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</si>
  <si>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</si>
  <si>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</si>
  <si>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</si>
  <si>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</si>
  <si>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</si>
  <si>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</si>
  <si>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</si>
  <si>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</si>
  <si>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</si>
  <si>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</si>
  <si>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</si>
  <si>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</si>
  <si>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</si>
  <si>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</si>
  <si>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</si>
  <si>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</si>
  <si>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</si>
  <si>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</si>
  <si>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</si>
  <si>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</si>
  <si>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</si>
  <si>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</si>
  <si>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</si>
  <si>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</si>
  <si>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</si>
  <si>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</si>
  <si>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</si>
  <si>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</si>
  <si>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</si>
  <si>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</si>
  <si>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</si>
  <si>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</si>
  <si>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</si>
  <si>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</si>
  <si>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</si>
  <si>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</si>
  <si>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</si>
  <si>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</si>
  <si>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</si>
  <si>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</si>
  <si>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</si>
  <si>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</si>
  <si>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</si>
  <si>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</si>
  <si>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</si>
  <si>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</si>
  <si>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</si>
  <si>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</si>
  <si>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</si>
  <si>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</si>
  <si>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</si>
  <si>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</si>
  <si>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</si>
  <si>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</si>
  <si>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</si>
  <si>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</si>
  <si>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</si>
  <si>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</si>
  <si>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</si>
  <si>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</si>
  <si>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</si>
  <si>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</si>
  <si>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</si>
  <si>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</si>
  <si>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</si>
  <si>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</si>
  <si>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</si>
  <si>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</si>
  <si>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</si>
  <si>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</si>
  <si>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</si>
  <si>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</si>
  <si>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</si>
  <si>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</si>
  <si>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</si>
  <si>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</si>
  <si>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</si>
  <si>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</si>
  <si>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</si>
  <si>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</si>
  <si>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</si>
  <si>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</si>
  <si>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</si>
  <si>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</si>
  <si>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</si>
  <si>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</si>
  <si>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</si>
  <si>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</si>
  <si>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</si>
  <si>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</si>
  <si>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</si>
  <si>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</si>
  <si>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</si>
  <si>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</si>
  <si>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</si>
  <si>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</si>
  <si>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</si>
  <si>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</si>
  <si>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</si>
  <si>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</si>
  <si>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</si>
  <si>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</si>
  <si>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</si>
  <si>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</si>
  <si>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</si>
  <si>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</si>
  <si>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</si>
  <si>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</si>
  <si>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</si>
  <si>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</si>
  <si>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</si>
  <si>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</si>
  <si>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</si>
  <si>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</si>
  <si>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</si>
  <si>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</si>
  <si>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</si>
  <si>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</si>
  <si>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</si>
  <si>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</si>
  <si>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</si>
  <si>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</si>
  <si>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</si>
  <si>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</si>
  <si>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</si>
  <si>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</si>
  <si>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</si>
  <si>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</si>
  <si>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</si>
  <si>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</si>
  <si>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</si>
  <si>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</si>
  <si>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</si>
  <si>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</si>
  <si>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</si>
  <si>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</si>
  <si>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</si>
  <si>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</si>
  <si>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</si>
  <si>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</si>
  <si>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</si>
  <si>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</si>
  <si>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</si>
  <si>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</si>
  <si>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</si>
  <si>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</si>
  <si>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</si>
  <si>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</si>
  <si>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</si>
  <si>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</si>
  <si>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</si>
  <si>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</si>
  <si>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</si>
  <si>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</si>
  <si>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</si>
  <si>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</si>
  <si>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</si>
  <si>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</si>
  <si>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</si>
  <si>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</si>
  <si>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</si>
  <si>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</si>
  <si>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</si>
  <si>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</si>
  <si>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</si>
  <si>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</si>
  <si>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</si>
  <si>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</si>
  <si>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</si>
  <si>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</si>
  <si>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</si>
  <si>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</si>
  <si>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</si>
  <si>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</si>
  <si>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</si>
  <si>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</si>
  <si>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</si>
  <si>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</si>
  <si>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</si>
  <si>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</si>
  <si>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</si>
  <si>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</si>
  <si>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</si>
  <si>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</si>
  <si>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</si>
  <si>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</si>
  <si>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</si>
  <si>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</si>
  <si>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</si>
  <si>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</si>
  <si>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</si>
  <si>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</si>
  <si>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</si>
  <si>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</si>
  <si>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</si>
  <si>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</si>
  <si>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</si>
  <si>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</si>
  <si>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</si>
  <si>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</si>
  <si>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</si>
  <si>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</si>
  <si>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</si>
  <si>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</si>
  <si>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</si>
  <si>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</si>
  <si>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</si>
  <si>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</si>
  <si>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</si>
  <si>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</si>
  <si>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</si>
  <si>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</si>
  <si>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</si>
  <si>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</si>
  <si>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</si>
  <si>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</si>
  <si>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</si>
  <si>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</si>
  <si>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</si>
  <si>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</si>
  <si>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</si>
  <si>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</si>
  <si>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</si>
  <si>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</si>
  <si>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</si>
  <si>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</si>
  <si>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</si>
  <si>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</si>
  <si>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</si>
  <si>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</si>
  <si>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</si>
  <si>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</si>
  <si>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</si>
  <si>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</si>
  <si>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</si>
  <si>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</si>
  <si>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</si>
  <si>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</si>
  <si>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</si>
  <si>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</si>
  <si>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</si>
  <si>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</si>
  <si>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</si>
  <si>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</si>
  <si>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</si>
  <si>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</si>
  <si>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</si>
  <si>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</si>
  <si>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</si>
  <si>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</si>
  <si>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</si>
  <si>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</si>
  <si>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</si>
  <si>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</si>
  <si>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</si>
  <si>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</si>
  <si>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</si>
  <si>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</si>
  <si>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</si>
  <si>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</si>
  <si>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</si>
  <si>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</si>
  <si>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</si>
  <si>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</si>
  <si>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</si>
  <si>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</si>
  <si>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</si>
  <si>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</si>
  <si>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</si>
  <si>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</si>
  <si>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</si>
  <si>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</si>
  <si>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</si>
  <si>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</si>
  <si>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</si>
  <si>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</si>
  <si>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</si>
  <si>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</si>
  <si>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</si>
  <si>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</si>
  <si>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</si>
  <si>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</si>
  <si>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</si>
  <si>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</si>
  <si>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</si>
  <si>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</si>
  <si>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</si>
  <si>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</si>
  <si>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</si>
  <si>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</si>
  <si>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</si>
  <si>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</si>
  <si>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</si>
  <si>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</si>
  <si>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</si>
  <si>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</si>
  <si>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</si>
  <si>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</si>
  <si>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</si>
  <si>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</si>
  <si>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</si>
  <si>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</si>
  <si>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</si>
  <si>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</si>
  <si>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</si>
  <si>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</si>
  <si>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</si>
  <si>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</si>
  <si>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</si>
  <si>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</si>
  <si>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</si>
  <si>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</si>
  <si>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</si>
  <si>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</si>
  <si>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</si>
  <si>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</si>
  <si>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</si>
  <si>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</si>
  <si>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</si>
  <si>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</si>
  <si>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</si>
  <si>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</si>
  <si>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</si>
  <si>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</si>
  <si>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</si>
  <si>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</si>
  <si>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</si>
  <si>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</si>
  <si>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</si>
  <si>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</si>
  <si>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</si>
  <si>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</si>
  <si>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</si>
  <si>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</si>
  <si>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</si>
  <si>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</si>
  <si>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</si>
  <si>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</si>
  <si>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</si>
  <si>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</si>
  <si>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</si>
  <si>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</si>
  <si>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</si>
  <si>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</si>
  <si>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</si>
  <si>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</si>
  <si>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</si>
  <si>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</si>
  <si>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</si>
  <si>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</si>
  <si>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</si>
  <si>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</si>
  <si>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</si>
  <si>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</si>
  <si>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</si>
  <si>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</si>
  <si>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</si>
  <si>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</si>
  <si>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</si>
  <si>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</si>
  <si>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</si>
  <si>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</si>
  <si>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</si>
  <si>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</si>
  <si>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</si>
  <si>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</si>
  <si>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</si>
  <si>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</si>
  <si>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</si>
  <si>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</si>
  <si>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</si>
  <si>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</si>
  <si>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</si>
  <si>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</si>
  <si>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</si>
  <si>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</si>
  <si>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</si>
  <si>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</si>
  <si>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</si>
  <si>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</si>
  <si>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</si>
  <si>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</si>
  <si>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</si>
  <si>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</si>
  <si>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</si>
  <si>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</si>
  <si>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</si>
  <si>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</si>
  <si>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</si>
  <si>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</si>
  <si>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</si>
  <si>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</si>
  <si>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</si>
  <si>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</si>
  <si>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</si>
  <si>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</si>
  <si>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</si>
  <si>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</si>
  <si>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</si>
  <si>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</si>
  <si>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</si>
  <si>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</si>
  <si>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</si>
  <si>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</si>
  <si>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</si>
  <si>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</si>
  <si>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</si>
  <si>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</si>
  <si>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</si>
  <si>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</si>
  <si>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</si>
  <si>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</si>
  <si>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</si>
  <si>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</si>
  <si>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</si>
  <si>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</si>
  <si>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</si>
  <si>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</si>
  <si>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</si>
  <si>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</si>
  <si>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</si>
  <si>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</si>
  <si>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</si>
  <si>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</si>
  <si>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</si>
  <si>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</si>
  <si>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</si>
  <si>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</si>
  <si>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</si>
  <si>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</si>
  <si>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</si>
  <si>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</si>
  <si>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</si>
  <si>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</si>
  <si>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</si>
  <si>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</si>
  <si>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</si>
  <si>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</si>
  <si>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</si>
  <si>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</si>
  <si>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</si>
  <si>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</si>
  <si>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</si>
  <si>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</si>
  <si>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</si>
  <si>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</si>
  <si>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</si>
  <si>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</si>
  <si>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</si>
  <si>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</si>
  <si>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</si>
  <si>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</si>
  <si>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</si>
  <si>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</si>
  <si>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</si>
  <si>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</si>
  <si>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</si>
  <si>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</si>
  <si>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</si>
  <si>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</si>
  <si>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</si>
  <si>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</si>
  <si>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</si>
  <si>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</si>
  <si>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</si>
  <si>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</si>
  <si>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</si>
  <si>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</si>
  <si>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</si>
  <si>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</si>
  <si>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</si>
  <si>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</si>
  <si>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</si>
  <si>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</si>
  <si>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</si>
  <si>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</si>
  <si>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</si>
  <si>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</si>
  <si>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</si>
  <si>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</si>
  <si>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</si>
  <si>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</si>
  <si>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</si>
  <si>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</si>
  <si>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</si>
  <si>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</si>
  <si>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</si>
  <si>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</si>
  <si>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</si>
  <si>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</si>
  <si>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</si>
  <si>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</si>
  <si>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</si>
  <si>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</si>
  <si>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</si>
  <si>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</si>
  <si>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</si>
  <si>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</si>
  <si>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</si>
  <si>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</si>
  <si>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</si>
  <si>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</si>
  <si>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</si>
  <si>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</si>
  <si>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</si>
  <si>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</si>
  <si>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</si>
  <si>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</si>
  <si>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</si>
  <si>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</si>
  <si>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</si>
  <si>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</si>
  <si>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</si>
  <si>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</si>
  <si>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</si>
  <si>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</si>
  <si>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</si>
  <si>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</si>
  <si>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</si>
  <si>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</si>
  <si>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</si>
  <si>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</si>
  <si>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</si>
  <si>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</si>
  <si>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</si>
  <si>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</si>
  <si>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</si>
  <si>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</si>
  <si>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</si>
  <si>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</si>
  <si>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</si>
  <si>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</si>
  <si>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</si>
  <si>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</si>
  <si>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</si>
  <si>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</si>
  <si>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</si>
  <si>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</si>
  <si>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</si>
  <si>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</si>
  <si>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</si>
  <si>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</si>
  <si>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</si>
  <si>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</si>
  <si>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</si>
  <si>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</si>
  <si>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</si>
  <si>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</si>
  <si>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</si>
  <si>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</si>
  <si>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</si>
  <si>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</si>
  <si>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</si>
  <si>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</si>
  <si>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</si>
  <si>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</si>
  <si>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</si>
  <si>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</si>
  <si>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</si>
  <si>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</si>
  <si>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</si>
  <si>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</si>
  <si>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</si>
  <si>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</si>
  <si>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</si>
  <si>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</si>
  <si>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</si>
  <si>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</si>
  <si>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</si>
  <si>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</si>
  <si>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</si>
  <si>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</si>
  <si>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</si>
  <si>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</si>
  <si>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</si>
  <si>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</si>
  <si>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</si>
  <si>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</si>
  <si>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</si>
  <si>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</si>
  <si>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</si>
  <si>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</si>
  <si>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</si>
  <si>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</si>
  <si>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</si>
  <si>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</si>
  <si>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</si>
  <si>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</si>
  <si>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</si>
  <si>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</si>
  <si>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</si>
  <si>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</si>
  <si>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</si>
  <si>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</si>
  <si>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</si>
  <si>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</si>
  <si>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</si>
  <si>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</si>
  <si>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</si>
  <si>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</si>
  <si>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</si>
  <si>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</si>
  <si>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</si>
  <si>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</si>
  <si>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</si>
  <si>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</si>
  <si>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</si>
  <si>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</si>
  <si>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</si>
  <si>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</si>
  <si>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</si>
  <si>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</si>
  <si>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</si>
  <si>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</si>
  <si>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</si>
  <si>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</si>
  <si>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</si>
  <si>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</si>
  <si>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</si>
  <si>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</si>
  <si>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</si>
  <si>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</si>
  <si>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</si>
  <si>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</si>
  <si>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</si>
  <si>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</si>
  <si>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</si>
  <si>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</si>
  <si>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</si>
  <si>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</si>
  <si>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</si>
  <si>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</si>
  <si>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</si>
  <si>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</si>
  <si>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</si>
  <si>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</si>
  <si>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</si>
  <si>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</si>
  <si>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</si>
  <si>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</si>
  <si>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</si>
  <si>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</si>
  <si>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</si>
  <si>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</si>
  <si>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</si>
  <si>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</si>
  <si>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</si>
  <si>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</si>
  <si>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</si>
  <si>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</si>
  <si>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</si>
  <si>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</si>
  <si>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</si>
  <si>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</si>
  <si>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</si>
  <si>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</si>
  <si>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</si>
  <si>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</si>
  <si>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</si>
  <si>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</si>
  <si>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</si>
  <si>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</si>
  <si>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</si>
  <si>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</si>
  <si>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</si>
  <si>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</si>
  <si>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</si>
  <si>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</si>
  <si>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</si>
  <si>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</si>
  <si>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</si>
  <si>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</si>
  <si>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</si>
  <si>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</si>
  <si>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</si>
  <si>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</si>
  <si>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</si>
  <si>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</si>
  <si>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</si>
  <si>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</si>
  <si>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</si>
  <si>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</si>
  <si>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</si>
  <si>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</si>
  <si>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</si>
  <si>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</si>
  <si>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</si>
  <si>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</si>
  <si>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</si>
  <si>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</si>
  <si>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</si>
  <si>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</si>
  <si>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</si>
  <si>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</si>
  <si>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</si>
  <si>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</si>
  <si>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</si>
  <si>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</si>
  <si>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</si>
  <si>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</si>
  <si>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</si>
  <si>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</si>
  <si>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</si>
  <si>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</si>
  <si>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</si>
  <si>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</si>
  <si>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</si>
  <si>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</si>
  <si>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</si>
  <si>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</si>
  <si>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</si>
  <si>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</si>
  <si>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</si>
  <si>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</si>
  <si>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</si>
  <si>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</si>
  <si>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</si>
  <si>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</si>
  <si>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</si>
  <si>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</si>
  <si>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</si>
  <si>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</si>
  <si>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</si>
  <si>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</si>
  <si>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</si>
  <si>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</si>
  <si>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</si>
  <si>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</si>
  <si>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</si>
  <si>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</si>
  <si>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</si>
  <si>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</si>
  <si>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</si>
  <si>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</si>
  <si>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</si>
  <si>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</si>
  <si>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</si>
  <si>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</si>
  <si>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</si>
  <si>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</si>
  <si>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</si>
  <si>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</si>
  <si>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</si>
  <si>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</si>
  <si>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</si>
  <si>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</si>
  <si>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</si>
  <si>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</si>
  <si>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</si>
  <si>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</si>
  <si>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</si>
  <si>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</si>
  <si>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</si>
  <si>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</si>
  <si>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</si>
  <si>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</si>
  <si>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</si>
  <si>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</si>
  <si>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</si>
  <si>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</si>
  <si>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</si>
  <si>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</si>
  <si>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</si>
  <si>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</si>
  <si>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</si>
  <si>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</si>
  <si>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</si>
  <si>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</si>
  <si>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</si>
  <si>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</si>
  <si>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</si>
  <si>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</si>
  <si>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</si>
  <si>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</si>
  <si>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</si>
  <si>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</si>
  <si>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</si>
  <si>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</si>
  <si>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</si>
  <si>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</si>
  <si>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</si>
  <si>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</si>
  <si>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</si>
  <si>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</si>
  <si>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</si>
  <si>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</si>
  <si>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</si>
  <si>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</si>
  <si>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</si>
  <si>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</si>
  <si>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</si>
  <si>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</si>
  <si>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</si>
  <si>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</si>
  <si>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</si>
  <si>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</si>
  <si>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</si>
  <si>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</si>
  <si>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</si>
  <si>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</si>
  <si>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</si>
  <si>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</si>
  <si>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</si>
  <si>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</si>
  <si>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</si>
  <si>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</si>
  <si>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</si>
  <si>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</si>
  <si>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</si>
  <si>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</si>
  <si>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</si>
  <si>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</si>
  <si>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</si>
  <si>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</si>
  <si>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</si>
  <si>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</si>
  <si>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</si>
  <si>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</si>
  <si>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</si>
  <si>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</si>
  <si>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</si>
  <si>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</si>
  <si>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</si>
  <si>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</si>
  <si>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</si>
  <si>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</si>
  <si>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</si>
  <si>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</si>
  <si>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</si>
  <si>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</si>
  <si>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</si>
  <si>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</si>
  <si>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</si>
  <si>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</si>
  <si>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</si>
  <si>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</si>
  <si>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</si>
  <si>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</si>
  <si>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</si>
  <si>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</si>
  <si>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</si>
  <si>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</si>
  <si>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</si>
  <si>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</si>
  <si>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</si>
  <si>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</si>
  <si>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</si>
  <si>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</si>
  <si>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</si>
  <si>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</si>
  <si>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</si>
  <si>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</si>
  <si>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</si>
  <si>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</si>
  <si>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</si>
  <si>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</si>
  <si>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</si>
  <si>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</si>
  <si>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</si>
  <si>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</si>
  <si>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</si>
  <si>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</si>
  <si>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</si>
  <si>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</si>
  <si>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</si>
  <si>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</si>
  <si>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</si>
  <si>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</si>
  <si>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</si>
  <si>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</si>
  <si>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</si>
  <si>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</si>
  <si>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</si>
  <si>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</si>
  <si>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</si>
  <si>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</si>
  <si>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</si>
  <si>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</si>
  <si>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</si>
  <si>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</si>
  <si>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</si>
  <si>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</si>
  <si>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</si>
  <si>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</si>
  <si>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</si>
  <si>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</si>
  <si>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</si>
  <si>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</si>
  <si>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</si>
  <si>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</si>
  <si>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</si>
  <si>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</si>
  <si>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</si>
  <si>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</si>
  <si>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</si>
  <si>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</si>
  <si>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</si>
  <si>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</si>
  <si>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</si>
  <si>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</si>
  <si>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</si>
  <si>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</si>
  <si>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</si>
  <si>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</si>
  <si>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</si>
  <si>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</si>
  <si>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</si>
  <si>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</si>
  <si>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</si>
  <si>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</si>
  <si>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</si>
  <si>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</si>
  <si>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</si>
  <si>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</si>
  <si>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</si>
  <si>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</si>
  <si>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</si>
  <si>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</si>
  <si>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</si>
  <si>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</si>
  <si>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</si>
  <si>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</si>
  <si>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</si>
  <si>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</si>
  <si>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</si>
  <si>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</si>
  <si>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</si>
  <si>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</si>
  <si>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</si>
  <si>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</si>
  <si>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</si>
  <si>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</si>
  <si>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</si>
  <si>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</si>
  <si>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</si>
  <si>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</si>
  <si>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</si>
  <si>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</si>
  <si>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</si>
  <si>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</si>
  <si>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</si>
  <si>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</si>
  <si>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</si>
  <si>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</si>
  <si>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</si>
  <si>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</si>
  <si>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</si>
  <si>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</si>
  <si>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</si>
  <si>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</si>
  <si>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</si>
  <si>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</si>
  <si>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</si>
  <si>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</si>
  <si>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</si>
  <si>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</si>
  <si>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</si>
  <si>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</si>
  <si>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</si>
  <si>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</si>
  <si>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</si>
  <si>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</si>
  <si>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</si>
  <si>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</si>
  <si>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</si>
  <si>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</si>
  <si>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</si>
  <si>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</si>
  <si>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</si>
  <si>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</si>
  <si>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</si>
  <si>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</si>
  <si>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</si>
  <si>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</si>
  <si>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</si>
  <si>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</si>
  <si>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</si>
  <si>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</si>
  <si>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</si>
  <si>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</si>
  <si>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</si>
  <si>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</si>
  <si>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</si>
  <si>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</si>
  <si>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</si>
  <si>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</si>
  <si>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</si>
  <si>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</si>
  <si>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</si>
  <si>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</si>
  <si>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</si>
  <si>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</si>
  <si>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</si>
  <si>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</si>
  <si>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</si>
  <si>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</si>
  <si>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</si>
  <si>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</si>
  <si>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</si>
  <si>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</si>
  <si>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</si>
  <si>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</si>
  <si>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</si>
  <si>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</si>
  <si>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</si>
  <si>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</si>
  <si>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</si>
  <si>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</si>
  <si>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</si>
  <si>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</si>
  <si>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</si>
  <si>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</si>
  <si>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</si>
  <si>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</si>
  <si>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</si>
  <si>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</si>
  <si>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</si>
  <si>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</si>
  <si>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</si>
  <si>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</si>
  <si>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</si>
  <si>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</si>
  <si>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</si>
  <si>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</si>
  <si>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</si>
  <si>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</si>
  <si>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</si>
  <si>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</si>
  <si>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</si>
  <si>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</si>
  <si>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</si>
  <si>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</si>
  <si>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</si>
  <si>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</si>
  <si>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</si>
  <si>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</si>
  <si>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</si>
  <si>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</si>
  <si>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</si>
  <si>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</si>
  <si>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</si>
  <si>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</si>
  <si>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</si>
  <si>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</si>
  <si>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</si>
  <si>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</si>
  <si>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</si>
  <si>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</si>
  <si>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</si>
  <si>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</si>
  <si>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</si>
  <si>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</si>
  <si>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</si>
  <si>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</si>
  <si>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</si>
  <si>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</si>
  <si>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</si>
  <si>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</si>
  <si>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</si>
  <si>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</si>
  <si>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</si>
  <si>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</si>
  <si>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</si>
  <si>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</si>
  <si>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</si>
  <si>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</si>
  <si>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</si>
  <si>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</si>
  <si>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</si>
  <si>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</si>
  <si>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</si>
  <si>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</si>
  <si>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</si>
  <si>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</si>
  <si>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</si>
  <si>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</si>
  <si>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</si>
  <si>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</si>
  <si>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</si>
  <si>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</si>
  <si>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</si>
  <si>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</si>
  <si>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</si>
  <si>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</si>
  <si>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</si>
  <si>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</si>
  <si>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</si>
  <si>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</si>
  <si>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</si>
  <si>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</si>
  <si>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</si>
  <si>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</si>
  <si>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</si>
  <si>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</si>
  <si>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</si>
  <si>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</si>
  <si>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</si>
  <si>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</si>
  <si>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</si>
  <si>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</si>
  <si>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</si>
  <si>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</si>
  <si>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</si>
  <si>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</si>
  <si>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</si>
  <si>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</si>
  <si>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</si>
  <si>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</si>
  <si>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</si>
  <si>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</si>
  <si>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</si>
  <si>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</si>
  <si>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</si>
  <si>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</si>
  <si>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</si>
  <si>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</si>
  <si>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</si>
  <si>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</si>
  <si>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</si>
  <si>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</si>
  <si>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</si>
  <si>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</si>
  <si>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</si>
  <si>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</si>
  <si>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</si>
  <si>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</si>
  <si>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</si>
  <si>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</si>
  <si>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</si>
  <si>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</si>
  <si>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</si>
  <si>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</si>
  <si>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</si>
  <si>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</si>
  <si>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</si>
  <si>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</si>
  <si>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</si>
  <si>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</si>
  <si>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</si>
  <si>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</si>
  <si>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</si>
  <si>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</si>
  <si>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</si>
  <si>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</si>
  <si>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</si>
  <si>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</si>
  <si>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</si>
  <si>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</si>
  <si>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</si>
  <si>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</si>
  <si>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</si>
  <si>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</si>
  <si>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</si>
  <si>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</si>
  <si>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</si>
  <si>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</si>
  <si>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</si>
  <si>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</si>
  <si>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</si>
  <si>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</si>
  <si>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</si>
  <si>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</si>
  <si>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</si>
  <si>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</si>
  <si>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</si>
  <si>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</si>
  <si>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</si>
  <si>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</si>
  <si>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</si>
  <si>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</si>
  <si>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</si>
  <si>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</si>
  <si>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</si>
  <si>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</si>
  <si>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</si>
  <si>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</si>
  <si>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</si>
  <si>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</si>
  <si>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</si>
  <si>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</si>
  <si>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</si>
  <si>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</si>
  <si>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</si>
  <si>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</si>
  <si>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</si>
  <si>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</si>
  <si>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</si>
  <si>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</si>
  <si>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</si>
  <si>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</si>
  <si>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</si>
  <si>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</si>
  <si>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</si>
  <si>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</si>
  <si>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</si>
  <si>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</si>
  <si>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</si>
  <si>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</si>
  <si>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</si>
  <si>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</si>
  <si>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</si>
  <si>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</si>
  <si>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</si>
  <si>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</si>
  <si>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</si>
  <si>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</si>
  <si>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</si>
  <si>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</si>
  <si>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</si>
  <si>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</si>
  <si>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</si>
  <si>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</si>
  <si>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</si>
  <si>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</si>
  <si>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</si>
  <si>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</si>
  <si>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</si>
  <si>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</si>
  <si>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</si>
  <si>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</si>
  <si>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</si>
  <si>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</si>
  <si>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</si>
  <si>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</si>
  <si>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</si>
  <si>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</si>
  <si>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</si>
  <si>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</si>
  <si>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</si>
  <si>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</si>
  <si>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</si>
  <si>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</si>
  <si>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</si>
  <si>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</si>
  <si>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</si>
  <si>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</si>
  <si>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</si>
  <si>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</si>
  <si>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</si>
  <si>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</si>
  <si>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</si>
  <si>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</si>
  <si>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</si>
  <si>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</si>
  <si>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</si>
  <si>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</si>
  <si>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</si>
  <si>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</si>
  <si>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</si>
  <si>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</si>
  <si>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</si>
  <si>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</si>
  <si>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</si>
  <si>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</si>
  <si>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</si>
  <si>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</si>
  <si>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</si>
  <si>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</si>
  <si>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</si>
  <si>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</si>
  <si>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</si>
  <si>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</si>
  <si>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</si>
  <si>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</si>
  <si>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</si>
  <si>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</si>
  <si>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</si>
  <si>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</si>
  <si>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</si>
  <si>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</si>
  <si>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</si>
  <si>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</si>
  <si>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</si>
  <si>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</si>
  <si>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</si>
  <si>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</si>
  <si>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</si>
  <si>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</si>
  <si>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</si>
  <si>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</si>
  <si>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</si>
  <si>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</si>
  <si>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</si>
  <si>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</si>
  <si>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</si>
  <si>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</si>
  <si>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</si>
  <si>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</si>
  <si>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</si>
  <si>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</si>
  <si>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</si>
  <si>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</si>
  <si>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</si>
  <si>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</si>
  <si>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</si>
  <si>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</si>
  <si>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</si>
  <si>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</si>
  <si>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</si>
  <si>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</si>
  <si>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</si>
  <si>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</si>
  <si>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</si>
  <si>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</si>
  <si>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</si>
  <si>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</si>
  <si>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</si>
  <si>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</si>
  <si>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</si>
  <si>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</si>
  <si>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</si>
  <si>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</si>
  <si>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</si>
  <si>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</si>
  <si>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</si>
  <si>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</si>
  <si>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</si>
  <si>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</si>
  <si>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</si>
  <si>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</si>
  <si>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</si>
  <si>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</si>
  <si>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</si>
  <si>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</si>
  <si>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</si>
  <si>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</si>
  <si>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</si>
  <si>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</si>
  <si>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</si>
  <si>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</si>
  <si>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</si>
  <si>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</si>
  <si>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</si>
  <si>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</si>
  <si>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</si>
  <si>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</si>
  <si>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</si>
  <si>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</si>
  <si>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</si>
  <si>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</si>
  <si>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</si>
  <si>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</si>
  <si>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</si>
  <si>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</si>
  <si>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</si>
  <si>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</si>
  <si>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</si>
  <si>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</si>
  <si>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</si>
  <si>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</si>
  <si>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</si>
  <si>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</si>
  <si>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</si>
  <si>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</si>
  <si>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</si>
  <si>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</si>
  <si>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</si>
  <si>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</si>
  <si>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</si>
  <si>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</si>
  <si>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</si>
  <si>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</si>
  <si>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</si>
  <si>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</si>
  <si>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</si>
  <si>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</si>
  <si>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</si>
  <si>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</si>
  <si>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</si>
  <si>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</si>
  <si>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</si>
  <si>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</si>
  <si>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</si>
  <si>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</si>
  <si>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</si>
  <si>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</si>
  <si>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</si>
  <si>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</si>
  <si>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</si>
  <si>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</si>
  <si>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</si>
  <si>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</si>
  <si>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</si>
  <si>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</si>
  <si>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</si>
  <si>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</si>
  <si>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</si>
  <si>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</si>
  <si>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</si>
  <si>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</si>
  <si>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</si>
  <si>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</si>
  <si>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</si>
  <si>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</si>
  <si>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</si>
  <si>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</si>
  <si>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</si>
  <si>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</si>
  <si>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</si>
  <si>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</si>
  <si>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</si>
  <si>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</si>
  <si>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</si>
  <si>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</si>
  <si>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</si>
  <si>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</si>
  <si>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</si>
  <si>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</si>
  <si>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</si>
  <si>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</si>
  <si>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</si>
  <si>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</si>
  <si>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</si>
  <si>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</si>
  <si>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</si>
  <si>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</si>
  <si>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</si>
  <si>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</si>
  <si>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</si>
  <si>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</si>
  <si>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</si>
  <si>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</si>
  <si>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</si>
  <si>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</si>
  <si>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</si>
  <si>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</si>
  <si>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</si>
  <si>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</si>
  <si>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</si>
  <si>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</si>
  <si>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</si>
  <si>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</si>
  <si>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</si>
  <si>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</si>
  <si>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</si>
  <si>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</si>
  <si>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</si>
  <si>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</si>
  <si>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</si>
  <si>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</si>
  <si>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</si>
  <si>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</si>
  <si>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</si>
  <si>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</si>
  <si>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</si>
  <si>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</si>
  <si>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</si>
  <si>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</si>
  <si>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</si>
  <si>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</si>
  <si>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</si>
  <si>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</si>
  <si>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</si>
  <si>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</si>
  <si>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</si>
  <si>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</si>
  <si>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</si>
  <si>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</si>
  <si>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</si>
  <si>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</si>
  <si>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</si>
  <si>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</si>
  <si>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</si>
  <si>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</si>
  <si>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</si>
  <si>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</si>
  <si>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</si>
  <si>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</si>
  <si>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</si>
  <si>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</si>
  <si>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</si>
  <si>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</si>
  <si>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</si>
  <si>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</si>
  <si>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</si>
  <si>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</si>
  <si>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</si>
  <si>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</si>
  <si>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</si>
  <si>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</si>
  <si>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</si>
  <si>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</si>
  <si>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</si>
  <si>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</si>
  <si>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</si>
  <si>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</si>
  <si>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</si>
  <si>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</si>
  <si>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</si>
  <si>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</si>
  <si>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</si>
  <si>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</si>
  <si>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</si>
  <si>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</si>
  <si>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</si>
  <si>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</si>
  <si>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</si>
  <si>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</si>
  <si>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</si>
  <si>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</si>
  <si>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</si>
  <si>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</si>
  <si>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</si>
  <si>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</si>
  <si>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</si>
  <si>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</si>
  <si>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</si>
  <si>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</si>
  <si>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</si>
  <si>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</si>
  <si>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</si>
  <si>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</si>
  <si>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</si>
  <si>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</si>
  <si>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</si>
  <si>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</si>
  <si>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</si>
  <si>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</si>
  <si>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</si>
  <si>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</si>
  <si>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</si>
  <si>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</si>
  <si>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</si>
  <si>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</si>
  <si>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</si>
  <si>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</si>
  <si>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</si>
  <si>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</si>
  <si>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</si>
  <si>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</si>
  <si>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</si>
  <si>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</si>
  <si>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</si>
  <si>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</si>
  <si>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</si>
  <si>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</si>
  <si>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</si>
  <si>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</si>
  <si>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</si>
  <si>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</si>
  <si>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</si>
  <si>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</si>
  <si>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</si>
  <si>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</si>
  <si>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</si>
  <si>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</si>
  <si>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</si>
  <si>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</si>
  <si>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</si>
  <si>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</si>
  <si>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</si>
  <si>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</si>
  <si>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</si>
  <si>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</si>
  <si>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</si>
  <si>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</si>
  <si>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</si>
  <si>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</si>
  <si>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</si>
  <si>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</si>
  <si>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</si>
  <si>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</si>
  <si>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</si>
  <si>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</si>
  <si>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</si>
  <si>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</si>
  <si>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</si>
  <si>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</si>
  <si>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</si>
  <si>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</si>
  <si>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</si>
  <si>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</si>
  <si>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</si>
  <si>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</si>
  <si>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</si>
  <si>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</si>
  <si>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</si>
  <si>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</si>
  <si>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</si>
  <si>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</si>
  <si>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</si>
  <si>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</si>
  <si>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</si>
  <si>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</si>
  <si>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</si>
  <si>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</si>
  <si>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</si>
  <si>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</si>
  <si>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</si>
  <si>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</si>
  <si>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</si>
  <si>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</si>
  <si>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</si>
  <si>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</si>
  <si>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</si>
  <si>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</si>
  <si>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</si>
  <si>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</si>
  <si>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</si>
  <si>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</si>
  <si>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</si>
  <si>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</si>
  <si>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</si>
  <si>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</si>
  <si>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</si>
  <si>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</si>
  <si>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</si>
  <si>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</si>
  <si>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</si>
  <si>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</si>
  <si>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</si>
  <si>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</si>
  <si>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</si>
  <si>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</si>
  <si>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</si>
  <si>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</si>
  <si>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</si>
  <si>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</si>
  <si>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</si>
  <si>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</si>
  <si>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</si>
  <si>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</si>
  <si>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</si>
  <si>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</si>
  <si>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</si>
  <si>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</si>
  <si>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</si>
  <si>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</si>
  <si>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</si>
  <si>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</si>
  <si>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</si>
  <si>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</si>
  <si>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</si>
  <si>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</si>
  <si>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</si>
  <si>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</si>
  <si>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</si>
  <si>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</si>
  <si>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</si>
  <si>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</si>
  <si>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</si>
  <si>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</si>
  <si>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</si>
  <si>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</si>
  <si>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</si>
  <si>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</si>
  <si>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</si>
  <si>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</si>
  <si>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</si>
  <si>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</si>
  <si>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</si>
  <si>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</si>
  <si>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</si>
  <si>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</si>
  <si>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</si>
  <si>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</si>
  <si>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</si>
  <si>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</si>
  <si>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</si>
  <si>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</si>
  <si>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</si>
  <si>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</si>
  <si>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</si>
  <si>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</si>
  <si>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</si>
  <si>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</si>
  <si>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</si>
  <si>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</si>
  <si>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</si>
  <si>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</si>
  <si>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</si>
  <si>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</si>
  <si>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</si>
  <si>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</si>
  <si>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</si>
  <si>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</si>
  <si>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</si>
  <si>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</si>
  <si>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</si>
  <si>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</si>
  <si>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</si>
  <si>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</si>
  <si>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</si>
  <si>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</si>
  <si>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</si>
  <si>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</si>
  <si>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</si>
  <si>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</si>
  <si>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</si>
  <si>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</si>
  <si>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</si>
  <si>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</si>
  <si>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</si>
  <si>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</si>
  <si>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</si>
  <si>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</si>
  <si>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</si>
  <si>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</si>
  <si>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</si>
  <si>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</si>
  <si>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</si>
  <si>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</si>
  <si>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</si>
  <si>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</si>
  <si>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</si>
  <si>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</si>
  <si>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</si>
  <si>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</si>
  <si>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</si>
  <si>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</si>
  <si>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</si>
  <si>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</si>
  <si>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</si>
  <si>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</si>
  <si>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</si>
  <si>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</si>
  <si>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</si>
  <si>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</si>
  <si>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</si>
  <si>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</si>
  <si>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</si>
  <si>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</si>
  <si>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</si>
  <si>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</si>
  <si>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</si>
  <si>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</si>
  <si>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</si>
  <si>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</si>
  <si>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</si>
  <si>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</si>
  <si>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</si>
  <si>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</si>
  <si>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</si>
  <si>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</si>
  <si>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</si>
  <si>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</si>
  <si>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</si>
  <si>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</si>
  <si>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</si>
  <si>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</si>
  <si>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</si>
  <si>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</si>
  <si>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</si>
  <si>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</si>
  <si>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</si>
  <si>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</si>
  <si>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</si>
  <si>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</si>
  <si>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</si>
  <si>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</si>
  <si>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</si>
  <si>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</si>
  <si>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</si>
  <si>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</si>
  <si>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</si>
  <si>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</si>
  <si>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</si>
  <si>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</si>
  <si>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</si>
  <si>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</si>
  <si>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</si>
  <si>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</si>
  <si>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</si>
  <si>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</si>
  <si>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</si>
  <si>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</si>
  <si>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</si>
  <si>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</si>
  <si>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</si>
  <si>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</si>
  <si>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</si>
  <si>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</si>
  <si>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</si>
  <si>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</si>
  <si>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</si>
  <si>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</si>
  <si>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</si>
  <si>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</si>
  <si>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</si>
  <si>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</si>
  <si>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</si>
  <si>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</si>
  <si>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</si>
  <si>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</si>
  <si>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</si>
  <si>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</si>
  <si>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</si>
  <si>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</si>
  <si>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</si>
  <si>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</si>
  <si>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</si>
  <si>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</si>
  <si>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</si>
  <si>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</si>
  <si>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</si>
  <si>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</si>
  <si>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</si>
  <si>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</si>
  <si>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</si>
  <si>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</si>
  <si>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</si>
  <si>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</si>
  <si>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</si>
  <si>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</si>
  <si>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</si>
  <si>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</si>
  <si>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</si>
  <si>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</si>
  <si>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</si>
  <si>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</si>
  <si>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</si>
  <si>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</si>
  <si>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</si>
  <si>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</si>
  <si>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</si>
  <si>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</si>
  <si>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</si>
  <si>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</si>
  <si>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</si>
  <si>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</si>
  <si>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</si>
  <si>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</si>
  <si>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</si>
  <si>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</si>
  <si>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</si>
  <si>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</si>
  <si>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</si>
  <si>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</si>
  <si>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</si>
  <si>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</si>
  <si>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</si>
  <si>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</si>
  <si>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</si>
  <si>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</si>
  <si>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</si>
  <si>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</si>
  <si>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</si>
  <si>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</si>
  <si>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</si>
  <si>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</si>
  <si>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</si>
  <si>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</si>
  <si>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</si>
  <si>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</si>
  <si>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</si>
  <si>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</si>
  <si>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</si>
  <si>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</si>
  <si>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</si>
  <si>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</si>
  <si>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</si>
  <si>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</si>
  <si>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</si>
  <si>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</si>
  <si>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</si>
  <si>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</si>
  <si>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</si>
  <si>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</si>
  <si>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</si>
  <si>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</si>
  <si>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</si>
  <si>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</si>
  <si>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</si>
  <si>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</si>
  <si>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</si>
  <si>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</si>
  <si>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</si>
  <si>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</si>
  <si>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</si>
  <si>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</si>
  <si>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</si>
  <si>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</si>
  <si>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</si>
  <si>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</si>
  <si>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</si>
  <si>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</si>
  <si>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</si>
  <si>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</si>
  <si>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</si>
  <si>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</si>
  <si>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</si>
  <si>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</si>
  <si>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</si>
  <si>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</si>
  <si>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</si>
  <si>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</si>
  <si>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</si>
  <si>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</si>
  <si>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</si>
  <si>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</si>
  <si>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</si>
  <si>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</si>
  <si>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</si>
  <si>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</si>
  <si>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</si>
  <si>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</si>
  <si>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</si>
  <si>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</si>
  <si>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</si>
  <si>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</si>
  <si>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</si>
  <si>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</si>
  <si>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</si>
  <si>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</si>
  <si>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</si>
  <si>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</si>
  <si>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</si>
  <si>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</si>
  <si>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</si>
  <si>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</si>
  <si>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</si>
  <si>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</si>
  <si>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</si>
  <si>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</si>
  <si>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</si>
  <si>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</si>
  <si>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</si>
  <si>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</si>
  <si>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</si>
  <si>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</si>
  <si>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</si>
  <si>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</si>
  <si>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</si>
  <si>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</si>
  <si>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</si>
  <si>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</si>
  <si>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</si>
  <si>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</si>
  <si>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</si>
  <si>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</si>
  <si>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</si>
  <si>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</si>
  <si>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</si>
  <si>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</si>
  <si>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</si>
  <si>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</si>
  <si>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</si>
  <si>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</si>
  <si>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</si>
  <si>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</si>
  <si>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</si>
  <si>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</si>
  <si>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</si>
  <si>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</si>
  <si>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</si>
  <si>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</si>
  <si>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</si>
  <si>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</si>
  <si>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</si>
  <si>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</si>
  <si>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</si>
  <si>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</si>
  <si>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</si>
  <si>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</si>
  <si>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</si>
  <si>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</si>
  <si>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</si>
  <si>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</si>
  <si>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</si>
  <si>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</si>
  <si>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</si>
  <si>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</si>
  <si>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</si>
  <si>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</si>
  <si>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</si>
  <si>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</si>
  <si>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</si>
  <si>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</si>
  <si>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</si>
  <si>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</si>
  <si>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</si>
  <si>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</si>
  <si>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</si>
  <si>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</si>
  <si>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</si>
  <si>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</si>
  <si>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</si>
  <si>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</si>
  <si>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</si>
  <si>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</si>
  <si>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</si>
  <si>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</si>
  <si>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</si>
  <si>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</si>
  <si>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</si>
  <si>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</si>
  <si>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</si>
  <si>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</si>
  <si>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</si>
  <si>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</si>
  <si>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</si>
  <si>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</si>
  <si>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</si>
  <si>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</si>
  <si>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</si>
  <si>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</si>
  <si>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</si>
  <si>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</si>
  <si>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</si>
  <si>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</si>
  <si>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</si>
  <si>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</si>
  <si>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</si>
  <si>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</si>
  <si>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</si>
  <si>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</si>
  <si>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</si>
  <si>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</si>
  <si>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</si>
  <si>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</si>
  <si>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</si>
  <si>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</si>
  <si>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</si>
  <si>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</si>
  <si>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</si>
  <si>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</si>
  <si>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</si>
  <si>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</si>
  <si>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</si>
  <si>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</si>
  <si>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</si>
  <si>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</si>
  <si>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</si>
  <si>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</si>
  <si>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</si>
  <si>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</si>
  <si>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</si>
  <si>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</si>
  <si>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</si>
  <si>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</si>
  <si>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</si>
  <si>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</si>
  <si>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</si>
  <si>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</si>
  <si>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</si>
  <si>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</si>
  <si>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</si>
  <si>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</si>
  <si>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</si>
  <si>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</si>
  <si>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</si>
  <si>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</si>
  <si>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</si>
  <si>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</si>
  <si>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</si>
  <si>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</si>
  <si>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</si>
  <si>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</si>
  <si>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</si>
  <si>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</si>
  <si>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</si>
  <si>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</si>
  <si>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</si>
  <si>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</si>
  <si>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</si>
  <si>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</si>
  <si>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</si>
  <si>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</si>
  <si>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</si>
  <si>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</si>
  <si>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</si>
  <si>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</si>
  <si>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</si>
  <si>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</si>
  <si>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</si>
  <si>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</si>
  <si>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</si>
  <si>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</si>
  <si>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</si>
  <si>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</si>
  <si>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</si>
  <si>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</si>
  <si>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</si>
  <si>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</si>
  <si>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</si>
  <si>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</si>
  <si>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</si>
  <si>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</si>
  <si>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</si>
  <si>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</si>
  <si>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</si>
  <si>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</si>
  <si>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</si>
  <si>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</si>
  <si>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</si>
  <si>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</si>
  <si>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</si>
  <si>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</si>
  <si>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</si>
  <si>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</si>
  <si>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</si>
  <si>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</si>
  <si>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</si>
  <si>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</si>
  <si>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</si>
  <si>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</si>
  <si>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</si>
  <si>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</si>
  <si>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</si>
  <si>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</si>
  <si>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</si>
  <si>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</si>
  <si>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</si>
  <si>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</si>
  <si>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</si>
  <si>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</si>
  <si>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</si>
  <si>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</si>
  <si>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</si>
  <si>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</si>
  <si>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</si>
  <si>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</si>
  <si>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</si>
  <si>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</si>
  <si>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</si>
  <si>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</si>
  <si>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</si>
  <si>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</si>
  <si>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</si>
  <si>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</si>
  <si>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</si>
  <si>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</si>
  <si>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</si>
  <si>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</si>
  <si>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</si>
  <si>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</si>
  <si>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</si>
  <si>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</si>
  <si>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</si>
  <si>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</si>
  <si>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</si>
  <si>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</si>
  <si>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</si>
  <si>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</si>
  <si>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</si>
  <si>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</si>
  <si>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</si>
  <si>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</si>
  <si>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</si>
  <si>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</si>
  <si>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</si>
  <si>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</si>
  <si>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</si>
  <si>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</si>
  <si>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</si>
  <si>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</si>
  <si>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</si>
  <si>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</si>
  <si>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</si>
  <si>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</si>
  <si>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</si>
  <si>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</si>
  <si>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</si>
  <si>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</si>
  <si>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</si>
  <si>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</si>
  <si>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</si>
  <si>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</si>
  <si>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</si>
  <si>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</si>
  <si>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</si>
  <si>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</si>
  <si>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</si>
  <si>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</si>
  <si>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</si>
  <si>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</si>
  <si>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</si>
  <si>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</si>
  <si>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</si>
  <si>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</si>
  <si>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</si>
  <si>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</si>
  <si>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</si>
  <si>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</si>
  <si>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</si>
  <si>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</si>
  <si>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</si>
  <si>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</si>
  <si>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</si>
  <si>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</si>
  <si>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</si>
  <si>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</si>
  <si>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</si>
  <si>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</si>
  <si>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</si>
  <si>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</si>
  <si>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</si>
  <si>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</si>
  <si>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</si>
  <si>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</si>
  <si>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</si>
  <si>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</si>
  <si>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</si>
  <si>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</si>
  <si>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</si>
  <si>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</si>
  <si>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</si>
  <si>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</si>
  <si>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</si>
  <si>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</si>
  <si>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</si>
  <si>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</si>
  <si>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</si>
  <si>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</si>
  <si>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</si>
  <si>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</si>
  <si>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</si>
  <si>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</si>
  <si>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</si>
  <si>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</si>
  <si>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</si>
  <si>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</si>
  <si>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</si>
  <si>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</si>
  <si>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</si>
  <si>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</si>
  <si>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</si>
  <si>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</si>
  <si>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</si>
  <si>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</si>
  <si>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</si>
  <si>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</si>
  <si>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</si>
  <si>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</si>
  <si>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</si>
  <si>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</si>
  <si>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</si>
  <si>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</si>
  <si>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</si>
  <si>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</si>
  <si>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</si>
  <si>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</si>
  <si>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</si>
  <si>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</si>
  <si>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</si>
  <si>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</si>
  <si>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</si>
  <si>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</si>
  <si>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</si>
  <si>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</si>
  <si>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</si>
  <si>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</si>
  <si>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</si>
  <si>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</si>
  <si>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</si>
  <si>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</si>
  <si>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</si>
  <si>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</si>
  <si>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</si>
  <si>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</si>
  <si>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</si>
  <si>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</si>
  <si>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</si>
  <si>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</si>
  <si>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</si>
  <si>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</si>
  <si>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</si>
  <si>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</si>
  <si>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</si>
  <si>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</si>
  <si>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</si>
  <si>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</si>
  <si>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</si>
  <si>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</si>
  <si>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</si>
  <si>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</si>
  <si>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</si>
  <si>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</si>
  <si>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</si>
  <si>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</si>
  <si>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</si>
  <si>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</si>
  <si>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</si>
  <si>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</si>
  <si>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</si>
  <si>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</si>
  <si>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</si>
  <si>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</si>
  <si>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</si>
  <si>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</si>
  <si>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</si>
  <si>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</si>
  <si>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</si>
  <si>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</si>
  <si>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</si>
  <si>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</si>
  <si>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</si>
  <si>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</si>
  <si>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</si>
  <si>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</si>
  <si>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</si>
  <si>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</si>
  <si>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</si>
  <si>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</si>
  <si>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</si>
  <si>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</si>
  <si>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</si>
  <si>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</si>
  <si>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</si>
  <si>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</si>
  <si>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</si>
  <si>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</si>
  <si>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</si>
  <si>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</si>
  <si>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</si>
  <si>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</si>
  <si>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</si>
  <si>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</si>
  <si>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</si>
  <si>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</si>
  <si>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</si>
  <si>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</si>
  <si>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</si>
  <si>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</si>
  <si>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</si>
  <si>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</si>
  <si>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</si>
  <si>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</si>
  <si>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</si>
  <si>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</si>
  <si>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</si>
  <si>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</si>
  <si>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</si>
  <si>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</si>
  <si>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</si>
  <si>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</si>
  <si>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</si>
  <si>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</si>
  <si>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</si>
  <si>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</si>
  <si>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</si>
  <si>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</si>
  <si>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</si>
  <si>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</si>
  <si>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</si>
  <si>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</si>
  <si>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</si>
  <si>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</si>
  <si>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</si>
  <si>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</si>
  <si>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</si>
  <si>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</si>
  <si>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</si>
  <si>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</si>
  <si>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</si>
  <si>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</si>
  <si>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</si>
  <si>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</si>
  <si>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</si>
  <si>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</si>
  <si>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</si>
  <si>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</si>
  <si>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</si>
  <si>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</si>
  <si>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</si>
  <si>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</si>
  <si>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</si>
  <si>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</si>
  <si>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</si>
  <si>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</si>
  <si>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</si>
  <si>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</si>
  <si>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</si>
  <si>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</si>
  <si>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</si>
  <si>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</si>
  <si>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</si>
  <si>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</si>
  <si>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</si>
  <si>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</si>
  <si>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</si>
  <si>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</si>
  <si>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</si>
  <si>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</si>
  <si>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</si>
  <si>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</si>
  <si>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</si>
  <si>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</si>
  <si>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</si>
  <si>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</si>
  <si>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</si>
  <si>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</si>
  <si>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</si>
  <si>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</si>
  <si>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</si>
  <si>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</si>
  <si>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</si>
  <si>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</si>
  <si>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</si>
  <si>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</si>
  <si>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</si>
  <si>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</si>
  <si>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</si>
  <si>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</si>
  <si>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</si>
  <si>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</si>
  <si>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</si>
  <si>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</si>
  <si>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</si>
  <si>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</si>
  <si>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</si>
  <si>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</si>
  <si>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</si>
  <si>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</si>
  <si>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</si>
  <si>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</si>
  <si>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</si>
  <si>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</si>
  <si>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</si>
  <si>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</si>
  <si>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</si>
  <si>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</si>
  <si>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</si>
  <si>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</si>
  <si>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</si>
  <si>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</si>
  <si>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</si>
  <si>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</si>
  <si>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</si>
  <si>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</si>
  <si>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</si>
  <si>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</si>
  <si>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</si>
  <si>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</si>
  <si>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</si>
  <si>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</si>
  <si>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</si>
  <si>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</si>
  <si>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</si>
  <si>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</si>
  <si>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</si>
  <si>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</si>
  <si>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</si>
  <si>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</si>
  <si>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</si>
  <si>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</si>
  <si>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</si>
  <si>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</si>
  <si>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</si>
  <si>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</si>
  <si>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</si>
  <si>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</si>
  <si>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</si>
  <si>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</si>
  <si>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</si>
  <si>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</si>
  <si>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</si>
  <si>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</si>
  <si>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</si>
  <si>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</si>
  <si>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</si>
  <si>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</si>
  <si>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</si>
  <si>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</si>
  <si>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</si>
  <si>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</si>
  <si>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</si>
  <si>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</si>
  <si>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</si>
  <si>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</si>
  <si>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</si>
  <si>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</si>
  <si>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</si>
  <si>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</si>
  <si>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</si>
  <si>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</si>
  <si>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</si>
  <si>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</si>
  <si>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</si>
  <si>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</si>
  <si>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</si>
  <si>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</si>
  <si>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</si>
  <si>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</si>
  <si>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</si>
  <si>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</si>
  <si>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</si>
  <si>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</si>
  <si>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</si>
  <si>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</si>
  <si>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</si>
  <si>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</si>
  <si>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</si>
  <si>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</si>
  <si>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</si>
  <si>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</si>
  <si>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</si>
  <si>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</si>
  <si>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</si>
  <si>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</si>
  <si>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</si>
  <si>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</si>
  <si>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</si>
  <si>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</si>
  <si>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</si>
  <si>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</si>
  <si>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</si>
  <si>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</si>
  <si>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</si>
  <si>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</si>
  <si>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</si>
  <si>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</si>
  <si>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</si>
  <si>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</si>
  <si>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</si>
  <si>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</si>
  <si>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</si>
  <si>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</si>
  <si>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</si>
  <si>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</si>
  <si>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</si>
  <si>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</si>
  <si>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</si>
  <si>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</si>
  <si>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</si>
  <si>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</si>
  <si>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</si>
  <si>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</si>
  <si>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</si>
  <si>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</si>
  <si>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</si>
  <si>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</si>
  <si>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</si>
  <si>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</si>
  <si>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</si>
  <si>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</si>
  <si>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</si>
  <si>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</si>
  <si>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</si>
  <si>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</si>
  <si>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</si>
  <si>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</si>
  <si>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</si>
  <si>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</si>
  <si>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</si>
  <si>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</si>
  <si>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</si>
  <si>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</si>
  <si>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</si>
  <si>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</si>
  <si>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</si>
  <si>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</si>
  <si>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</si>
  <si>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</si>
  <si>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</si>
  <si>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</si>
  <si>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</si>
  <si>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</si>
  <si>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</si>
  <si>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</si>
  <si>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</si>
  <si>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</si>
  <si>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</si>
  <si>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</si>
  <si>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</si>
  <si>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</si>
  <si>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</si>
  <si>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</si>
  <si>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</si>
  <si>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</si>
  <si>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</si>
  <si>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</si>
  <si>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</si>
  <si>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</si>
  <si>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</si>
  <si>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</si>
  <si>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</si>
  <si>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</si>
  <si>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</si>
  <si>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</si>
  <si>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</si>
  <si>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</si>
  <si>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</si>
  <si>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</si>
  <si>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</si>
  <si>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</si>
  <si>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</si>
  <si>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</si>
  <si>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</si>
  <si>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</si>
  <si>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</si>
  <si>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</si>
  <si>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</si>
  <si>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</si>
  <si>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</si>
  <si>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</si>
  <si>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</si>
  <si>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</si>
  <si>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</si>
  <si>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</si>
  <si>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</si>
  <si>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</si>
  <si>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</si>
  <si>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</si>
  <si>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</si>
  <si>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</si>
  <si>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</si>
  <si>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</si>
  <si>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</si>
  <si>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</si>
  <si>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</si>
  <si>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</si>
  <si>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</si>
  <si>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</si>
  <si>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</si>
  <si>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</si>
  <si>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</si>
  <si>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</si>
  <si>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</si>
  <si>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</si>
  <si>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</si>
  <si>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</si>
  <si>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</si>
  <si>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</si>
  <si>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</si>
  <si>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</si>
  <si>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</si>
  <si>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</si>
  <si>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</si>
  <si>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</si>
  <si>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</si>
  <si>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</si>
  <si>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</si>
  <si>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</si>
  <si>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</si>
  <si>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</si>
  <si>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</si>
  <si>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</si>
  <si>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</si>
  <si>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</si>
  <si>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</si>
  <si>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</si>
  <si>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</si>
  <si>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</si>
  <si>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</si>
  <si>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</si>
  <si>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</si>
  <si>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</si>
  <si>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</si>
  <si>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</si>
  <si>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</si>
  <si>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</si>
  <si>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</si>
  <si>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</si>
  <si>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</si>
  <si>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</si>
  <si>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</si>
  <si>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</si>
  <si>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</si>
  <si>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</si>
  <si>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</si>
  <si>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</si>
  <si>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</si>
  <si>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</si>
  <si>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</si>
  <si>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</si>
  <si>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</si>
  <si>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</si>
  <si>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</si>
  <si>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</si>
  <si>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</si>
  <si>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</si>
  <si>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</si>
  <si>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</si>
  <si>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</si>
  <si>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</si>
  <si>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</si>
  <si>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</si>
  <si>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</si>
  <si>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</si>
  <si>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</si>
  <si>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</si>
  <si>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</si>
  <si>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</si>
  <si>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</si>
  <si>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</si>
  <si>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</si>
  <si>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</si>
  <si>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</si>
  <si>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</si>
  <si>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</si>
  <si>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</si>
  <si>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</si>
  <si>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</si>
  <si>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</si>
  <si>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</si>
  <si>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</si>
  <si>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</si>
  <si>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</si>
  <si>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</si>
  <si>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</si>
  <si>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</si>
  <si>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</si>
  <si>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</si>
  <si>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</si>
  <si>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</si>
  <si>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</si>
  <si>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</si>
  <si>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</si>
  <si>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</si>
  <si>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</si>
  <si>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</si>
  <si>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</si>
  <si>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</si>
  <si>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</si>
  <si>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</si>
  <si>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</si>
  <si>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</si>
  <si>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</si>
  <si>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</si>
  <si>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</si>
  <si>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</si>
  <si>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</si>
  <si>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</si>
  <si>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</si>
  <si>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</si>
  <si>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</si>
  <si>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</si>
  <si>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</si>
  <si>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</si>
  <si>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</si>
  <si>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</si>
  <si>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</si>
  <si>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</si>
  <si>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</si>
  <si>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</si>
  <si>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</si>
  <si>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</si>
  <si>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</si>
  <si>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</si>
  <si>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</si>
  <si>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</si>
  <si>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</si>
  <si>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</si>
  <si>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</si>
  <si>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</si>
  <si>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</si>
  <si>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</si>
  <si>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</si>
  <si>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</si>
  <si>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</si>
  <si>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</si>
  <si>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</si>
  <si>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</si>
  <si>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</si>
  <si>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</si>
  <si>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</si>
  <si>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</si>
  <si>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</si>
  <si>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</si>
  <si>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</si>
  <si>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</si>
  <si>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</si>
  <si>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</si>
  <si>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</si>
  <si>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</si>
  <si>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</si>
  <si>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</si>
  <si>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</si>
  <si>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</si>
  <si>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</si>
  <si>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</si>
  <si>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</si>
  <si>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</si>
  <si>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</si>
  <si>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</si>
  <si>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</si>
  <si>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</si>
  <si>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</si>
  <si>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</si>
  <si>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</si>
  <si>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</si>
  <si>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</si>
  <si>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</si>
  <si>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</si>
  <si>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</si>
  <si>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</si>
  <si>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</si>
  <si>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</si>
  <si>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</si>
  <si>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</si>
  <si>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</si>
  <si>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</si>
  <si>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</si>
  <si>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</si>
  <si>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</si>
  <si>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</si>
  <si>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</si>
  <si>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</si>
  <si>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</si>
  <si>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</si>
  <si>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</si>
  <si>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</si>
  <si>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</si>
  <si>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</si>
  <si>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</si>
  <si>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</si>
  <si>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</si>
  <si>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</si>
  <si>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</si>
  <si>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</si>
  <si>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</si>
  <si>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</si>
  <si>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</si>
  <si>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</si>
  <si>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</si>
  <si>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</si>
  <si>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</si>
  <si>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</si>
  <si>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</si>
  <si>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</si>
  <si>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</si>
  <si>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</si>
  <si>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</si>
  <si>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</si>
  <si>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</si>
  <si>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</si>
  <si>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</si>
  <si>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</si>
  <si>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</si>
  <si>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</si>
  <si>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</si>
  <si>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</si>
  <si>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</si>
  <si>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</si>
  <si>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</si>
  <si>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</si>
  <si>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</si>
  <si>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</si>
  <si>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</si>
  <si>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</si>
  <si>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</si>
  <si>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</si>
  <si>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</si>
  <si>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</si>
  <si>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</si>
  <si>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</si>
  <si>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</si>
  <si>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</si>
  <si>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</si>
  <si>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</si>
  <si>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</si>
  <si>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</si>
  <si>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</si>
  <si>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</si>
  <si>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</si>
  <si>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</si>
  <si>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</si>
  <si>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</si>
  <si>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</si>
  <si>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</si>
  <si>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</si>
  <si>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</si>
  <si>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</si>
  <si>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</si>
  <si>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</si>
  <si>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</si>
  <si>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</si>
  <si>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</si>
  <si>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</si>
  <si>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</si>
  <si>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</si>
  <si>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</si>
  <si>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</si>
  <si>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</si>
  <si>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</si>
  <si>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</si>
  <si>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</si>
  <si>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</si>
  <si>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</si>
  <si>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</si>
  <si>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</si>
  <si>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</si>
  <si>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</si>
  <si>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</si>
  <si>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</si>
  <si>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</si>
  <si>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</si>
  <si>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</si>
  <si>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</si>
  <si>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</si>
  <si>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</si>
  <si>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</si>
  <si>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</si>
  <si>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</si>
  <si>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</si>
  <si>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</si>
  <si>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</si>
  <si>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</si>
  <si>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</si>
  <si>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</si>
  <si>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</si>
  <si>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</si>
  <si>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</si>
  <si>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</si>
  <si>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</si>
  <si>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</si>
  <si>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</si>
  <si>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</si>
  <si>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</si>
  <si>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</si>
  <si>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</si>
  <si>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</si>
  <si>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</si>
  <si>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</si>
  <si>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</si>
  <si>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</si>
  <si>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</si>
  <si>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</si>
  <si>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</si>
  <si>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</si>
  <si>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</si>
  <si>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</si>
  <si>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</si>
  <si>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</si>
  <si>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</si>
  <si>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</si>
  <si>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</si>
  <si>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</si>
  <si>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</si>
  <si>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</si>
  <si>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</si>
  <si>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</si>
  <si>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</si>
  <si>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</si>
  <si>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</si>
  <si>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</si>
  <si>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</si>
  <si>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</si>
  <si>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</si>
  <si>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</si>
  <si>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</si>
  <si>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</si>
  <si>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</si>
  <si>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</si>
  <si>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</si>
  <si>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</si>
  <si>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</si>
  <si>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</si>
  <si>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</si>
  <si>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</si>
  <si>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</si>
  <si>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</si>
  <si>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</si>
  <si>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</si>
  <si>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</si>
  <si>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</si>
  <si>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</si>
  <si>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</si>
  <si>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</si>
  <si>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</si>
  <si>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</si>
  <si>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</si>
  <si>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</si>
  <si>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</si>
  <si>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</si>
  <si>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</si>
  <si>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</si>
  <si>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</si>
  <si>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</si>
  <si>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</si>
  <si>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</si>
  <si>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</si>
  <si>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</si>
  <si>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</si>
  <si>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</si>
  <si>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</si>
  <si>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</si>
  <si>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</si>
  <si>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</si>
  <si>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</si>
  <si>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</si>
  <si>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</si>
  <si>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</si>
  <si>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</si>
  <si>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</si>
  <si>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</si>
  <si>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</si>
  <si>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</si>
  <si>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</si>
  <si>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</si>
  <si>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</si>
  <si>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</si>
  <si>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</si>
  <si>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</si>
  <si>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</si>
  <si>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</si>
  <si>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</si>
  <si>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</si>
  <si>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</si>
  <si>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</si>
  <si>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</si>
  <si>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</si>
  <si>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</si>
  <si>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</si>
  <si>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</si>
  <si>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</si>
  <si>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</si>
  <si>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</si>
  <si>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</si>
  <si>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</si>
  <si>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</si>
  <si>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</si>
  <si>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</si>
  <si>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</si>
  <si>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</si>
  <si>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</si>
  <si>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</si>
  <si>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</si>
  <si>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</si>
  <si>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</si>
  <si>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</si>
  <si>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</si>
  <si>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</si>
  <si>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</si>
  <si>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</si>
  <si>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</si>
  <si>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</si>
  <si>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</si>
  <si>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</si>
  <si>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</si>
  <si>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</si>
  <si>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</si>
  <si>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</si>
  <si>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</si>
  <si>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</si>
  <si>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</si>
  <si>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</si>
  <si>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</si>
  <si>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</si>
  <si>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</si>
  <si>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</si>
  <si>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</si>
  <si>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</si>
  <si>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</si>
  <si>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</si>
  <si>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</si>
  <si>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</si>
  <si>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</si>
  <si>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</si>
  <si>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</si>
  <si>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</si>
  <si>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</si>
  <si>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</si>
  <si>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</si>
  <si>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</si>
  <si>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</si>
  <si>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</si>
  <si>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</si>
  <si>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</si>
  <si>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</si>
  <si>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</si>
  <si>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</si>
  <si>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</si>
  <si>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</si>
  <si>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</si>
  <si>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</si>
  <si>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</si>
  <si>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</si>
  <si>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</si>
  <si>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</si>
  <si>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</si>
  <si>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</si>
  <si>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</si>
  <si>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</si>
  <si>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</si>
  <si>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</si>
  <si>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</si>
  <si>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</si>
  <si>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</si>
  <si>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</si>
  <si>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</si>
  <si>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</si>
  <si>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</si>
  <si>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</si>
  <si>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</si>
  <si>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</si>
  <si>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</si>
  <si>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</si>
  <si>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</si>
  <si>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</si>
  <si>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</si>
  <si>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</si>
  <si>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</si>
  <si>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</si>
  <si>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</si>
  <si>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</si>
  <si>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</si>
  <si>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</si>
  <si>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</si>
  <si>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</si>
  <si>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</si>
  <si>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</si>
  <si>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</si>
  <si>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</si>
  <si>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</si>
  <si>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</si>
  <si>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</si>
  <si>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</si>
  <si>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</si>
  <si>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</si>
  <si>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</si>
  <si>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</si>
  <si>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</si>
  <si>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</si>
  <si>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</si>
  <si>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</si>
  <si>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</si>
  <si>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</si>
  <si>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</si>
  <si>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</si>
  <si>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</si>
  <si>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</si>
  <si>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</si>
  <si>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</si>
  <si>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</si>
  <si>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</si>
  <si>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</si>
  <si>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</si>
  <si>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</si>
  <si>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</si>
  <si>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</si>
  <si>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</si>
  <si>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</si>
  <si>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</si>
  <si>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</si>
  <si>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</si>
  <si>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</si>
  <si>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</si>
  <si>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</si>
  <si>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</si>
  <si>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</si>
  <si>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</si>
  <si>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</si>
  <si>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</si>
  <si>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</si>
  <si>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</si>
  <si>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</si>
  <si>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</si>
  <si>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</si>
  <si>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</si>
  <si>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</si>
  <si>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</si>
  <si>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</si>
  <si>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</si>
  <si>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</si>
  <si>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</si>
  <si>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</si>
  <si>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</si>
  <si>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</si>
  <si>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</si>
  <si>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</si>
  <si>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</si>
  <si>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</si>
  <si>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</si>
  <si>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</si>
  <si>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</si>
  <si>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</si>
  <si>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</si>
  <si>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</si>
  <si>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</si>
  <si>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</si>
  <si>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</si>
  <si>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</si>
  <si>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</si>
  <si>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</si>
  <si>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</si>
  <si>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</si>
  <si>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</si>
  <si>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</si>
  <si>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</si>
  <si>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</si>
  <si>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</si>
  <si>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</si>
  <si>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</si>
  <si>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</si>
  <si>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</si>
  <si>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</si>
  <si>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</si>
  <si>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</si>
  <si>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</si>
  <si>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</si>
  <si>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</si>
  <si>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</si>
  <si>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</si>
  <si>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</si>
  <si>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</si>
  <si>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</si>
  <si>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</si>
  <si>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</si>
  <si>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</si>
  <si>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</si>
  <si>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</si>
  <si>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</si>
  <si>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</si>
  <si>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</si>
  <si>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</si>
  <si>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</si>
  <si>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</si>
  <si>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</si>
  <si>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</si>
  <si>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</si>
  <si>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</si>
  <si>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</si>
  <si>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</si>
  <si>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</si>
  <si>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</si>
  <si>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</si>
  <si>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</si>
  <si>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</si>
  <si>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</si>
  <si>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</si>
  <si>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</si>
  <si>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</si>
  <si>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</si>
  <si>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</si>
  <si>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</si>
  <si>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</si>
  <si>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</si>
  <si>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</si>
  <si>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</si>
  <si>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</si>
  <si>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</si>
  <si>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</si>
  <si>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</si>
  <si>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</si>
  <si>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</si>
  <si>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</si>
  <si>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</si>
  <si>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</si>
  <si>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</si>
  <si>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</si>
  <si>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</si>
  <si>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</si>
  <si>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</si>
  <si>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</si>
  <si>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</si>
  <si>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</si>
  <si>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</si>
  <si>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</si>
  <si>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</si>
  <si>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</si>
  <si>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</si>
  <si>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</si>
  <si>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</si>
  <si>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</si>
  <si>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</si>
  <si>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</si>
  <si>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</si>
  <si>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</si>
  <si>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</si>
  <si>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</si>
  <si>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</si>
  <si>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</si>
  <si>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</si>
  <si>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</si>
  <si>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</si>
  <si>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</si>
  <si>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</si>
  <si>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</si>
  <si>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</si>
  <si>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</si>
  <si>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</si>
  <si>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</si>
  <si>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</si>
  <si>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</si>
  <si>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</si>
  <si>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</si>
  <si>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</si>
  <si>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</si>
  <si>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</si>
  <si>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</si>
  <si>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</si>
  <si>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</si>
  <si>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</si>
  <si>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</si>
  <si>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</si>
  <si>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</si>
  <si>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</si>
  <si>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</si>
  <si>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</si>
  <si>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</si>
  <si>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</si>
  <si>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</si>
  <si>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</si>
  <si>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</si>
  <si>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</si>
  <si>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</si>
  <si>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</si>
  <si>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</si>
  <si>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</si>
  <si>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</si>
  <si>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</si>
  <si>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</si>
  <si>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</si>
  <si>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</si>
  <si>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</si>
  <si>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</si>
  <si>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</si>
  <si>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</si>
  <si>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</si>
  <si>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</si>
  <si>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</si>
  <si>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</si>
  <si>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</si>
  <si>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</si>
  <si>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</si>
  <si>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</si>
  <si>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</si>
  <si>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</si>
  <si>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</si>
  <si>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</si>
  <si>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</si>
  <si>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</si>
  <si>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</si>
  <si>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</si>
  <si>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</si>
  <si>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</si>
  <si>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</si>
  <si>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</si>
  <si>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</si>
  <si>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</si>
  <si>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</si>
  <si>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</si>
  <si>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</si>
  <si>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</si>
  <si>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</si>
  <si>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</si>
  <si>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</si>
  <si>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</si>
  <si>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</si>
  <si>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</si>
  <si>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</si>
  <si>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</si>
  <si>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</si>
  <si>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</si>
  <si>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</si>
  <si>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</si>
  <si>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</si>
  <si>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</si>
  <si>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</si>
  <si>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</si>
  <si>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</si>
  <si>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</si>
  <si>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</si>
  <si>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</si>
  <si>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</si>
  <si>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</si>
  <si>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</si>
  <si>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</si>
  <si>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</si>
  <si>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</si>
  <si>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</si>
  <si>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</si>
  <si>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</si>
  <si>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</si>
  <si>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</si>
  <si>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</si>
  <si>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</si>
  <si>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</si>
  <si>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</si>
  <si>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</si>
  <si>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</si>
  <si>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</si>
  <si>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</si>
  <si>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</si>
  <si>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</si>
  <si>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</si>
  <si>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</si>
  <si>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</si>
  <si>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</si>
  <si>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</si>
  <si>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</si>
  <si>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</si>
  <si>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</si>
  <si>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</si>
  <si>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</si>
  <si>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</si>
  <si>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</si>
  <si>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</si>
  <si>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</si>
  <si>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</si>
  <si>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</si>
  <si>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</si>
  <si>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</si>
  <si>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</si>
  <si>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</si>
  <si>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</si>
  <si>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</si>
  <si>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</si>
  <si>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</si>
  <si>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</si>
  <si>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</si>
  <si>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</si>
  <si>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</si>
  <si>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</si>
  <si>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</si>
  <si>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</si>
  <si>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</si>
  <si>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</si>
  <si>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</si>
  <si>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</si>
  <si>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</si>
  <si>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</si>
  <si>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</si>
  <si>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</si>
  <si>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</si>
  <si>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</si>
  <si>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</si>
  <si>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</si>
  <si>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</si>
  <si>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</si>
  <si>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</si>
  <si>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</si>
  <si>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</si>
  <si>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</si>
  <si>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</si>
  <si>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</si>
  <si>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</si>
  <si>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</si>
  <si>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</si>
  <si>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</si>
  <si>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</si>
  <si>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</si>
  <si>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</si>
  <si>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</si>
  <si>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</si>
  <si>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</si>
  <si>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</si>
  <si>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</si>
  <si>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</si>
  <si>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</si>
  <si>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</si>
  <si>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</si>
  <si>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</si>
  <si>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</si>
  <si>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</si>
  <si>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</si>
  <si>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</si>
  <si>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</si>
  <si>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</si>
  <si>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</si>
  <si>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</si>
  <si>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</si>
  <si>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</si>
  <si>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</si>
  <si>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</si>
  <si>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</si>
  <si>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</si>
  <si>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</si>
  <si>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</si>
  <si>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</si>
  <si>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</si>
  <si>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</si>
  <si>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</si>
  <si>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</si>
  <si>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</si>
  <si>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</si>
  <si>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</si>
  <si>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</si>
  <si>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</si>
  <si>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</si>
  <si>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</si>
  <si>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</si>
  <si>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</si>
  <si>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</si>
  <si>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</si>
  <si>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</si>
  <si>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</si>
  <si>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</si>
  <si>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</si>
  <si>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</si>
  <si>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</si>
  <si>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</si>
  <si>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</si>
  <si>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</si>
  <si>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</si>
  <si>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</si>
  <si>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</si>
  <si>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</si>
  <si>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</si>
  <si>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</si>
  <si>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</si>
  <si>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</si>
  <si>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</si>
  <si>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</si>
  <si>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</si>
  <si>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</si>
  <si>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</si>
  <si>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</si>
  <si>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</si>
  <si>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</si>
  <si>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</si>
  <si>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</si>
  <si>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</si>
  <si>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</si>
  <si>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</si>
  <si>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</si>
  <si>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</si>
  <si>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</si>
  <si>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</si>
  <si>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</si>
  <si>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</si>
  <si>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</si>
  <si>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</si>
  <si>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</si>
  <si>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</si>
  <si>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</si>
  <si>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</si>
  <si>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</si>
  <si>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</si>
  <si>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</si>
  <si>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</si>
  <si>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</si>
  <si>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</si>
  <si>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</si>
  <si>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</si>
  <si>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</si>
  <si>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</si>
  <si>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</si>
  <si>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</si>
  <si>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</si>
  <si>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</si>
  <si>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</si>
  <si>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</si>
  <si>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</si>
  <si>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</si>
  <si>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</si>
  <si>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</si>
  <si>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</si>
  <si>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</si>
  <si>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</si>
  <si>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</si>
  <si>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</si>
  <si>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</si>
  <si>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</si>
  <si>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</si>
  <si>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</si>
  <si>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</si>
  <si>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</si>
  <si>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</si>
  <si>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</si>
  <si>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</si>
  <si>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</si>
  <si>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</si>
  <si>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</si>
  <si>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</si>
  <si>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</si>
  <si>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</si>
  <si>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</si>
  <si>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</si>
  <si>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</si>
  <si>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</si>
  <si>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</si>
  <si>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</si>
  <si>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</si>
  <si>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</si>
  <si>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</si>
  <si>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</si>
  <si>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</si>
  <si>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</si>
  <si>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</si>
  <si>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</si>
  <si>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</si>
  <si>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</si>
  <si>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</si>
  <si>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</si>
  <si>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</si>
  <si>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</si>
  <si>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</si>
  <si>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</si>
  <si>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</si>
  <si>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</si>
  <si>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</si>
  <si>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</si>
  <si>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</si>
  <si>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</si>
  <si>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</si>
  <si>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</si>
  <si>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</si>
  <si>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</si>
  <si>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</si>
  <si>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</si>
  <si>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</si>
  <si>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</si>
  <si>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</si>
  <si>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</si>
  <si>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</si>
  <si>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</si>
  <si>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</si>
  <si>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</si>
  <si>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</si>
  <si>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</si>
  <si>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</si>
  <si>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</si>
  <si>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</si>
  <si>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</si>
  <si>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</si>
  <si>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</si>
  <si>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</si>
  <si>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</si>
  <si>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</si>
  <si>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</si>
  <si>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</si>
  <si>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</si>
  <si>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</si>
  <si>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</si>
  <si>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</si>
  <si>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</si>
  <si>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</si>
  <si>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</si>
  <si>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</si>
  <si>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</si>
  <si>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</si>
  <si>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</si>
  <si>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</si>
  <si>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</si>
  <si>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</si>
  <si>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</si>
  <si>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</si>
  <si>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</si>
  <si>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</si>
  <si>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</si>
  <si>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</si>
  <si>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</si>
  <si>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</si>
  <si>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</si>
  <si>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</si>
  <si>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</si>
  <si>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</si>
  <si>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</si>
  <si>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</si>
  <si>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</si>
  <si>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</si>
  <si>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</si>
  <si>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</si>
  <si>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</si>
  <si>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</si>
  <si>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</si>
  <si>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</si>
  <si>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</si>
  <si>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</si>
  <si>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</si>
  <si>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</si>
  <si>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</si>
  <si>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</si>
  <si>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</si>
  <si>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</si>
  <si>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</si>
  <si>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</si>
  <si>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</si>
  <si>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</si>
  <si>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</si>
  <si>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</si>
  <si>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</si>
  <si>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</si>
  <si>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</si>
  <si>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</si>
  <si>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</si>
  <si>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</si>
  <si>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</si>
  <si>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</si>
  <si>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</si>
  <si>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</si>
  <si>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</si>
  <si>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</si>
  <si>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</si>
  <si>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</si>
  <si>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</si>
  <si>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</si>
  <si>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</si>
  <si>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</si>
  <si>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</si>
  <si>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</si>
  <si>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</si>
  <si>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</si>
  <si>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</si>
  <si>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</si>
  <si>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</si>
  <si>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</si>
  <si>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</si>
  <si>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</si>
  <si>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</si>
  <si>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</si>
  <si>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</si>
  <si>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</si>
  <si>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</si>
  <si>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</si>
  <si>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</si>
  <si>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</si>
  <si>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</si>
  <si>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</si>
  <si>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</si>
  <si>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</si>
  <si>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</si>
  <si>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</si>
  <si>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</si>
  <si>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</si>
  <si>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</si>
  <si>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</si>
  <si>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</si>
  <si>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</si>
  <si>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</si>
  <si>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</si>
  <si>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</si>
  <si>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</si>
  <si>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</si>
  <si>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</si>
  <si>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</si>
  <si>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</si>
  <si>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</si>
  <si>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</si>
  <si>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</si>
  <si>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</si>
  <si>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</si>
  <si>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</si>
  <si>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</si>
  <si>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</si>
  <si>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</si>
  <si>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</si>
  <si>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</si>
  <si>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</si>
  <si>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</si>
  <si>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</si>
  <si>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</si>
  <si>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</si>
  <si>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</si>
  <si>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</si>
  <si>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</si>
  <si>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</si>
  <si>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</si>
  <si>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</si>
  <si>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</si>
  <si>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</si>
  <si>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</si>
  <si>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</si>
  <si>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</si>
  <si>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</si>
  <si>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</si>
  <si>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</si>
  <si>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</si>
  <si>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</si>
  <si>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</si>
  <si>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</si>
  <si>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</si>
  <si>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</si>
  <si>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</si>
  <si>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</si>
  <si>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</si>
  <si>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</si>
  <si>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</si>
  <si>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</si>
  <si>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</si>
  <si>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</si>
  <si>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</si>
  <si>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</si>
  <si>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</si>
  <si>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</si>
  <si>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</si>
  <si>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</si>
  <si>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</si>
  <si>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</si>
  <si>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</si>
  <si>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</si>
  <si>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</si>
  <si>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</si>
  <si>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</si>
  <si>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</si>
  <si>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</si>
  <si>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</si>
  <si>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</si>
  <si>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</si>
  <si>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</si>
  <si>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</si>
  <si>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</si>
  <si>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</si>
  <si>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</si>
  <si>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</si>
  <si>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</si>
  <si>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</si>
  <si>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</si>
  <si>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</si>
  <si>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</si>
  <si>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</si>
  <si>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</si>
  <si>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</si>
  <si>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</si>
  <si>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</si>
  <si>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</si>
  <si>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</si>
  <si>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</si>
  <si>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</si>
  <si>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</si>
  <si>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</si>
  <si>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</si>
  <si>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</si>
  <si>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</si>
  <si>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</si>
  <si>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</si>
  <si>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</si>
  <si>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</si>
  <si>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</si>
  <si>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</si>
  <si>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</si>
  <si>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</si>
  <si>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</si>
  <si>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</si>
  <si>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</si>
  <si>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</si>
  <si>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</si>
  <si>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</si>
  <si>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</si>
  <si>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</si>
  <si>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</si>
  <si>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</si>
  <si>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</si>
  <si>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</si>
  <si>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</si>
  <si>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</si>
  <si>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</si>
  <si>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</si>
  <si>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</si>
  <si>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</si>
  <si>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</si>
  <si>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</si>
  <si>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</si>
  <si>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</si>
  <si>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</si>
  <si>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</si>
  <si>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</si>
  <si>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</si>
  <si>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</si>
  <si>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</si>
  <si>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</si>
  <si>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</si>
  <si>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</si>
  <si>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</si>
  <si>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</si>
  <si>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</si>
  <si>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</si>
  <si>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</si>
  <si>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</si>
  <si>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</si>
  <si>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</si>
  <si>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</si>
  <si>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</si>
  <si>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</si>
  <si>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</si>
  <si>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</si>
  <si>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</si>
  <si>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</si>
  <si>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</si>
  <si>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</si>
  <si>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</si>
  <si>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</si>
  <si>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</si>
  <si>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</si>
  <si>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</si>
  <si>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</si>
  <si>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</si>
  <si>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</si>
  <si>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</si>
  <si>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</si>
  <si>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</si>
  <si>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</si>
  <si>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</si>
  <si>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</si>
  <si>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</si>
  <si>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</si>
  <si>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</si>
  <si>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</si>
  <si>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</si>
  <si>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</si>
  <si>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</si>
  <si>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</si>
  <si>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</si>
  <si>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</si>
  <si>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</si>
  <si>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</si>
  <si>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</si>
  <si>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</si>
  <si>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</si>
  <si>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</si>
  <si>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</si>
  <si>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</si>
  <si>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</si>
  <si>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</si>
  <si>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</si>
  <si>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</si>
  <si>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</si>
  <si>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</si>
  <si>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</si>
  <si>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</si>
  <si>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</si>
  <si>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</si>
  <si>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</si>
  <si>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</si>
  <si>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</si>
  <si>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</si>
  <si>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</si>
  <si>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</si>
  <si>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</si>
  <si>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</si>
  <si>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</si>
  <si>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</si>
  <si>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</si>
  <si>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</si>
  <si>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</si>
  <si>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</si>
  <si>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</si>
  <si>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</si>
  <si>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</si>
  <si>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</si>
  <si>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</si>
  <si>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</si>
  <si>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</si>
  <si>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</si>
  <si>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</si>
  <si>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</si>
  <si>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</si>
  <si>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</si>
  <si>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</si>
  <si>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</si>
  <si>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</si>
  <si>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</si>
  <si>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</si>
  <si>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</si>
  <si>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</si>
  <si>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</si>
  <si>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</si>
  <si>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</si>
  <si>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</si>
  <si>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</si>
  <si>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</si>
  <si>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</si>
  <si>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</si>
  <si>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</si>
  <si>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</si>
  <si>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</si>
  <si>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</si>
  <si>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</si>
  <si>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</si>
  <si>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</si>
  <si>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</si>
  <si>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</si>
  <si>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</si>
  <si>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</si>
  <si>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</si>
  <si>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</si>
  <si>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</si>
  <si>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</si>
  <si>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</si>
  <si>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</si>
  <si>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</si>
  <si>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</si>
  <si>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</si>
  <si>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</si>
  <si>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</si>
  <si>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</si>
  <si>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</si>
  <si>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</si>
  <si>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</si>
  <si>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</si>
  <si>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</si>
  <si>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</si>
  <si>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</si>
  <si>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</si>
  <si>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</si>
  <si>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</si>
  <si>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</si>
  <si>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</si>
  <si>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</si>
  <si>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</si>
  <si>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</si>
  <si>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</si>
  <si>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</si>
  <si>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</si>
  <si>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</si>
  <si>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</si>
  <si>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</si>
  <si>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</si>
  <si>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</si>
  <si>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</si>
  <si>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</si>
  <si>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</si>
  <si>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</si>
  <si>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</si>
  <si>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</si>
  <si>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</si>
  <si>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</si>
  <si>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</si>
  <si>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</si>
  <si>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</si>
  <si>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</si>
  <si>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</si>
  <si>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</si>
  <si>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</si>
  <si>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</si>
  <si>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</si>
  <si>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</si>
  <si>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</si>
  <si>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</si>
  <si>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</si>
  <si>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</si>
  <si>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</si>
  <si>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</si>
  <si>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</si>
  <si>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</si>
  <si>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</si>
  <si>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</si>
  <si>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</si>
  <si>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</si>
  <si>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</si>
  <si>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</si>
  <si>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</si>
  <si>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</si>
  <si>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</si>
  <si>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</si>
  <si>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</si>
  <si>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</si>
  <si>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</si>
  <si>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</si>
  <si>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</si>
  <si>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</si>
  <si>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</si>
  <si>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</si>
  <si>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</si>
  <si>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</si>
  <si>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</si>
  <si>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</si>
  <si>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</si>
  <si>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</si>
  <si>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</si>
  <si>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</si>
  <si>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</si>
  <si>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</si>
  <si>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</si>
  <si>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</si>
  <si>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</si>
  <si>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</si>
  <si>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</si>
  <si>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</si>
  <si>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</si>
  <si>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</si>
  <si>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</si>
  <si>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</si>
  <si>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</si>
  <si>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</si>
  <si>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</si>
  <si>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</si>
  <si>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</si>
  <si>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</si>
  <si>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</si>
  <si>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</si>
  <si>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</si>
  <si>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</si>
  <si>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</si>
  <si>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</si>
  <si>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</si>
  <si>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</si>
  <si>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</si>
  <si>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</si>
  <si>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</si>
  <si>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</si>
  <si>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</si>
  <si>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</si>
  <si>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</si>
  <si>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</si>
  <si>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</si>
  <si>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</si>
  <si>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</si>
  <si>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</si>
  <si>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</si>
  <si>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</si>
  <si>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</si>
  <si>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</si>
  <si>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</si>
  <si>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</si>
  <si>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</si>
  <si>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</si>
  <si>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</si>
  <si>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</si>
  <si>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</si>
  <si>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</si>
  <si>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</si>
  <si>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</si>
  <si>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</si>
  <si>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</si>
  <si>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</si>
  <si>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</si>
  <si>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</si>
  <si>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</si>
  <si>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</si>
  <si>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</si>
  <si>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</si>
  <si>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</si>
  <si>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</si>
  <si>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</si>
  <si>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</si>
  <si>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</si>
  <si>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</si>
  <si>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</si>
  <si>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</si>
  <si>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</si>
  <si>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</si>
  <si>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</si>
  <si>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</si>
  <si>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</si>
  <si>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</si>
  <si>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</si>
  <si>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</si>
  <si>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</si>
  <si>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</si>
  <si>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</si>
  <si>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</si>
  <si>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</si>
  <si>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</si>
  <si>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</si>
  <si>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</si>
  <si>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</si>
  <si>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</si>
  <si>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</si>
  <si>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</si>
  <si>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</si>
  <si>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</si>
  <si>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</si>
  <si>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</si>
  <si>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</si>
  <si>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</si>
  <si>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</si>
  <si>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</si>
  <si>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</si>
  <si>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</si>
  <si>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</si>
  <si>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</si>
  <si>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</si>
  <si>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</si>
  <si>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</si>
  <si>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</si>
  <si>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</si>
  <si>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</si>
  <si>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</si>
  <si>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</si>
  <si>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</si>
  <si>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</si>
  <si>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</si>
  <si>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</si>
  <si>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</si>
  <si>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</si>
  <si>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</si>
  <si>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</si>
  <si>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</si>
  <si>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</si>
  <si>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</si>
  <si>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</si>
  <si>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</si>
  <si>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</si>
  <si>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</si>
  <si>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</si>
  <si>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</si>
  <si>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</si>
  <si>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</si>
  <si>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</si>
  <si>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</si>
  <si>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</si>
  <si>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</si>
  <si>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</si>
  <si>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</si>
  <si>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</si>
  <si>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</si>
  <si>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</si>
  <si>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</si>
  <si>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</si>
  <si>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</si>
  <si>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</si>
  <si>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</si>
  <si>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</si>
  <si>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</si>
  <si>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</si>
  <si>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</si>
  <si>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</si>
  <si>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</si>
  <si>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</si>
  <si>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</si>
  <si>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</si>
  <si>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</si>
  <si>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</si>
  <si>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</si>
  <si>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</si>
  <si>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</si>
  <si>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</si>
  <si>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</si>
  <si>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</si>
  <si>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</si>
  <si>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</si>
  <si>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</si>
  <si>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</si>
  <si>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</si>
  <si>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</si>
  <si>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</si>
  <si>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</si>
  <si>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</si>
  <si>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</si>
  <si>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</si>
  <si>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</si>
  <si>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</si>
  <si>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</si>
  <si>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</si>
  <si>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</si>
  <si>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</si>
  <si>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</si>
  <si>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</si>
  <si>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</si>
  <si>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</si>
  <si>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</si>
  <si>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</si>
  <si>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</si>
  <si>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</si>
  <si>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</si>
  <si>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</si>
  <si>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</si>
  <si>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</si>
  <si>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</si>
  <si>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</si>
  <si>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</si>
  <si>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</si>
  <si>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</si>
  <si>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</si>
  <si>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</si>
  <si>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</si>
  <si>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</si>
  <si>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</si>
  <si>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</si>
  <si>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</si>
  <si>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</si>
  <si>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</si>
  <si>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</si>
  <si>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</si>
  <si>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</si>
  <si>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</si>
  <si>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</si>
  <si>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</si>
  <si>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</si>
  <si>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</si>
  <si>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</si>
  <si>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</si>
  <si>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</si>
  <si>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</si>
  <si>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</si>
  <si>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</si>
  <si>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</si>
  <si>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</si>
  <si>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</si>
  <si>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</si>
  <si>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</si>
  <si>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</si>
  <si>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</si>
  <si>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</si>
  <si>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</si>
  <si>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</si>
  <si>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</si>
  <si>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</si>
  <si>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</si>
  <si>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</si>
  <si>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</si>
  <si>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</si>
  <si>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</si>
  <si>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</si>
  <si>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</si>
  <si>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</si>
  <si>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</si>
  <si>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</si>
  <si>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</si>
  <si>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</si>
  <si>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</si>
  <si>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</si>
  <si>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</si>
  <si>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</si>
  <si>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</si>
  <si>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</si>
  <si>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</si>
  <si>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</si>
  <si>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</si>
  <si>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</si>
  <si>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</si>
  <si>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</si>
  <si>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</si>
  <si>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</si>
  <si>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</si>
  <si>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</si>
  <si>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</si>
  <si>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</si>
  <si>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</si>
  <si>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</si>
  <si>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</si>
  <si>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</si>
  <si>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</si>
  <si>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</si>
  <si>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</si>
  <si>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</si>
  <si>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</si>
  <si>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</si>
  <si>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</si>
  <si>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</si>
  <si>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</si>
  <si>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</si>
  <si>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</si>
  <si>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</si>
  <si>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</si>
  <si>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</si>
  <si>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</si>
  <si>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</si>
  <si>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</si>
  <si>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</si>
  <si>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</si>
  <si>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</si>
  <si>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</si>
  <si>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</si>
  <si>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</si>
  <si>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</si>
  <si>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</si>
  <si>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</si>
  <si>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</si>
  <si>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</si>
  <si>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</si>
  <si>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</si>
  <si>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</si>
  <si>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</si>
  <si>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</si>
  <si>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</si>
  <si>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</si>
  <si>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</si>
  <si>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</si>
  <si>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</si>
  <si>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</si>
  <si>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</si>
  <si>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</si>
  <si>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</si>
  <si>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</si>
  <si>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</si>
  <si>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</si>
  <si>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</si>
  <si>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</si>
  <si>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</si>
  <si>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</si>
  <si>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</si>
  <si>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</si>
  <si>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</si>
  <si>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</si>
  <si>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</si>
  <si>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</si>
  <si>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</si>
  <si>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</si>
  <si>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</si>
  <si>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</si>
  <si>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</si>
  <si>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</si>
  <si>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</si>
  <si>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</si>
  <si>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</si>
  <si>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</si>
  <si>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</si>
  <si>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</si>
  <si>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</si>
  <si>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</si>
  <si>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</si>
  <si>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</si>
  <si>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</si>
  <si>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</si>
  <si>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</si>
  <si>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</si>
  <si>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</si>
  <si>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</si>
  <si>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</si>
  <si>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</si>
  <si>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</si>
  <si>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</si>
  <si>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</si>
  <si>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</si>
  <si>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</si>
  <si>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</si>
  <si>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</si>
  <si>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</si>
  <si>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</si>
  <si>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</si>
  <si>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</si>
  <si>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</si>
  <si>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</si>
  <si>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</si>
  <si>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</si>
  <si>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</si>
  <si>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</si>
  <si>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</si>
  <si>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</si>
  <si>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</si>
  <si>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</si>
  <si>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</si>
  <si>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</si>
  <si>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</si>
  <si>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</si>
  <si>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</si>
  <si>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</si>
  <si>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</si>
  <si>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</si>
  <si>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</si>
  <si>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</si>
  <si>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</si>
  <si>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</si>
  <si>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</si>
  <si>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</si>
  <si>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</si>
  <si>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</si>
  <si>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</si>
  <si>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</si>
  <si>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</si>
  <si>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</si>
  <si>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</si>
  <si>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</si>
  <si>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</si>
  <si>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</si>
  <si>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</si>
  <si>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</si>
  <si>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</si>
  <si>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</si>
  <si>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</si>
  <si>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</si>
  <si>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</si>
  <si>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</si>
  <si>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</si>
  <si>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</si>
  <si>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</si>
  <si>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</si>
  <si>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</si>
  <si>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</si>
  <si>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</si>
  <si>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</si>
  <si>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</si>
  <si>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</si>
  <si>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</si>
  <si>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</si>
  <si>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</si>
  <si>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</si>
  <si>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</si>
  <si>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</si>
  <si>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</si>
  <si>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</si>
  <si>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</si>
  <si>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</si>
  <si>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</si>
  <si>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</si>
  <si>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</si>
  <si>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</si>
  <si>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</si>
  <si>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</si>
  <si>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</si>
  <si>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</si>
  <si>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</si>
  <si>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</si>
  <si>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</si>
  <si>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</si>
  <si>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</si>
  <si>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</si>
  <si>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</si>
  <si>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</si>
  <si>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</si>
  <si>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</si>
  <si>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</si>
  <si>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</si>
  <si>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</si>
  <si>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</si>
  <si>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</si>
  <si>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</si>
  <si>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</si>
  <si>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</si>
  <si>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</si>
  <si>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</si>
  <si>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</si>
  <si>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</si>
  <si>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</si>
  <si>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</si>
  <si>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</si>
  <si>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</si>
  <si>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</si>
  <si>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</si>
  <si>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</si>
  <si>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</si>
  <si>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</si>
  <si>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</si>
  <si>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</si>
  <si>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</si>
  <si>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</si>
  <si>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</si>
  <si>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</si>
  <si>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</si>
  <si>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</si>
  <si>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</si>
  <si>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</si>
  <si>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</si>
  <si>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</si>
  <si>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</si>
  <si>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</si>
  <si>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</si>
  <si>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</si>
  <si>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</si>
  <si>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</si>
  <si>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</si>
  <si>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</si>
  <si>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</si>
  <si>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</si>
  <si>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</si>
  <si>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</si>
  <si>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</si>
  <si>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</si>
  <si>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</si>
  <si>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</si>
  <si>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</si>
  <si>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</si>
  <si>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</si>
  <si>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</si>
  <si>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</si>
  <si>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</si>
  <si>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</si>
  <si>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</si>
  <si>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</si>
  <si>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</si>
  <si>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</si>
  <si>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</si>
  <si>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</si>
  <si>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</si>
  <si>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</si>
  <si>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</si>
  <si>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</si>
  <si>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</si>
  <si>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</si>
  <si>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</si>
  <si>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</si>
  <si>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</si>
  <si>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</si>
  <si>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</si>
  <si>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</si>
  <si>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</si>
  <si>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</si>
  <si>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</si>
  <si>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</si>
  <si>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</si>
  <si>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</si>
  <si>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</si>
  <si>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</si>
  <si>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</si>
  <si>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</si>
  <si>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</si>
  <si>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</si>
  <si>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</si>
  <si>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</si>
  <si>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</si>
  <si>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</si>
  <si>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</si>
  <si>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</si>
  <si>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</si>
  <si>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</si>
  <si>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</si>
  <si>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</si>
  <si>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</si>
  <si>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</si>
  <si>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</si>
  <si>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</si>
  <si>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</si>
  <si>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</si>
  <si>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</si>
  <si>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</si>
  <si>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</si>
  <si>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</si>
  <si>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</si>
  <si>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</si>
  <si>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</si>
  <si>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</si>
  <si>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</si>
  <si>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</si>
  <si>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</si>
  <si>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</si>
  <si>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</si>
  <si>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</si>
  <si>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</si>
  <si>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</si>
  <si>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</si>
  <si>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</si>
  <si>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</si>
  <si>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</si>
  <si>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</si>
  <si>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</si>
  <si>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</si>
  <si>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</si>
  <si>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</si>
  <si>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</si>
  <si>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</si>
  <si>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</si>
  <si>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</si>
  <si>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</si>
  <si>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</si>
  <si>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</si>
  <si>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</si>
  <si>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</si>
  <si>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</si>
  <si>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</si>
  <si>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</si>
  <si>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</si>
  <si>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</si>
  <si>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</si>
  <si>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</si>
  <si>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</si>
  <si>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</si>
  <si>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</si>
  <si>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</si>
  <si>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</si>
  <si>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</si>
  <si>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</si>
  <si>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</si>
  <si>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</si>
  <si>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</si>
  <si>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</si>
  <si>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</si>
  <si>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</si>
  <si>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</si>
  <si>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</si>
  <si>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</si>
  <si>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</si>
  <si>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</si>
  <si>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</si>
  <si>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</si>
  <si>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</si>
  <si>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</si>
  <si>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</si>
  <si>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</si>
  <si>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</si>
  <si>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</si>
  <si>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</si>
  <si>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</si>
  <si>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</si>
  <si>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</si>
  <si>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</si>
  <si>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</si>
  <si>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</si>
  <si>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</si>
  <si>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</si>
  <si>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</si>
  <si>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</si>
  <si>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</si>
  <si>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</si>
  <si>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</si>
  <si>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</si>
  <si>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</si>
  <si>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</si>
  <si>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</si>
  <si>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</si>
  <si>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</si>
  <si>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</si>
  <si>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</si>
  <si>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</si>
  <si>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</si>
  <si>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</si>
  <si>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</si>
  <si>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</si>
  <si>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</si>
  <si>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</si>
  <si>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</si>
  <si>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</si>
  <si>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</si>
  <si>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</si>
  <si>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</si>
  <si>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</si>
  <si>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</si>
  <si>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</si>
  <si>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</si>
  <si>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</si>
  <si>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</si>
  <si>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</si>
  <si>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</si>
  <si>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</si>
  <si>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</si>
  <si>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</si>
  <si>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</si>
  <si>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</si>
  <si>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</si>
  <si>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</si>
  <si>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</si>
  <si>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</si>
  <si>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</si>
  <si>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</si>
  <si>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</si>
  <si>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</si>
  <si>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</si>
  <si>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</si>
  <si>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</si>
  <si>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</si>
  <si>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</si>
  <si>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</si>
  <si>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</si>
  <si>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</si>
  <si>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</si>
  <si>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</si>
  <si>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</si>
  <si>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</si>
  <si>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</si>
  <si>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</si>
  <si>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</si>
  <si>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</si>
  <si>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</si>
  <si>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</si>
  <si>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</si>
  <si>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</si>
  <si>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</si>
  <si>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</si>
  <si>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</si>
  <si>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</si>
  <si>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</si>
  <si>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</si>
  <si>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</si>
  <si>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</si>
  <si>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</si>
  <si>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</si>
  <si>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</si>
  <si>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</si>
  <si>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</si>
  <si>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</si>
  <si>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</si>
  <si>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</si>
  <si>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</si>
  <si>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</si>
  <si>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</si>
  <si>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</si>
  <si>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</si>
  <si>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</si>
  <si>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</si>
  <si>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</si>
  <si>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</si>
  <si>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</si>
  <si>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</si>
  <si>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</si>
  <si>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</si>
  <si>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</si>
  <si>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</si>
  <si>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</si>
  <si>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</si>
  <si>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</si>
  <si>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</si>
  <si>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</si>
  <si>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</si>
  <si>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</si>
  <si>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</si>
  <si>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</si>
  <si>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</si>
  <si>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</si>
  <si>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</si>
  <si>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</si>
  <si>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</si>
  <si>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</si>
  <si>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</si>
  <si>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</si>
  <si>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</si>
  <si>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</si>
  <si>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</si>
  <si>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</si>
  <si>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</si>
  <si>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</si>
  <si>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</si>
  <si>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</si>
  <si>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</si>
  <si>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</si>
  <si>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</si>
  <si>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</si>
  <si>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</si>
  <si>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</si>
  <si>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</si>
  <si>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</si>
  <si>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</si>
  <si>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</si>
  <si>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</si>
  <si>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</si>
  <si>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</si>
  <si>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</si>
  <si>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</si>
  <si>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</si>
  <si>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</si>
  <si>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</si>
  <si>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</si>
  <si>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</si>
  <si>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</si>
  <si>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</si>
  <si>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</si>
  <si>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</si>
  <si>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</si>
  <si>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</si>
  <si>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</si>
  <si>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</si>
  <si>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</si>
  <si>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</si>
  <si>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</si>
  <si>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</si>
  <si>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</si>
  <si>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</si>
  <si>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</si>
  <si>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</si>
  <si>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</si>
  <si>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</si>
  <si>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</si>
  <si>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</si>
  <si>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</si>
  <si>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</si>
  <si>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</si>
  <si>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</si>
  <si>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</si>
  <si>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</si>
  <si>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</si>
  <si>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</si>
  <si>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</si>
  <si>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</si>
  <si>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</si>
  <si>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</si>
  <si>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</si>
  <si>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</si>
  <si>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</si>
  <si>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</si>
  <si>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</si>
  <si>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</si>
  <si>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</si>
  <si>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</si>
  <si>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</si>
  <si>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</si>
  <si>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</si>
  <si>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</si>
  <si>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</si>
  <si>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</si>
  <si>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</si>
  <si>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</si>
  <si>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</si>
  <si>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</si>
  <si>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</si>
  <si>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</si>
  <si>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</si>
  <si>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</si>
  <si>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</si>
  <si>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</si>
  <si>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</si>
  <si>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</si>
  <si>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</si>
  <si>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</si>
  <si>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</si>
  <si>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</si>
  <si>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</si>
  <si>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</si>
  <si>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</si>
  <si>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</si>
  <si>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</si>
  <si>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</si>
  <si>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</si>
  <si>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</si>
  <si>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</si>
  <si>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</si>
  <si>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</si>
  <si>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</si>
  <si>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</si>
  <si>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</si>
  <si>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</si>
  <si>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</si>
  <si>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</si>
  <si>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</si>
  <si>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</si>
  <si>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</si>
  <si>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</si>
  <si>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</si>
  <si>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</si>
  <si>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</si>
  <si>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</si>
  <si>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</si>
  <si>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</si>
  <si>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</si>
  <si>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</si>
  <si>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</si>
  <si>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</si>
  <si>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</si>
  <si>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</si>
  <si>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</si>
  <si>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</si>
  <si>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</si>
  <si>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</si>
  <si>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</si>
  <si>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</si>
  <si>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</si>
  <si>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</si>
  <si>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</si>
  <si>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</si>
  <si>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</si>
  <si>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</si>
  <si>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</si>
  <si>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</si>
  <si>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</si>
  <si>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</si>
  <si>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</si>
  <si>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</si>
  <si>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</si>
  <si>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</si>
  <si>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</si>
  <si>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</si>
  <si>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</si>
  <si>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</si>
  <si>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</si>
  <si>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</si>
  <si>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</si>
  <si>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</si>
  <si>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</si>
  <si>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</si>
  <si>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</si>
  <si>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</si>
  <si>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</si>
  <si>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</si>
  <si>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</si>
  <si>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</si>
  <si>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</si>
  <si>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</si>
  <si>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</si>
  <si>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</si>
  <si>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</si>
  <si>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</si>
  <si>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</si>
  <si>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</si>
  <si>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</si>
  <si>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</si>
  <si>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</si>
  <si>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</si>
  <si>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</si>
  <si>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</si>
  <si>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</si>
  <si>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</si>
  <si>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</si>
  <si>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</si>
  <si>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</si>
  <si>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</si>
  <si>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</si>
  <si>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</si>
  <si>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</si>
  <si>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</si>
  <si>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</si>
  <si>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</si>
  <si>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</si>
  <si>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</si>
  <si>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</si>
  <si>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</si>
  <si>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</si>
  <si>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</si>
  <si>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</si>
  <si>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</si>
  <si>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</si>
  <si>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</si>
  <si>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</si>
  <si>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</si>
  <si>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</si>
  <si>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</si>
  <si>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</si>
  <si>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</si>
  <si>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</si>
  <si>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</si>
  <si>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</si>
  <si>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</si>
  <si>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</si>
  <si>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</si>
  <si>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</si>
  <si>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</si>
  <si>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</si>
  <si>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</si>
  <si>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</si>
  <si>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</si>
  <si>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</si>
  <si>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</si>
  <si>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</si>
  <si>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</si>
  <si>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</si>
  <si>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</si>
  <si>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</si>
  <si>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</si>
  <si>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</si>
  <si>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</si>
  <si>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</si>
  <si>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</si>
  <si>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</si>
  <si>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</si>
  <si>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</si>
  <si>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</si>
  <si>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</si>
  <si>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</si>
  <si>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</si>
  <si>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</si>
  <si>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</si>
  <si>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</si>
  <si>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</si>
  <si>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</si>
  <si>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</si>
  <si>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</si>
  <si>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</si>
  <si>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</si>
  <si>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</si>
  <si>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</si>
  <si>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</si>
  <si>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</si>
  <si>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</si>
  <si>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</si>
  <si>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</si>
  <si>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</si>
  <si>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</si>
  <si>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</si>
  <si>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</si>
  <si>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</si>
  <si>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</si>
  <si>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</si>
  <si>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</si>
  <si>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</si>
  <si>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</si>
  <si>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</si>
  <si>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</si>
  <si>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</si>
  <si>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</si>
  <si>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</si>
  <si>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</si>
  <si>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</si>
  <si>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</si>
  <si>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</si>
  <si>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</si>
  <si>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</si>
  <si>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</si>
  <si>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</si>
  <si>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</si>
  <si>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</si>
  <si>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</si>
  <si>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</si>
  <si>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</si>
  <si>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</si>
  <si>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</si>
  <si>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</si>
  <si>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</si>
  <si>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</si>
  <si>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</si>
  <si>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</si>
  <si>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</si>
  <si>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</si>
  <si>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</si>
  <si>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</si>
  <si>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</si>
  <si>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</si>
  <si>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</si>
  <si>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</si>
  <si>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</si>
  <si>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</si>
  <si>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</si>
  <si>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</si>
  <si>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</si>
  <si>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</si>
  <si>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</si>
  <si>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</si>
  <si>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</si>
  <si>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</si>
  <si>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</si>
  <si>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</si>
  <si>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</si>
  <si>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</si>
  <si>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</si>
  <si>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</si>
  <si>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</si>
  <si>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</si>
  <si>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</si>
  <si>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</si>
  <si>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</si>
  <si>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</si>
  <si>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</si>
  <si>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</si>
  <si>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</si>
  <si>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</si>
  <si>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</si>
  <si>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</si>
  <si>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</si>
  <si>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</si>
  <si>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</si>
  <si>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</si>
  <si>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</si>
  <si>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</si>
  <si>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</si>
  <si>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</si>
  <si>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</si>
  <si>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</si>
  <si>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</si>
  <si>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</si>
  <si>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</si>
  <si>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</si>
  <si>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</si>
  <si>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</si>
  <si>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</si>
  <si>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</si>
  <si>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</si>
  <si>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</si>
  <si>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</si>
  <si>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</si>
  <si>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</si>
  <si>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</si>
  <si>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</si>
  <si>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</si>
  <si>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</si>
  <si>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</si>
  <si>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</si>
  <si>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</si>
  <si>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</si>
  <si>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</si>
  <si>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</si>
  <si>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</si>
  <si>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</si>
  <si>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</si>
  <si>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</si>
  <si>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</si>
  <si>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</si>
  <si>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</si>
  <si>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</si>
  <si>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</si>
  <si>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</si>
  <si>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</si>
  <si>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</si>
  <si>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</si>
  <si>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</si>
  <si>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</si>
  <si>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</si>
  <si>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</si>
  <si>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</si>
  <si>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</si>
  <si>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</si>
  <si>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</si>
  <si>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</si>
  <si>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</si>
  <si>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</si>
  <si>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</si>
  <si>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</si>
  <si>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</si>
  <si>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</si>
  <si>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</si>
  <si>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</si>
  <si>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</si>
  <si>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</si>
  <si>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</si>
  <si>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</si>
  <si>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</si>
  <si>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</si>
  <si>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</si>
  <si>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</si>
  <si>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</si>
  <si>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</si>
  <si>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</si>
  <si>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</si>
  <si>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</si>
  <si>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</si>
  <si>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</si>
  <si>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</si>
  <si>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</si>
  <si>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</si>
  <si>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</si>
  <si>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</si>
  <si>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</si>
  <si>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</si>
  <si>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</si>
  <si>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</si>
  <si>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</si>
  <si>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</si>
  <si>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</si>
  <si>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</si>
  <si>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</si>
  <si>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</si>
  <si>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</si>
  <si>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</si>
  <si>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</si>
  <si>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</si>
  <si>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</si>
  <si>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</si>
  <si>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</si>
  <si>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</si>
  <si>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</si>
  <si>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</si>
  <si>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</si>
  <si>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</si>
  <si>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</si>
  <si>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</si>
  <si>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</si>
  <si>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</si>
  <si>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</si>
  <si>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</si>
  <si>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</si>
  <si>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</si>
  <si>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</si>
  <si>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</si>
  <si>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</si>
  <si>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</si>
  <si>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</si>
  <si>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</si>
  <si>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</si>
  <si>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</si>
  <si>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</si>
  <si>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</si>
  <si>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</si>
  <si>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</si>
  <si>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</si>
  <si>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</si>
  <si>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</si>
  <si>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</si>
  <si>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</si>
  <si>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</si>
  <si>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</si>
  <si>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</si>
  <si>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</si>
  <si>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</si>
  <si>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</si>
  <si>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</si>
  <si>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</si>
  <si>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</si>
  <si>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</si>
  <si>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</si>
  <si>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</si>
  <si>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</si>
  <si>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</si>
  <si>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</si>
  <si>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</si>
  <si>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</si>
  <si>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</si>
  <si>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</si>
  <si>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</si>
  <si>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</si>
  <si>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</si>
  <si>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</si>
  <si>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</si>
  <si>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</si>
  <si>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</si>
  <si>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</si>
  <si>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</si>
  <si>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</si>
  <si>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</si>
  <si>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</si>
  <si>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</si>
  <si>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</si>
  <si>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</si>
  <si>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</si>
  <si>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</si>
  <si>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</si>
  <si>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</si>
  <si>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</si>
  <si>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</si>
  <si>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</si>
  <si>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</si>
  <si>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</si>
  <si>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</si>
  <si>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</si>
  <si>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</si>
  <si>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</si>
  <si>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</si>
  <si>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</si>
  <si>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</si>
  <si>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</si>
  <si>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</si>
  <si>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</si>
  <si>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</si>
  <si>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</si>
  <si>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</si>
  <si>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</si>
  <si>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</si>
  <si>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</si>
  <si>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</si>
  <si>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</si>
  <si>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</si>
  <si>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</si>
  <si>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</si>
  <si>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</si>
  <si>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</si>
  <si>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</si>
  <si>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</si>
  <si>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</si>
  <si>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</si>
  <si>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</si>
  <si>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</si>
  <si>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</si>
  <si>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</si>
  <si>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</si>
  <si>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</si>
  <si>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</si>
  <si>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</si>
  <si>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</si>
  <si>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</si>
  <si>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</si>
  <si>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</si>
  <si>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</si>
  <si>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</si>
  <si>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</si>
  <si>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</si>
  <si>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</si>
  <si>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</si>
  <si>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</si>
  <si>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</si>
  <si>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</si>
  <si>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</si>
  <si>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</si>
  <si>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</si>
  <si>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</si>
  <si>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</si>
  <si>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</si>
  <si>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</si>
  <si>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</si>
  <si>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</si>
  <si>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</si>
  <si>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</si>
  <si>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</si>
  <si>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</si>
  <si>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</si>
  <si>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</si>
  <si>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</si>
  <si>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</si>
  <si>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</si>
  <si>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</si>
  <si>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</si>
  <si>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</si>
  <si>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</si>
  <si>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</si>
  <si>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</si>
  <si>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</si>
  <si>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</si>
  <si>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</si>
  <si>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</si>
  <si>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</si>
  <si>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</si>
  <si>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</si>
  <si>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</si>
  <si>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</si>
  <si>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</si>
  <si>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</si>
  <si>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</si>
  <si>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</si>
  <si>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</si>
  <si>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</si>
  <si>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</si>
  <si>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</si>
  <si>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</si>
  <si>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</si>
  <si>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</si>
  <si>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</si>
  <si>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</si>
  <si>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</si>
  <si>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</si>
  <si>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</si>
  <si>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</si>
  <si>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</si>
  <si>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</si>
  <si>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</si>
  <si>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</si>
  <si>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</si>
  <si>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</si>
  <si>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</si>
  <si>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</si>
  <si>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</si>
  <si>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</si>
  <si>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</si>
  <si>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</si>
  <si>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</si>
  <si>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</si>
  <si>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</si>
  <si>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</si>
  <si>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</si>
  <si>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</si>
  <si>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</si>
  <si>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</si>
  <si>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</si>
  <si>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</si>
  <si>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</si>
  <si>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</si>
  <si>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</si>
  <si>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</si>
  <si>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</si>
  <si>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</si>
  <si>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</si>
  <si>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</si>
  <si>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</si>
  <si>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</si>
  <si>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</si>
  <si>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</si>
  <si>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</si>
  <si>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</si>
  <si>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</si>
  <si>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</si>
  <si>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</si>
  <si>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</si>
  <si>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</si>
  <si>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</si>
  <si>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</si>
  <si>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</si>
  <si>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</si>
  <si>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</si>
  <si>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</si>
  <si>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</si>
  <si>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</si>
  <si>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</si>
  <si>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</si>
  <si>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</si>
  <si>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</si>
  <si>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</si>
  <si>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</si>
  <si>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</si>
  <si>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</si>
  <si>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</si>
  <si>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</si>
  <si>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</si>
  <si>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</si>
  <si>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</si>
  <si>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</si>
  <si>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</si>
  <si>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</si>
  <si>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</si>
  <si>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</si>
  <si>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</si>
  <si>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</si>
  <si>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</si>
  <si>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</si>
  <si>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</si>
  <si>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</si>
  <si>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</si>
  <si>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</si>
  <si>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</si>
  <si>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</si>
  <si>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</si>
  <si>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</si>
  <si>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</si>
  <si>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</si>
  <si>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</si>
  <si>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</si>
  <si>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</si>
  <si>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</si>
  <si>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</si>
  <si>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</si>
  <si>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</si>
  <si>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</si>
  <si>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</si>
  <si>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</si>
  <si>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</si>
  <si>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</si>
  <si>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</si>
  <si>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</si>
  <si>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</si>
  <si>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</si>
  <si>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</si>
  <si>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</si>
  <si>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</si>
  <si>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</si>
  <si>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</si>
  <si>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</si>
  <si>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</si>
  <si>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</si>
  <si>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</si>
  <si>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</si>
  <si>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</si>
  <si>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</si>
  <si>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</si>
  <si>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</si>
  <si>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</si>
  <si>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</si>
  <si>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</si>
  <si>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</si>
  <si>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</si>
  <si>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</si>
  <si>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</si>
  <si>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</si>
  <si>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</si>
  <si>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</si>
  <si>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</si>
  <si>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</si>
  <si>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</si>
  <si>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</si>
  <si>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</si>
  <si>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</si>
  <si>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</si>
  <si>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</si>
  <si>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</si>
  <si>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</si>
  <si>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</si>
  <si>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</si>
  <si>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</si>
  <si>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</si>
  <si>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</si>
  <si>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</si>
  <si>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</si>
  <si>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</si>
  <si>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</si>
  <si>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</si>
  <si>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</si>
  <si>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</si>
  <si>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</si>
  <si>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</si>
  <si>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</si>
  <si>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</si>
  <si>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</si>
  <si>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</si>
  <si>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</si>
  <si>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</si>
  <si>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</si>
  <si>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</si>
  <si>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</si>
  <si>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</si>
  <si>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</si>
  <si>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</si>
  <si>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</si>
  <si>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</si>
  <si>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</si>
  <si>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</si>
  <si>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</si>
  <si>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</si>
  <si>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</si>
  <si>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</si>
  <si>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</si>
  <si>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</si>
  <si>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</si>
  <si>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</si>
  <si>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</si>
  <si>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</si>
  <si>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</si>
  <si>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</si>
  <si>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</si>
  <si>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</si>
  <si>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</si>
  <si>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</si>
  <si>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</si>
  <si>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</si>
  <si>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</si>
  <si>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</si>
  <si>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</si>
  <si>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</si>
  <si>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</si>
  <si>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</si>
  <si>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</si>
  <si>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</si>
  <si>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</si>
  <si>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</si>
  <si>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</si>
  <si>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</si>
  <si>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</si>
  <si>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</si>
  <si>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</si>
  <si>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</si>
  <si>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</si>
  <si>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</si>
  <si>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</si>
  <si>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</si>
  <si>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</si>
  <si>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</si>
  <si>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</si>
  <si>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</si>
  <si>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</si>
  <si>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</si>
  <si>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</si>
  <si>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</si>
  <si>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</si>
  <si>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</si>
  <si>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</si>
  <si>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</si>
  <si>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</si>
  <si>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</si>
  <si>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</si>
  <si>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</si>
  <si>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</si>
  <si>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</si>
  <si>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</si>
  <si>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</si>
  <si>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</si>
  <si>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</si>
  <si>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</si>
  <si>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</si>
  <si>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</si>
  <si>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</si>
  <si>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</si>
  <si>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</si>
  <si>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</si>
  <si>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</si>
  <si>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</si>
  <si>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</si>
  <si>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</si>
  <si>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</si>
  <si>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</si>
  <si>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</si>
  <si>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</si>
  <si>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</si>
  <si>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</si>
  <si>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</si>
  <si>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</si>
  <si>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</si>
  <si>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</si>
  <si>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</si>
  <si>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</si>
  <si>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</si>
  <si>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</si>
  <si>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</si>
  <si>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</si>
  <si>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</si>
  <si>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</si>
  <si>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</si>
  <si>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</si>
  <si>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</si>
  <si>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</si>
  <si>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</si>
  <si>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</si>
  <si>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</si>
  <si>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</si>
  <si>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</si>
  <si>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</si>
  <si>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</si>
  <si>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</si>
  <si>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</si>
  <si>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</si>
  <si>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</si>
  <si>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</si>
  <si>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</si>
  <si>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</si>
  <si>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</si>
  <si>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</si>
  <si>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</si>
  <si>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</si>
  <si>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</si>
  <si>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</si>
  <si>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</si>
  <si>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</si>
  <si>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</si>
  <si>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</si>
  <si>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</si>
  <si>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</si>
  <si>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</si>
  <si>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</si>
  <si>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</si>
  <si>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</si>
  <si>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</si>
  <si>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</si>
  <si>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</si>
  <si>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</si>
  <si>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</si>
  <si>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</si>
  <si>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</si>
  <si>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</si>
  <si>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</si>
  <si>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</si>
  <si>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</si>
  <si>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</si>
  <si>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</si>
  <si>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</si>
  <si>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</si>
  <si>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</si>
  <si>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</si>
  <si>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</si>
  <si>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</si>
  <si>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</si>
  <si>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</si>
  <si>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</si>
  <si>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</si>
  <si>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</si>
  <si>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</si>
  <si>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</si>
  <si>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</si>
  <si>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</si>
  <si>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</si>
  <si>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</si>
  <si>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</si>
  <si>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</si>
  <si>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</si>
  <si>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</si>
  <si>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</si>
  <si>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</si>
  <si>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</si>
  <si>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</si>
  <si>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</si>
  <si>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</si>
  <si>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</si>
  <si>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</si>
  <si>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</si>
  <si>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</si>
  <si>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</si>
  <si>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</si>
  <si>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</si>
  <si>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</si>
  <si>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</si>
  <si>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</si>
  <si>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</si>
  <si>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</si>
  <si>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</si>
  <si>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</si>
  <si>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</si>
  <si>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</si>
  <si>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</si>
  <si>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</si>
  <si>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</si>
  <si>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</si>
  <si>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</si>
  <si>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</si>
  <si>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</si>
  <si>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</si>
  <si>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</si>
  <si>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</si>
  <si>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</si>
  <si>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</si>
  <si>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</si>
  <si>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</si>
  <si>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</si>
  <si>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</si>
  <si>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</si>
  <si>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</si>
  <si>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</si>
  <si>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</si>
  <si>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</si>
  <si>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</si>
  <si>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</si>
  <si>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</si>
  <si>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</si>
  <si>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</si>
  <si>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</si>
  <si>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</si>
  <si>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</si>
  <si>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</si>
  <si>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</si>
  <si>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</si>
  <si>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</si>
  <si>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</si>
  <si>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</si>
  <si>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</si>
  <si>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</si>
  <si>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</si>
  <si>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</si>
  <si>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</si>
  <si>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</si>
  <si>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</si>
  <si>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</si>
  <si>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</si>
  <si>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</si>
  <si>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</si>
  <si>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</si>
  <si>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</si>
  <si>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</si>
  <si>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</si>
  <si>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</si>
  <si>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</si>
  <si>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</si>
  <si>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</si>
  <si>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</si>
  <si>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</si>
  <si>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</si>
  <si>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</si>
  <si>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</si>
  <si>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</si>
  <si>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</si>
  <si>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</si>
  <si>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</si>
  <si>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</si>
  <si>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</si>
  <si>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</si>
  <si>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</si>
  <si>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</si>
  <si>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</si>
  <si>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</si>
  <si>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</si>
  <si>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</si>
  <si>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</si>
  <si>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</si>
  <si>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</si>
  <si>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</si>
  <si>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</si>
  <si>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</si>
  <si>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</si>
  <si>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</si>
  <si>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</si>
  <si>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</si>
  <si>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</si>
  <si>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</si>
  <si>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</si>
  <si>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</si>
  <si>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</si>
  <si>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</si>
  <si>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</si>
  <si>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</si>
  <si>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</si>
  <si>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</si>
  <si>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</si>
  <si>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</si>
  <si>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</si>
  <si>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</si>
  <si>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</si>
  <si>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</si>
  <si>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</si>
  <si>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</si>
  <si>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</si>
  <si>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</si>
  <si>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</si>
  <si>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</si>
  <si>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</si>
  <si>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</si>
  <si>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</si>
  <si>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</si>
  <si>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</si>
  <si>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</si>
  <si>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</si>
  <si>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</si>
  <si>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</si>
  <si>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</si>
  <si>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</si>
  <si>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</si>
  <si>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</si>
  <si>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</si>
  <si>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</si>
  <si>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</si>
  <si>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</si>
  <si>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</si>
  <si>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</si>
  <si>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</si>
  <si>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</si>
  <si>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</si>
  <si>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</si>
  <si>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</si>
  <si>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</si>
  <si>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</si>
  <si>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</si>
  <si>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</si>
  <si>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</si>
  <si>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</si>
  <si>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</si>
  <si>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</si>
  <si>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</si>
  <si>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</si>
  <si>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</si>
  <si>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</si>
  <si>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</si>
  <si>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</si>
  <si>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</si>
  <si>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</si>
  <si>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</si>
  <si>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</si>
  <si>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</si>
  <si>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</si>
  <si>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</si>
  <si>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</si>
  <si>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</si>
  <si>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</si>
  <si>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</si>
  <si>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</si>
  <si>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</si>
  <si>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</si>
  <si>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</si>
  <si>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</si>
  <si>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</si>
  <si>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</si>
  <si>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</si>
  <si>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</si>
  <si>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</si>
  <si>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</si>
  <si>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</si>
  <si>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</si>
  <si>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</si>
  <si>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</si>
  <si>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</si>
  <si>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</si>
  <si>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</si>
  <si>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</si>
  <si>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</si>
  <si>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</si>
  <si>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</si>
  <si>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</si>
  <si>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</si>
  <si>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</si>
  <si>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</si>
  <si>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</si>
  <si>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</si>
  <si>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</si>
  <si>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</si>
  <si>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</si>
  <si>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</si>
  <si>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</si>
  <si>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</si>
  <si>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</si>
  <si>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</si>
  <si>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</si>
  <si>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</si>
  <si>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</si>
  <si>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</si>
  <si>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</si>
  <si>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</si>
  <si>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</si>
  <si>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</si>
  <si>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</si>
  <si>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</si>
  <si>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</si>
  <si>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</si>
  <si>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</si>
  <si>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</si>
  <si>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</si>
  <si>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</si>
  <si>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</si>
  <si>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</si>
  <si>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</si>
  <si>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</si>
  <si>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</si>
  <si>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</si>
  <si>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</si>
  <si>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</si>
  <si>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</si>
  <si>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</si>
  <si>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</si>
  <si>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</si>
  <si>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</si>
  <si>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</si>
  <si>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</si>
  <si>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</si>
  <si>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</si>
  <si>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</si>
  <si>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</si>
  <si>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</si>
  <si>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</si>
  <si>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</si>
  <si>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</si>
  <si>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</si>
  <si>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</si>
  <si>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</si>
  <si>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</si>
  <si>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</si>
  <si>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</si>
  <si>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</si>
  <si>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</si>
  <si>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</si>
  <si>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</si>
  <si>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</si>
  <si>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</si>
  <si>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</si>
  <si>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</si>
  <si>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</si>
  <si>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</si>
  <si>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</si>
  <si>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</si>
  <si>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</si>
  <si>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</si>
  <si>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</si>
  <si>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</si>
  <si>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</si>
  <si>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</si>
  <si>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</si>
  <si>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</si>
  <si>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</si>
  <si>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</si>
  <si>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</si>
  <si>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</si>
  <si>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</si>
  <si>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</si>
  <si>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</si>
  <si>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</si>
  <si>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</si>
  <si>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</si>
  <si>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</si>
  <si>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</si>
  <si>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</si>
  <si>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</si>
  <si>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</si>
  <si>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</si>
  <si>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</si>
  <si>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</si>
  <si>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</si>
  <si>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</si>
  <si>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</si>
  <si>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</si>
  <si>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</si>
  <si>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</si>
  <si>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</si>
  <si>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</si>
  <si>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</si>
  <si>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</si>
  <si>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</si>
  <si>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</si>
  <si>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</si>
  <si>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</si>
  <si>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</si>
  <si>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</si>
  <si>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</si>
  <si>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</si>
  <si>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</si>
  <si>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</si>
  <si>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</si>
  <si>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</si>
  <si>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</si>
  <si>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</si>
  <si>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</si>
  <si>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</si>
  <si>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</si>
  <si>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</si>
  <si>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</si>
  <si>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</si>
  <si>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</si>
  <si>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</si>
  <si>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</si>
  <si>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</si>
  <si>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</si>
  <si>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</si>
  <si>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</si>
  <si>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</si>
  <si>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</si>
  <si>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</si>
  <si>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</si>
  <si>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</si>
  <si>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</si>
  <si>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</si>
  <si>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</si>
  <si>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</si>
  <si>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</si>
  <si>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</si>
  <si>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</si>
  <si>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</si>
  <si>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</si>
  <si>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</si>
  <si>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</si>
  <si>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</si>
  <si>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</si>
  <si>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</si>
  <si>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</si>
  <si>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</si>
  <si>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</si>
  <si>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</si>
  <si>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</si>
  <si>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</si>
  <si>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</si>
  <si>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</si>
  <si>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</si>
  <si>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</si>
  <si>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</si>
  <si>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</si>
  <si>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</si>
  <si>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</si>
  <si>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</si>
  <si>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</si>
  <si>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</si>
  <si>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</si>
  <si>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</si>
  <si>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</si>
  <si>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</si>
  <si>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</si>
  <si>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</si>
  <si>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</si>
  <si>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</si>
  <si>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</si>
  <si>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</si>
  <si>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</si>
  <si>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</si>
  <si>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</si>
  <si>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</si>
  <si>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</si>
  <si>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</si>
  <si>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</si>
  <si>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</si>
  <si>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</si>
  <si>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</si>
  <si>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</si>
  <si>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</si>
  <si>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</si>
  <si>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</si>
  <si>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</si>
  <si>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</si>
  <si>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</si>
  <si>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</si>
  <si>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</si>
  <si>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</si>
  <si>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</si>
  <si>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</si>
  <si>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</si>
  <si>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</si>
  <si>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</si>
  <si>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</si>
  <si>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</si>
  <si>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</si>
  <si>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</si>
  <si>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</si>
  <si>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</si>
  <si>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</si>
  <si>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</si>
  <si>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</si>
  <si>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</si>
  <si>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</si>
  <si>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</si>
  <si>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</si>
  <si>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</si>
  <si>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</si>
  <si>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</si>
  <si>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</si>
  <si>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</si>
  <si>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</si>
  <si>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</si>
  <si>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</si>
  <si>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</si>
  <si>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</si>
  <si>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</si>
  <si>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</si>
  <si>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</si>
  <si>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</si>
  <si>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</si>
  <si>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</si>
  <si>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</si>
  <si>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</si>
  <si>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</si>
  <si>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</si>
  <si>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</si>
  <si>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</si>
  <si>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</si>
  <si>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</si>
  <si>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</si>
  <si>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</si>
  <si>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</si>
  <si>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</si>
  <si>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</si>
  <si>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</si>
  <si>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</si>
  <si>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</si>
  <si>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</si>
  <si>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</si>
  <si>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</si>
  <si>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</si>
  <si>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</si>
  <si>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</si>
  <si>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</si>
  <si>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</si>
  <si>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</si>
  <si>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</si>
  <si>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</si>
  <si>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</si>
  <si>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</si>
  <si>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</si>
  <si>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</si>
  <si>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</si>
  <si>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</si>
  <si>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</si>
  <si>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</si>
  <si>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</si>
  <si>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</si>
  <si>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</si>
  <si>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</si>
  <si>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</si>
  <si>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</si>
  <si>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</si>
  <si>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</si>
  <si>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</si>
  <si>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</si>
  <si>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</si>
  <si>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</si>
  <si>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</si>
  <si>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</si>
  <si>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</si>
  <si>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</si>
  <si>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</si>
  <si>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</si>
  <si>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</si>
  <si>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</si>
  <si>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</si>
  <si>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</si>
  <si>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</si>
  <si>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</si>
  <si>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</si>
  <si>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</si>
  <si>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</si>
  <si>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</si>
  <si>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</si>
  <si>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</si>
  <si>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</si>
  <si>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</si>
  <si>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</si>
  <si>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</si>
  <si>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</si>
  <si>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</si>
  <si>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</si>
  <si>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</si>
  <si>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</si>
  <si>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</si>
  <si>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</si>
  <si>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</si>
  <si>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</si>
  <si>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</si>
  <si>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</si>
  <si>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</si>
  <si>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</si>
  <si>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</si>
  <si>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</si>
  <si>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</si>
  <si>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</si>
  <si>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</si>
  <si>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</si>
  <si>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</si>
  <si>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</si>
  <si>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</si>
  <si>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</si>
  <si>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</si>
  <si>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</si>
  <si>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</si>
  <si>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</si>
  <si>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</si>
  <si>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</si>
  <si>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</si>
  <si>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</si>
  <si>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</si>
  <si>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</si>
  <si>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</si>
  <si>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</si>
  <si>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</si>
  <si>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</si>
  <si>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</si>
  <si>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</si>
  <si>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</si>
  <si>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</si>
  <si>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</si>
  <si>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</si>
  <si>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</si>
  <si>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</si>
  <si>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</si>
  <si>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</si>
  <si>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</si>
  <si>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</si>
  <si>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</si>
  <si>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</si>
  <si>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</si>
  <si>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</si>
  <si>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</si>
  <si>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</si>
  <si>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</si>
  <si>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</si>
  <si>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</si>
  <si>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</si>
  <si>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</si>
  <si>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</si>
  <si>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</si>
  <si>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</si>
  <si>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</si>
  <si>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</si>
  <si>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</si>
  <si>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</si>
  <si>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</si>
  <si>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</si>
  <si>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</si>
  <si>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</si>
  <si>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</si>
  <si>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</si>
  <si>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</si>
  <si>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</si>
  <si>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</si>
  <si>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</si>
  <si>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</si>
  <si>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</si>
  <si>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</si>
  <si>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</si>
  <si>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</si>
  <si>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</si>
  <si>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</si>
  <si>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</si>
  <si>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</si>
  <si>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</si>
  <si>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</si>
  <si>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</si>
  <si>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</si>
  <si>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</si>
  <si>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</si>
  <si>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</si>
  <si>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</si>
  <si>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</si>
  <si>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</si>
  <si>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</si>
  <si>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</si>
  <si>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</si>
  <si>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</si>
  <si>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</si>
  <si>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</si>
  <si>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</si>
  <si>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</si>
  <si>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</si>
  <si>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</si>
  <si>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</si>
  <si>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</si>
  <si>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</si>
  <si>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</si>
  <si>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</si>
  <si>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</si>
  <si>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</si>
  <si>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</si>
  <si>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</si>
  <si>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</si>
  <si>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</si>
  <si>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</si>
  <si>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</si>
  <si>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</si>
  <si>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</si>
  <si>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</si>
  <si>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</si>
  <si>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</si>
  <si>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</si>
  <si>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</si>
  <si>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</si>
  <si>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</si>
  <si>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</si>
  <si>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</si>
  <si>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</si>
  <si>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</si>
  <si>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</si>
  <si>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</si>
  <si>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</si>
  <si>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</si>
  <si>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</si>
  <si>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</si>
  <si>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</si>
  <si>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</si>
  <si>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</si>
  <si>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</si>
  <si>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</si>
  <si>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</si>
  <si>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</si>
  <si>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</si>
  <si>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</si>
  <si>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</si>
  <si>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</si>
  <si>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</si>
  <si>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</si>
  <si>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</si>
  <si>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</si>
  <si>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</si>
  <si>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</si>
  <si>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</si>
  <si>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</si>
  <si>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</si>
  <si>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</si>
  <si>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</si>
  <si>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</si>
  <si>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</si>
  <si>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</si>
  <si>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</si>
  <si>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</si>
  <si>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</si>
  <si>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</si>
  <si>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</si>
  <si>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</si>
  <si>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</si>
  <si>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</si>
  <si>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</si>
  <si>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</si>
  <si>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</si>
  <si>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</si>
  <si>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</si>
  <si>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</si>
  <si>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</si>
  <si>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</si>
  <si>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</si>
  <si>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</si>
  <si>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</si>
  <si>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</si>
  <si>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</si>
  <si>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</si>
  <si>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</si>
  <si>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</si>
  <si>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</si>
  <si>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</si>
  <si>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</si>
  <si>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</si>
  <si>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</si>
  <si>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</si>
  <si>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</si>
  <si>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</si>
  <si>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</si>
  <si>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</si>
  <si>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</si>
  <si>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</si>
  <si>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</si>
  <si>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</si>
  <si>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</si>
  <si>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</si>
  <si>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</si>
  <si>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</si>
  <si>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</si>
  <si>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</si>
  <si>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</si>
  <si>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</si>
  <si>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</si>
  <si>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</si>
  <si>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</si>
  <si>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</si>
  <si>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</si>
  <si>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</si>
  <si>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</si>
  <si>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</si>
  <si>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</si>
  <si>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</si>
  <si>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</si>
  <si>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</si>
  <si>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</si>
  <si>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</si>
  <si>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</si>
  <si>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</si>
  <si>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</si>
  <si>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</si>
  <si>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</si>
  <si>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</si>
  <si>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</si>
  <si>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</si>
  <si>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</si>
  <si>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</si>
  <si>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</si>
  <si>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</si>
  <si>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</si>
  <si>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</si>
  <si>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</si>
  <si>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</si>
  <si>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</si>
  <si>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</si>
  <si>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</si>
  <si>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</si>
  <si>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</si>
  <si>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</si>
  <si>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</si>
  <si>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</si>
  <si>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</si>
  <si>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</si>
  <si>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</si>
  <si>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</si>
  <si>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</si>
  <si>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</si>
  <si>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</si>
  <si>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</si>
  <si>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</si>
  <si>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</si>
  <si>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</si>
  <si>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</si>
  <si>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</si>
  <si>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</si>
  <si>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</si>
  <si>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</si>
  <si>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</si>
  <si>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</si>
  <si>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</si>
  <si>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</si>
  <si>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</si>
  <si>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</si>
  <si>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</si>
  <si>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</si>
  <si>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</si>
  <si>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</si>
  <si>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</si>
  <si>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</si>
  <si>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</si>
  <si>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</si>
  <si>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</si>
  <si>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</si>
  <si>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</si>
  <si>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</si>
  <si>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</si>
  <si>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</si>
  <si>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</si>
  <si>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</si>
  <si>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</si>
  <si>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</si>
  <si>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</si>
  <si>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</si>
  <si>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</si>
  <si>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</si>
  <si>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</si>
  <si>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</si>
  <si>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</si>
  <si>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</si>
  <si>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</si>
  <si>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</si>
  <si>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</si>
  <si>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</si>
  <si>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</si>
  <si>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</si>
  <si>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</si>
  <si>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</si>
  <si>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</si>
  <si>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</si>
  <si>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</si>
  <si>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</si>
  <si>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</si>
  <si>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</si>
  <si>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</si>
  <si>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</si>
  <si>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</si>
  <si>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</si>
  <si>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</si>
  <si>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</si>
  <si>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</si>
  <si>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</si>
  <si>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</si>
  <si>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</si>
  <si>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</si>
  <si>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</si>
  <si>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</si>
  <si>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</si>
  <si>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</si>
  <si>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</si>
  <si>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</si>
  <si>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</si>
  <si>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</si>
  <si>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</si>
  <si>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</si>
  <si>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</si>
  <si>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</si>
  <si>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</si>
  <si>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</si>
  <si>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</si>
  <si>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</si>
  <si>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</si>
  <si>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</si>
  <si>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</si>
  <si>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</si>
  <si>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</si>
  <si>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</si>
  <si>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</si>
  <si>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</si>
  <si>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</si>
  <si>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</si>
  <si>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</si>
  <si>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</si>
  <si>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</si>
  <si>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</si>
  <si>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</si>
  <si>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</si>
  <si>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</si>
  <si>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</si>
  <si>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</si>
  <si>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</si>
  <si>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</si>
  <si>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</si>
  <si>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</si>
  <si>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</si>
  <si>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</si>
  <si>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</si>
  <si>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</si>
  <si>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</si>
  <si>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</si>
  <si>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</si>
  <si>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</si>
  <si>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</si>
  <si>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</si>
  <si>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</si>
  <si>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</si>
  <si>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</si>
  <si>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</si>
  <si>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</si>
  <si>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</si>
  <si>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</si>
  <si>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</si>
  <si>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</si>
  <si>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</si>
  <si>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</si>
  <si>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</si>
  <si>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</si>
  <si>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</si>
  <si>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</si>
  <si>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</si>
  <si>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</si>
  <si>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</si>
  <si>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</si>
  <si>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</si>
  <si>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</si>
  <si>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</si>
  <si>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</si>
  <si>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</si>
  <si>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</si>
  <si>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</si>
  <si>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</si>
  <si>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</si>
  <si>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</si>
  <si>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</si>
  <si>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</si>
  <si>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</si>
  <si>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</si>
  <si>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</si>
  <si>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</si>
  <si>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</si>
  <si>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</si>
  <si>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</si>
  <si>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</si>
  <si>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</si>
  <si>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</si>
  <si>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</si>
  <si>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</si>
  <si>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</si>
  <si>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</si>
  <si>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</si>
  <si>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</si>
  <si>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</si>
  <si>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</si>
  <si>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</si>
  <si>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</si>
  <si>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</si>
  <si>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</si>
  <si>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</si>
  <si>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</si>
  <si>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</si>
  <si>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</si>
  <si>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</si>
  <si>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</si>
  <si>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</si>
  <si>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</si>
  <si>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</si>
  <si>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</si>
  <si>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</si>
  <si>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</si>
  <si>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</si>
  <si>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</si>
  <si>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</si>
  <si>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</si>
  <si>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</si>
  <si>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</si>
  <si>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</si>
  <si>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</si>
  <si>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</si>
  <si>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</si>
  <si>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</si>
  <si>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</si>
  <si>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</si>
  <si>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</si>
  <si>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</si>
  <si>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</si>
  <si>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</si>
  <si>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</si>
  <si>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</si>
  <si>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</si>
  <si>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</si>
  <si>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</si>
  <si>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</si>
  <si>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</si>
  <si>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</si>
  <si>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</si>
  <si>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</si>
  <si>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</si>
  <si>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</si>
  <si>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</si>
  <si>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</si>
  <si>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</si>
  <si>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</si>
  <si>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</si>
  <si>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</si>
  <si>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</si>
  <si>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</si>
  <si>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</si>
  <si>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</si>
  <si>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</si>
  <si>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</si>
  <si>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</si>
  <si>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</si>
  <si>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</si>
  <si>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</si>
  <si>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</si>
  <si>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</si>
  <si>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</si>
  <si>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</si>
  <si>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</si>
  <si>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</si>
  <si>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</si>
  <si>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</si>
  <si>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</si>
  <si>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</si>
  <si>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</si>
  <si>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</si>
  <si>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</si>
  <si>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</si>
  <si>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</si>
  <si>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</si>
  <si>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</si>
  <si>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</si>
  <si>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</si>
  <si>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</si>
  <si>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</si>
  <si>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</si>
  <si>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</si>
  <si>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</si>
  <si>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</si>
  <si>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</si>
  <si>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</si>
  <si>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</si>
  <si>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</si>
  <si>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</si>
  <si>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</si>
  <si>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</si>
  <si>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</si>
  <si>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</si>
  <si>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</si>
  <si>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</si>
  <si>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</si>
  <si>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</si>
  <si>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</si>
  <si>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</si>
  <si>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</si>
  <si>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</si>
  <si>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</si>
  <si>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</si>
  <si>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</si>
  <si>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</si>
  <si>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</si>
  <si>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</si>
  <si>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</si>
  <si>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</si>
  <si>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</si>
  <si>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</si>
  <si>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</si>
  <si>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</si>
  <si>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</si>
  <si>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</si>
  <si>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</si>
  <si>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</si>
  <si>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</si>
  <si>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</si>
  <si>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</si>
  <si>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</si>
  <si>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</si>
  <si>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</si>
  <si>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</si>
  <si>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</si>
  <si>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</si>
  <si>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</si>
  <si>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</si>
  <si>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</si>
  <si>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</si>
  <si>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</si>
  <si>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</si>
  <si>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</si>
  <si>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</si>
  <si>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</si>
  <si>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</si>
  <si>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</si>
  <si>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</si>
  <si>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</si>
  <si>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</si>
  <si>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</si>
  <si>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</si>
  <si>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</si>
  <si>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</si>
  <si>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</si>
  <si>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</si>
  <si>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</si>
  <si>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</si>
  <si>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</si>
  <si>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</si>
  <si>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</si>
  <si>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</si>
  <si>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</si>
  <si>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</si>
  <si>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</si>
  <si>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</si>
  <si>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</si>
  <si>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</si>
  <si>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</si>
  <si>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</si>
  <si>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</si>
  <si>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</si>
  <si>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</si>
  <si>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</si>
  <si>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</si>
  <si>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</si>
  <si>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</si>
  <si>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</si>
  <si>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</si>
  <si>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</si>
  <si>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</si>
  <si>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</si>
  <si>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</si>
  <si>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</si>
  <si>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</si>
  <si>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</si>
  <si>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</si>
  <si>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</si>
  <si>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</si>
  <si>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</si>
  <si>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</si>
  <si>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</si>
  <si>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</si>
  <si>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</si>
  <si>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</si>
  <si>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</si>
  <si>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</si>
  <si>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</si>
  <si>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</si>
  <si>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</si>
  <si>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</si>
  <si>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</si>
  <si>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</si>
  <si>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</si>
  <si>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</si>
  <si>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</si>
  <si>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</si>
  <si>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</si>
  <si>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</si>
  <si>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</si>
  <si>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</si>
  <si>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</si>
  <si>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</si>
  <si>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</si>
  <si>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</si>
  <si>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</si>
  <si>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</si>
  <si>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</si>
  <si>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</si>
  <si>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</si>
  <si>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</si>
  <si>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</si>
  <si>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</si>
  <si>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</si>
  <si>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</si>
  <si>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</si>
  <si>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</si>
  <si>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</si>
  <si>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</si>
  <si>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</si>
  <si>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</si>
  <si>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</si>
  <si>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</si>
  <si>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</si>
  <si>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</si>
  <si>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</si>
  <si>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</si>
  <si>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</si>
  <si>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</si>
  <si>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</si>
  <si>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</si>
  <si>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</si>
  <si>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</si>
  <si>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</si>
  <si>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</si>
  <si>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</si>
  <si>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</si>
  <si>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</si>
  <si>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</si>
  <si>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</si>
  <si>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</si>
  <si>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</si>
  <si>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</si>
  <si>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</si>
  <si>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</si>
  <si>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</si>
  <si>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</si>
  <si>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</si>
  <si>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</si>
  <si>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</si>
  <si>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</si>
  <si>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</si>
  <si>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</si>
  <si>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</si>
  <si>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</si>
  <si>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</si>
  <si>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</si>
  <si>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</si>
  <si>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</si>
  <si>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</si>
  <si>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</si>
  <si>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</si>
  <si>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</si>
  <si>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</si>
  <si>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</si>
  <si>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</si>
  <si>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</si>
  <si>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</si>
  <si>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</si>
  <si>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</si>
  <si>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</si>
  <si>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</si>
  <si>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</si>
  <si>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</si>
  <si>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</si>
  <si>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</si>
  <si>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</si>
  <si>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</si>
  <si>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</si>
  <si>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</si>
  <si>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</si>
  <si>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</si>
  <si>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</si>
  <si>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</si>
  <si>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</si>
  <si>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</si>
  <si>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</si>
  <si>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</si>
  <si>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</si>
  <si>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</si>
  <si>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</si>
  <si>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</si>
  <si>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</si>
  <si>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</si>
  <si>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</si>
  <si>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</si>
  <si>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</si>
  <si>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</si>
  <si>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</si>
  <si>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</si>
  <si>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</si>
  <si>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</si>
  <si>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</si>
  <si>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</si>
  <si>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</si>
  <si>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</si>
  <si>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</si>
  <si>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</si>
  <si>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</si>
  <si>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</si>
  <si>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</si>
  <si>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</si>
  <si>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</si>
  <si>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</si>
  <si>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</si>
  <si>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</si>
  <si>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</si>
  <si>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</si>
  <si>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</si>
  <si>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</si>
  <si>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</si>
  <si>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</si>
  <si>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</si>
  <si>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</si>
  <si>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</si>
  <si>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</si>
  <si>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</si>
  <si>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</si>
  <si>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</si>
  <si>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</si>
  <si>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</si>
  <si>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</si>
  <si>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</si>
  <si>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</si>
  <si>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</si>
  <si>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</si>
  <si>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</si>
  <si>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</si>
  <si>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</si>
  <si>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</si>
  <si>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</si>
  <si>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</si>
  <si>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</si>
  <si>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</si>
  <si>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</si>
  <si>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</si>
  <si>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</si>
  <si>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</si>
  <si>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</si>
  <si>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</si>
  <si>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</si>
  <si>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</si>
  <si>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</si>
  <si>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</si>
  <si>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</si>
  <si>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</si>
  <si>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</si>
  <si>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</si>
  <si>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</si>
  <si>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</si>
  <si>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</si>
  <si>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</si>
  <si>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</si>
  <si>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</si>
  <si>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</si>
  <si>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</si>
  <si>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</si>
  <si>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</si>
  <si>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</si>
  <si>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</si>
  <si>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</si>
  <si>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</si>
  <si>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</si>
  <si>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</si>
  <si>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</si>
  <si>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</si>
  <si>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</si>
  <si>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</si>
  <si>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</si>
  <si>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</si>
  <si>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</si>
  <si>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</si>
  <si>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</si>
  <si>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</si>
  <si>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</si>
  <si>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</si>
  <si>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</si>
  <si>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</si>
  <si>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</si>
  <si>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</si>
  <si>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</si>
  <si>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</si>
  <si>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</si>
  <si>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</si>
  <si>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</si>
  <si>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</si>
  <si>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</si>
  <si>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</si>
  <si>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</si>
  <si>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</si>
  <si>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</si>
  <si>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</si>
  <si>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</si>
  <si>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</si>
  <si>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</si>
  <si>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</si>
  <si>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</si>
  <si>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</si>
  <si>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</si>
  <si>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</si>
  <si>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</si>
  <si>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</si>
  <si>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</si>
  <si>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</si>
  <si>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</si>
  <si>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</si>
  <si>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</si>
  <si>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</si>
  <si>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</si>
  <si>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</si>
  <si>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</si>
  <si>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</si>
  <si>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</si>
  <si>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</si>
  <si>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</si>
  <si>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</si>
  <si>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</si>
  <si>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</si>
  <si>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</si>
  <si>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</si>
  <si>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</si>
  <si>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</si>
  <si>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</si>
  <si>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</si>
  <si>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</si>
  <si>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</si>
  <si>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</si>
  <si>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</si>
  <si>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</si>
  <si>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</si>
  <si>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</si>
  <si>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</si>
  <si>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</si>
  <si>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</si>
  <si>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</si>
  <si>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</si>
  <si>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</si>
  <si>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</si>
  <si>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</si>
  <si>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</si>
  <si>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</si>
  <si>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</si>
  <si>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</si>
  <si>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</si>
  <si>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</si>
  <si>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</si>
  <si>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</si>
  <si>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</si>
  <si>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</si>
  <si>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</si>
  <si>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</si>
  <si>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</si>
  <si>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</si>
  <si>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</si>
  <si>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</si>
  <si>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</si>
  <si>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</si>
  <si>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</si>
  <si>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</si>
  <si>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</si>
  <si>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</si>
  <si>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</si>
  <si>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</si>
  <si>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</si>
  <si>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</si>
  <si>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</si>
  <si>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</si>
  <si>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</si>
  <si>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</si>
  <si>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</si>
  <si>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</si>
  <si>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</si>
  <si>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</si>
  <si>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</si>
  <si>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</si>
  <si>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</si>
  <si>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</si>
  <si>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</si>
  <si>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</si>
  <si>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</si>
  <si>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</si>
  <si>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</si>
  <si>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</si>
  <si>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</si>
  <si>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</si>
  <si>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</si>
  <si>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</si>
  <si>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</si>
  <si>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</si>
  <si>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</si>
  <si>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</si>
  <si>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</si>
  <si>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</si>
  <si>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</si>
  <si>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</si>
  <si>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</si>
  <si>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</si>
  <si>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</si>
  <si>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</si>
  <si>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</si>
  <si>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</si>
  <si>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</si>
  <si>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</si>
  <si>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</si>
  <si>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</si>
  <si>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</si>
  <si>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</si>
  <si>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</si>
  <si>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</si>
  <si>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</si>
  <si>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</si>
  <si>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</si>
  <si>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</si>
  <si>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</si>
  <si>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</si>
  <si>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</si>
  <si>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</si>
  <si>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</si>
  <si>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</si>
  <si>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</si>
  <si>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</si>
  <si>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</si>
  <si>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</si>
  <si>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</si>
  <si>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</si>
  <si>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</si>
  <si>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</si>
  <si>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</si>
  <si>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</si>
  <si>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</si>
  <si>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</si>
  <si>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</si>
  <si>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</si>
  <si>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</si>
  <si>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</si>
  <si>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</si>
  <si>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</si>
  <si>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</si>
  <si>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</si>
  <si>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</si>
  <si>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</si>
  <si>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</si>
  <si>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</si>
  <si>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</si>
  <si>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</si>
  <si>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</si>
  <si>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</si>
  <si>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</si>
  <si>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</si>
  <si>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</si>
  <si>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</si>
  <si>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</si>
  <si>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</si>
  <si>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</si>
  <si>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</si>
  <si>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</si>
  <si>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</si>
  <si>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</si>
  <si>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</si>
  <si>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</si>
  <si>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</si>
  <si>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</si>
  <si>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</si>
  <si>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</si>
  <si>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</si>
  <si>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</si>
  <si>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</si>
  <si>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</si>
  <si>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</si>
  <si>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</si>
  <si>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</si>
  <si>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</si>
  <si>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</si>
  <si>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</si>
  <si>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</si>
  <si>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</si>
  <si>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</si>
  <si>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</si>
  <si>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</si>
  <si>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</si>
  <si>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</si>
  <si>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</si>
  <si>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</si>
  <si>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</si>
  <si>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</si>
  <si>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</si>
  <si>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</si>
  <si>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</si>
  <si>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</si>
  <si>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</si>
  <si>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</si>
  <si>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</si>
  <si>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</si>
  <si>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</si>
  <si>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</si>
  <si>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</si>
  <si>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</si>
  <si>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</si>
  <si>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</si>
  <si>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</si>
  <si>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</si>
  <si>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</si>
  <si>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</si>
  <si>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</si>
  <si>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</si>
  <si>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</si>
  <si>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</si>
  <si>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</si>
  <si>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</si>
  <si>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</si>
  <si>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</si>
  <si>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</si>
  <si>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</si>
  <si>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</si>
  <si>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</si>
  <si>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</si>
  <si>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</si>
  <si>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</si>
  <si>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</si>
  <si>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</si>
  <si>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</si>
  <si>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</si>
  <si>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</si>
  <si>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</si>
  <si>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</si>
  <si>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</si>
  <si>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</si>
  <si>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</si>
  <si>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</si>
  <si>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</si>
  <si>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</si>
  <si>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</si>
  <si>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</si>
  <si>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</si>
  <si>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</si>
  <si>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</si>
  <si>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</si>
  <si>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</si>
  <si>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</si>
  <si>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</si>
  <si>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</si>
  <si>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</si>
  <si>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</si>
  <si>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</si>
  <si>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</si>
  <si>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</si>
  <si>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</si>
  <si>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</si>
  <si>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</si>
  <si>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</si>
  <si>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</si>
  <si>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</si>
  <si>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</si>
  <si>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</si>
  <si>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</si>
  <si>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</si>
  <si>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</si>
  <si>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</si>
  <si>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</si>
  <si>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</si>
  <si>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</si>
  <si>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</si>
  <si>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</si>
  <si>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</si>
  <si>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</si>
  <si>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</si>
  <si>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</si>
  <si>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</si>
  <si>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</si>
  <si>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</si>
  <si>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</si>
  <si>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</si>
  <si>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</si>
  <si>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</si>
  <si>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</si>
  <si>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</si>
  <si>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</si>
  <si>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</si>
  <si>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</si>
  <si>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</si>
  <si>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</si>
  <si>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</si>
  <si>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</si>
  <si>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</si>
  <si>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</si>
  <si>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</si>
  <si>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</si>
  <si>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</si>
  <si>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</si>
  <si>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</si>
  <si>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</si>
  <si>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</si>
  <si>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</si>
  <si>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</si>
  <si>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</si>
  <si>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</si>
  <si>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</si>
  <si>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</si>
  <si>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</si>
  <si>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</si>
  <si>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</si>
  <si>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</si>
  <si>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</si>
  <si>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</si>
  <si>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</si>
  <si>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</si>
  <si>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</si>
  <si>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</si>
  <si>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</si>
  <si>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</si>
  <si>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</si>
  <si>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</si>
  <si>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</si>
  <si>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</si>
  <si>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</si>
  <si>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</si>
  <si>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</si>
  <si>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</si>
  <si>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</si>
  <si>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</si>
  <si>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</si>
  <si>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</si>
  <si>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</si>
  <si>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</si>
  <si>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</si>
  <si>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</si>
  <si>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</si>
  <si>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</si>
  <si>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</si>
  <si>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</si>
  <si>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</si>
  <si>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</si>
  <si>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</si>
  <si>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</si>
  <si>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</si>
  <si>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</si>
  <si>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</si>
  <si>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</si>
  <si>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</si>
  <si>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</si>
  <si>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</si>
  <si>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</si>
  <si>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</si>
  <si>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</si>
  <si>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</si>
  <si>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</si>
  <si>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</si>
  <si>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</si>
  <si>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</si>
  <si>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</si>
  <si>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</si>
  <si>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</si>
  <si>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</si>
  <si>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</si>
  <si>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</si>
  <si>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</si>
  <si>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</si>
  <si>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</si>
  <si>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</si>
  <si>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</si>
  <si>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</si>
  <si>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</si>
  <si>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</si>
  <si>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</si>
  <si>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</si>
  <si>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</si>
  <si>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</si>
  <si>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</si>
  <si>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</si>
  <si>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</si>
  <si>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</si>
  <si>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</si>
  <si>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</si>
  <si>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</si>
  <si>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</si>
  <si>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</si>
  <si>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</si>
  <si>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</si>
  <si>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</si>
  <si>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</si>
  <si>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</si>
  <si>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</si>
  <si>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</si>
  <si>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</si>
  <si>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</si>
  <si>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</si>
  <si>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</si>
  <si>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</si>
  <si>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</si>
  <si>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</si>
  <si>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</si>
  <si>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</si>
  <si>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</si>
  <si>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</si>
  <si>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</si>
  <si>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</si>
  <si>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</si>
  <si>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</si>
  <si>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</si>
  <si>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</si>
  <si>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</si>
  <si>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</si>
  <si>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</si>
  <si>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</si>
  <si>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</si>
  <si>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</si>
  <si>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</si>
  <si>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</si>
  <si>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</si>
  <si>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</si>
  <si>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</si>
  <si>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</si>
  <si>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</si>
  <si>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</si>
  <si>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</si>
  <si>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</si>
  <si>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</si>
  <si>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</si>
  <si>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</si>
  <si>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</si>
  <si>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</si>
  <si>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</si>
  <si>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</si>
  <si>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</si>
  <si>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</si>
  <si>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</si>
  <si>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</si>
  <si>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</si>
  <si>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</si>
  <si>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</si>
  <si>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</si>
  <si>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</si>
  <si>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</si>
  <si>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</si>
  <si>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</si>
  <si>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</si>
  <si>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</si>
  <si>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</si>
  <si>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</si>
  <si>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</si>
  <si>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</si>
  <si>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</si>
  <si>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</si>
  <si>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</si>
  <si>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</si>
  <si>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</si>
  <si>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</si>
  <si>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</si>
  <si>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</si>
  <si>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</si>
  <si>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</si>
  <si>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</si>
  <si>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</si>
  <si>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</si>
  <si>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</si>
  <si>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</si>
  <si>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</si>
  <si>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</si>
  <si>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</si>
  <si>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</si>
  <si>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</si>
  <si>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</si>
  <si>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</si>
  <si>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</si>
  <si>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</si>
  <si>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</si>
  <si>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</si>
  <si>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</si>
  <si>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</si>
  <si>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</si>
  <si>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</si>
  <si>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</si>
  <si>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</si>
  <si>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</si>
  <si>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</si>
  <si>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</si>
  <si>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</si>
  <si>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</si>
  <si>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</si>
  <si>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</si>
  <si>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</si>
  <si>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</si>
  <si>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</si>
  <si>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</si>
  <si>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</si>
  <si>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</si>
  <si>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</si>
  <si>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</si>
  <si>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</si>
  <si>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</si>
  <si>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</si>
  <si>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</si>
  <si>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</si>
  <si>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</si>
  <si>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</si>
  <si>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</si>
  <si>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</si>
  <si>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</si>
  <si>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</si>
  <si>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</si>
  <si>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</si>
  <si>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</si>
  <si>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</si>
  <si>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</si>
  <si>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</si>
  <si>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</si>
  <si>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</si>
  <si>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</si>
  <si>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</si>
  <si>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</si>
  <si>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</si>
  <si>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</si>
  <si>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</si>
  <si>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</si>
  <si>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</si>
  <si>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</si>
  <si>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</si>
  <si>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</si>
  <si>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</si>
  <si>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</si>
  <si>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</si>
  <si>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</si>
  <si>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</si>
  <si>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</si>
  <si>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</si>
  <si>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</si>
  <si>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</si>
  <si>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</si>
  <si>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</si>
  <si>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</si>
  <si>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</si>
  <si>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</si>
  <si>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</si>
  <si>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</si>
  <si>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</si>
  <si>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</si>
  <si>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</si>
  <si>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</si>
  <si>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</si>
  <si>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</si>
  <si>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</si>
  <si>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</si>
  <si>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</si>
  <si>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</si>
  <si>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</si>
  <si>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</si>
  <si>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</si>
  <si>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</si>
  <si>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</si>
  <si>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</si>
  <si>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</si>
  <si>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</si>
  <si>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</si>
  <si>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</si>
  <si>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</si>
  <si>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</si>
  <si>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</si>
  <si>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</si>
  <si>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</si>
  <si>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</si>
  <si>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</si>
  <si>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</si>
  <si>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r>
      <t>OJO</t>
    </r>
    <r>
      <rPr>
        <sz val="8"/>
        <color rgb="FF000000"/>
        <rFont val="Arial"/>
        <family val="2"/>
      </rPr>
      <t xml:space="preserve"> (verticalmente)</t>
    </r>
  </si>
  <si>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</si>
  <si>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</si>
  <si>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</si>
  <si>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</si>
  <si>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</si>
  <si>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</si>
  <si>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</si>
  <si>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</si>
  <si>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</si>
  <si>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</si>
  <si>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</si>
  <si>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</si>
  <si>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</si>
  <si>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</si>
  <si>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</si>
  <si>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</si>
  <si>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</si>
  <si>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Bola de cristal</t>
  </si>
  <si>
    <t>Nv/CV</t>
  </si>
  <si>
    <t>La fórmula para calcular el incremento de PCs a partir de nv16 es A(N)=(N^2+N)/2, siendo N = TRUNCAR((Nivel_Total-14)/2)</t>
  </si>
  <si>
    <t>Al Límite</t>
  </si>
  <si>
    <t>Prueba</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</si>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</sst>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5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3" borderId="0" xfId="0" applyFont="1" applyFill="1"/>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1" fontId="93" fillId="3" borderId="0" xfId="0" applyNumberFormat="1" applyFont="1" applyFill="1" applyAlignment="1">
      <alignment horizontal="center"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0" fillId="12" borderId="0" xfId="0" applyFont="1" applyFill="1" applyAlignment="1">
      <alignment horizontal="center" vertical="center"/>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62" fillId="7" borderId="0" xfId="0" applyFont="1" applyFill="1" applyAlignment="1">
      <alignment horizontal="center"/>
    </xf>
    <xf numFmtId="0" fontId="10" fillId="7" borderId="0" xfId="0" applyFont="1" applyFill="1" applyAlignment="1">
      <alignment horizontal="left" vertical="center"/>
    </xf>
    <xf numFmtId="0" fontId="10" fillId="7" borderId="0" xfId="0" applyFont="1" applyFill="1" applyAlignment="1">
      <alignment horizontal="left" vertical="center" wrapText="1"/>
    </xf>
    <xf numFmtId="0" fontId="62" fillId="7" borderId="0" xfId="0" applyFont="1" applyFill="1" applyAlignment="1">
      <alignment horizontal="left"/>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left" shrinkToFit="1"/>
    </xf>
    <xf numFmtId="0" fontId="62"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48"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6"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07" fillId="3" borderId="0" xfId="0" applyFont="1" applyFill="1" applyAlignment="1">
      <alignment horizontal="center"/>
    </xf>
    <xf numFmtId="0" fontId="13" fillId="7" borderId="81" xfId="0" applyFont="1" applyFill="1" applyBorder="1" applyAlignment="1">
      <alignment vertical="center" wrapText="1"/>
    </xf>
    <xf numFmtId="0" fontId="13" fillId="7" borderId="27"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36" xfId="0" applyFont="1" applyFill="1" applyBorder="1" applyAlignment="1">
      <alignment horizontal="left"/>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5"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0" fillId="55" borderId="529" xfId="0" applyFill="1" applyBorder="1" applyAlignment="1" applyProtection="1">
      <alignment horizontal="center" wrapText="1"/>
      <protection locked="0"/>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34"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5" xfId="0" applyFont="1" applyFill="1" applyBorder="1"/>
    <xf numFmtId="0" fontId="13" fillId="7" borderId="488" xfId="0" applyFont="1" applyFill="1" applyBorder="1"/>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7"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4"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5" xfId="12" applyFont="1" applyFill="1" applyBorder="1" applyAlignment="1">
      <alignment horizontal="center" vertical="center"/>
    </xf>
    <xf numFmtId="49" fontId="9" fillId="28" borderId="707"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683"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48" xfId="12" applyFont="1" applyFill="1" applyBorder="1" applyAlignment="1" applyProtection="1">
      <alignment horizontal="center"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4"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3"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8"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39"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9" fillId="7" borderId="59" xfId="0" applyFont="1" applyFill="1" applyBorder="1" applyAlignment="1">
      <alignment horizontal="center"/>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0"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4" fillId="3" borderId="0" xfId="0" applyFont="1" applyFill="1" applyAlignment="1">
      <alignment horizontal="center"/>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29" xfId="0" applyFont="1" applyFill="1" applyBorder="1" applyAlignment="1">
      <alignment horizontal="right"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31" borderId="736" xfId="0" applyFont="1" applyFill="1" applyBorder="1" applyAlignment="1">
      <alignment horizontal="center"/>
    </xf>
    <xf numFmtId="0" fontId="9" fillId="31" borderId="138" xfId="0" applyFont="1" applyFill="1" applyBorder="1" applyAlignment="1">
      <alignment horizontal="center"/>
    </xf>
    <xf numFmtId="0" fontId="9" fillId="31" borderId="729"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5" xfId="0" applyFont="1" applyFill="1" applyBorder="1" applyAlignment="1">
      <alignment horizontal="right" vertical="center" wrapText="1"/>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1"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1"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3"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1" xfId="0" applyFont="1" applyFill="1" applyBorder="1" applyAlignment="1" applyProtection="1">
      <alignment horizontal="center" vertic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13" fillId="56" borderId="590"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6" xfId="0" applyFont="1" applyFill="1" applyBorder="1" applyAlignment="1" applyProtection="1">
      <alignment horizontal="center" vertical="center" wrapText="1"/>
      <protection locked="0"/>
    </xf>
    <xf numFmtId="0" fontId="9" fillId="30" borderId="738" xfId="0" applyFont="1" applyFill="1" applyBorder="1" applyAlignment="1">
      <alignment horizontal="center"/>
    </xf>
    <xf numFmtId="0" fontId="9" fillId="30" borderId="102" xfId="0" applyFont="1" applyFill="1" applyBorder="1" applyAlignment="1">
      <alignment horizontal="center"/>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8"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100" xfId="0" applyFont="1" applyFill="1" applyBorder="1" applyAlignment="1">
      <alignment horizontal="center"/>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29" fillId="8" borderId="7"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0" fillId="29" borderId="151" xfId="0" applyFont="1" applyFill="1" applyBorder="1" applyAlignment="1">
      <alignment horizontal="center"/>
    </xf>
    <xf numFmtId="0" fontId="0" fillId="0" borderId="69" xfId="0" applyBorder="1" applyAlignment="1">
      <alignment horizontal="center"/>
    </xf>
    <xf numFmtId="0" fontId="9" fillId="42" borderId="0" xfId="0" quotePrefix="1" applyFont="1" applyFill="1" applyAlignment="1">
      <alignment horizontal="left" vertical="center"/>
    </xf>
    <xf numFmtId="0" fontId="103" fillId="8" borderId="10"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wrapText="1"/>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5" fillId="8" borderId="10"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0" xfId="0" applyFont="1" applyFill="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3" borderId="0" xfId="0" applyFill="1" applyAlignment="1">
      <alignment horizontal="center" vertical="center"/>
    </xf>
    <xf numFmtId="1" fontId="45" fillId="8" borderId="0" xfId="0" applyNumberFormat="1" applyFont="1" applyFill="1" applyAlignment="1">
      <alignment horizontal="left"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0" fillId="12" borderId="67"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19" xfId="0" applyFont="1" applyFill="1" applyBorder="1" applyAlignment="1">
      <alignment horizontal="center"/>
    </xf>
    <xf numFmtId="0" fontId="13" fillId="23" borderId="492" xfId="0" applyFont="1" applyFill="1" applyBorder="1" applyAlignment="1">
      <alignment horizontal="left" vertical="center" wrapText="1"/>
    </xf>
    <xf numFmtId="0" fontId="12" fillId="23" borderId="492"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41" fillId="23" borderId="492" xfId="0" applyFont="1" applyFill="1" applyBorder="1" applyAlignment="1">
      <alignment horizontal="right" vertical="center"/>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ont>
        <b val="0"/>
        <condense val="0"/>
        <extend val="0"/>
        <color indexed="10"/>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tabSelected="1" zoomScaleNormal="100" zoomScaleSheetLayoutView="100" workbookViewId="0">
      <selection activeCell="H60" sqref="H60:K60"/>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55" t="s">
        <v>9024</v>
      </c>
      <c r="AR1" s="1986"/>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847" t="s">
        <v>7317</v>
      </c>
      <c r="AO2" s="2848"/>
      <c r="AP2" s="2849"/>
      <c r="AQ2" s="1986" t="s">
        <v>9909</v>
      </c>
      <c r="AR2" s="2007">
        <v>0</v>
      </c>
    </row>
    <row r="3" spans="1:44" ht="12" customHeight="1" x14ac:dyDescent="0.2">
      <c r="A3" s="10"/>
      <c r="B3" s="918"/>
      <c r="C3" s="2114"/>
      <c r="D3" s="2675"/>
      <c r="E3" s="2675"/>
      <c r="F3" s="2675"/>
      <c r="G3" s="2675"/>
      <c r="H3" s="2675"/>
      <c r="I3" s="2675"/>
      <c r="J3" s="2675"/>
      <c r="K3" s="2675"/>
      <c r="L3" s="2675"/>
      <c r="M3" s="2894" t="str">
        <f>IF(General!$F$22=0,"",General!$F$22)</f>
        <v/>
      </c>
      <c r="N3" s="2894"/>
      <c r="O3" s="2894"/>
      <c r="P3" s="2894"/>
      <c r="Q3" s="2894"/>
      <c r="R3" s="2894"/>
      <c r="S3" s="2894"/>
      <c r="T3" s="2894"/>
      <c r="U3" s="2894"/>
      <c r="V3" s="2894"/>
      <c r="W3" s="2895"/>
      <c r="X3" s="2097"/>
      <c r="Y3" s="2855" t="s">
        <v>9003</v>
      </c>
      <c r="Z3" s="2856"/>
      <c r="AA3" s="2856"/>
      <c r="AB3" s="2856"/>
      <c r="AC3" s="2856"/>
      <c r="AD3" s="2856"/>
      <c r="AE3" s="2856"/>
      <c r="AF3" s="2856"/>
      <c r="AG3" s="2856"/>
      <c r="AH3" s="2856"/>
      <c r="AI3" s="2856"/>
      <c r="AJ3" s="2857"/>
      <c r="AK3" s="2098"/>
      <c r="AL3" s="2096"/>
      <c r="AN3" s="2850"/>
      <c r="AO3" s="2851"/>
      <c r="AP3" s="2852"/>
      <c r="AQ3" s="1986" t="s">
        <v>1410</v>
      </c>
      <c r="AR3" s="1986" t="b">
        <f>COUNTIF(AR4:AR13,TRUE)&gt;0</f>
        <v>0</v>
      </c>
    </row>
    <row r="4" spans="1:44" ht="12" customHeight="1" x14ac:dyDescent="0.2">
      <c r="A4" s="10"/>
      <c r="B4" s="918"/>
      <c r="C4" s="2115"/>
      <c r="D4" s="24"/>
      <c r="E4" s="24"/>
      <c r="F4" s="24"/>
      <c r="G4" s="24"/>
      <c r="H4" s="24"/>
      <c r="I4" s="24"/>
      <c r="J4" s="24"/>
      <c r="K4" s="24"/>
      <c r="L4" s="24"/>
      <c r="M4" s="2896"/>
      <c r="N4" s="2896"/>
      <c r="O4" s="2896"/>
      <c r="P4" s="2896"/>
      <c r="Q4" s="2896"/>
      <c r="R4" s="2896"/>
      <c r="S4" s="2896"/>
      <c r="T4" s="2896"/>
      <c r="U4" s="2896"/>
      <c r="V4" s="2896"/>
      <c r="W4" s="2897"/>
      <c r="X4" s="2097"/>
      <c r="Y4" s="2883" t="s">
        <v>9934</v>
      </c>
      <c r="Z4" s="2884"/>
      <c r="AA4" s="2884"/>
      <c r="AB4" s="2884"/>
      <c r="AC4" s="2884"/>
      <c r="AD4" s="2884"/>
      <c r="AE4" s="2884"/>
      <c r="AF4" s="2884"/>
      <c r="AG4" s="2884"/>
      <c r="AH4" s="2884"/>
      <c r="AI4" s="2884"/>
      <c r="AJ4" s="2885"/>
      <c r="AK4" s="2098"/>
      <c r="AL4" s="2096"/>
      <c r="AN4" s="2667"/>
      <c r="AO4" s="2096"/>
      <c r="AP4" s="2668"/>
      <c r="AQ4" s="1986"/>
      <c r="AR4" s="1986" t="b">
        <f>Principal!G68&lt;&gt;""</f>
        <v>0</v>
      </c>
    </row>
    <row r="5" spans="1:44" ht="12" customHeight="1" x14ac:dyDescent="0.2">
      <c r="A5" s="10"/>
      <c r="B5" s="918"/>
      <c r="C5" s="2115"/>
      <c r="D5" s="24"/>
      <c r="E5" s="24"/>
      <c r="F5" s="24"/>
      <c r="G5" s="24"/>
      <c r="H5" s="24"/>
      <c r="I5" s="24"/>
      <c r="J5" s="24"/>
      <c r="K5" s="24"/>
      <c r="L5" s="24"/>
      <c r="M5" s="2896"/>
      <c r="N5" s="2896"/>
      <c r="O5" s="2896"/>
      <c r="P5" s="2896"/>
      <c r="Q5" s="2896"/>
      <c r="R5" s="2896"/>
      <c r="S5" s="2896"/>
      <c r="T5" s="2896"/>
      <c r="U5" s="2896"/>
      <c r="V5" s="2896"/>
      <c r="W5" s="2897"/>
      <c r="X5" s="2097"/>
      <c r="Y5" s="2886"/>
      <c r="Z5" s="2887"/>
      <c r="AA5" s="2887"/>
      <c r="AB5" s="2887"/>
      <c r="AC5" s="2887"/>
      <c r="AD5" s="2887"/>
      <c r="AE5" s="2887"/>
      <c r="AF5" s="2887"/>
      <c r="AG5" s="2887"/>
      <c r="AH5" s="2887"/>
      <c r="AI5" s="2887"/>
      <c r="AJ5" s="2888"/>
      <c r="AK5" s="2098"/>
      <c r="AL5" s="2096"/>
      <c r="AN5" s="2667"/>
      <c r="AO5" s="2096"/>
      <c r="AP5" s="2668"/>
      <c r="AQ5" s="1986"/>
      <c r="AR5" s="1986" t="b">
        <f>Principal!W74&lt;&gt;""</f>
        <v>0</v>
      </c>
    </row>
    <row r="6" spans="1:44" ht="12" customHeight="1" x14ac:dyDescent="0.2">
      <c r="A6" s="10"/>
      <c r="B6" s="918"/>
      <c r="C6" s="2115"/>
      <c r="D6" s="24"/>
      <c r="E6" s="24"/>
      <c r="F6" s="24"/>
      <c r="G6" s="24"/>
      <c r="H6" s="24"/>
      <c r="I6" s="24"/>
      <c r="J6" s="24"/>
      <c r="K6" s="24"/>
      <c r="L6" s="24"/>
      <c r="M6" s="2896"/>
      <c r="N6" s="2896"/>
      <c r="O6" s="2896"/>
      <c r="P6" s="2896"/>
      <c r="Q6" s="2896"/>
      <c r="R6" s="2896"/>
      <c r="S6" s="2896"/>
      <c r="T6" s="2896"/>
      <c r="U6" s="2896"/>
      <c r="V6" s="2896"/>
      <c r="W6" s="2897"/>
      <c r="X6" s="2097"/>
      <c r="Y6" s="2886"/>
      <c r="Z6" s="2887"/>
      <c r="AA6" s="2887"/>
      <c r="AB6" s="2887"/>
      <c r="AC6" s="2887"/>
      <c r="AD6" s="2887"/>
      <c r="AE6" s="2887"/>
      <c r="AF6" s="2887"/>
      <c r="AG6" s="2887"/>
      <c r="AH6" s="2887"/>
      <c r="AI6" s="2887"/>
      <c r="AJ6" s="2888"/>
      <c r="AK6" s="2098"/>
      <c r="AL6" s="2096"/>
      <c r="AN6" s="2667"/>
      <c r="AO6" s="2096"/>
      <c r="AP6" s="2668"/>
      <c r="AQ6" s="1986"/>
      <c r="AR6" s="1986" t="b">
        <f>PDs!D192&lt;&gt;""</f>
        <v>0</v>
      </c>
    </row>
    <row r="7" spans="1:44" ht="12" customHeight="1" x14ac:dyDescent="0.2">
      <c r="A7" s="10"/>
      <c r="B7" s="918"/>
      <c r="C7" s="2115"/>
      <c r="D7" s="24"/>
      <c r="E7" s="24"/>
      <c r="F7" s="24"/>
      <c r="G7" s="24"/>
      <c r="H7" s="24"/>
      <c r="I7" s="24"/>
      <c r="J7" s="24"/>
      <c r="K7" s="24"/>
      <c r="L7" s="24"/>
      <c r="M7" s="2896"/>
      <c r="N7" s="2896"/>
      <c r="O7" s="2896"/>
      <c r="P7" s="2896"/>
      <c r="Q7" s="2896"/>
      <c r="R7" s="2896"/>
      <c r="S7" s="2896"/>
      <c r="T7" s="2896"/>
      <c r="U7" s="2896"/>
      <c r="V7" s="2896"/>
      <c r="W7" s="2897"/>
      <c r="X7" s="2097"/>
      <c r="Y7" s="2886"/>
      <c r="Z7" s="2887"/>
      <c r="AA7" s="2887"/>
      <c r="AB7" s="2887"/>
      <c r="AC7" s="2887"/>
      <c r="AD7" s="2887"/>
      <c r="AE7" s="2887"/>
      <c r="AF7" s="2887"/>
      <c r="AG7" s="2887"/>
      <c r="AH7" s="2887"/>
      <c r="AI7" s="2887"/>
      <c r="AJ7" s="2888"/>
      <c r="AK7" s="2098"/>
      <c r="AL7" s="2096"/>
      <c r="AN7" s="2667"/>
      <c r="AO7" s="2096"/>
      <c r="AP7" s="2668"/>
      <c r="AQ7" s="1986"/>
      <c r="AR7" s="1986" t="b">
        <f>Combate!C67&lt;&gt;""</f>
        <v>0</v>
      </c>
    </row>
    <row r="8" spans="1:44" ht="15.75" customHeight="1" x14ac:dyDescent="0.2">
      <c r="A8" s="10"/>
      <c r="B8" s="918"/>
      <c r="C8" s="2116"/>
      <c r="D8" s="2676"/>
      <c r="E8" s="2676"/>
      <c r="F8" s="2676"/>
      <c r="G8" s="2676"/>
      <c r="H8" s="2676"/>
      <c r="I8" s="2676"/>
      <c r="J8" s="2676"/>
      <c r="K8" s="2676"/>
      <c r="L8" s="2676"/>
      <c r="M8" s="2898"/>
      <c r="N8" s="2898"/>
      <c r="O8" s="2898"/>
      <c r="P8" s="2898"/>
      <c r="Q8" s="2898"/>
      <c r="R8" s="2898"/>
      <c r="S8" s="2898"/>
      <c r="T8" s="2898"/>
      <c r="U8" s="2898"/>
      <c r="V8" s="2898"/>
      <c r="W8" s="2899"/>
      <c r="X8" s="2097"/>
      <c r="Y8" s="2886"/>
      <c r="Z8" s="2887"/>
      <c r="AA8" s="2887"/>
      <c r="AB8" s="2887"/>
      <c r="AC8" s="2887"/>
      <c r="AD8" s="2887"/>
      <c r="AE8" s="2887"/>
      <c r="AF8" s="2887"/>
      <c r="AG8" s="2887"/>
      <c r="AH8" s="2887"/>
      <c r="AI8" s="2887"/>
      <c r="AJ8" s="2888"/>
      <c r="AK8" s="2098"/>
      <c r="AL8" s="2096"/>
      <c r="AN8" s="2667"/>
      <c r="AO8" s="2096"/>
      <c r="AP8" s="2668"/>
      <c r="AQ8" s="1986"/>
      <c r="AR8" s="1986" t="b">
        <f>Combate!AB67&lt;&gt;""</f>
        <v>0</v>
      </c>
    </row>
    <row r="9" spans="1:44" ht="10.5" customHeight="1" x14ac:dyDescent="0.2">
      <c r="A9" s="10"/>
      <c r="B9" s="918"/>
      <c r="C9" s="2111"/>
      <c r="X9" s="1572"/>
      <c r="Y9" s="2886"/>
      <c r="Z9" s="2887"/>
      <c r="AA9" s="2887"/>
      <c r="AB9" s="2887"/>
      <c r="AC9" s="2887"/>
      <c r="AD9" s="2887"/>
      <c r="AE9" s="2887"/>
      <c r="AF9" s="2887"/>
      <c r="AG9" s="2887"/>
      <c r="AH9" s="2887"/>
      <c r="AI9" s="2887"/>
      <c r="AJ9" s="2888"/>
      <c r="AK9" s="2099"/>
      <c r="AL9" s="24"/>
      <c r="AN9" s="2667"/>
      <c r="AO9" s="2096"/>
      <c r="AP9" s="2668"/>
      <c r="AQ9" s="1986"/>
      <c r="AR9" s="1986" t="b">
        <f>Ki!C67&lt;&gt;""</f>
        <v>0</v>
      </c>
    </row>
    <row r="10" spans="1:44" ht="4.5" customHeight="1" x14ac:dyDescent="0.2">
      <c r="A10" s="10"/>
      <c r="B10" s="918"/>
      <c r="C10" s="2114"/>
      <c r="D10" s="1782"/>
      <c r="E10" s="1782"/>
      <c r="F10" s="2117"/>
      <c r="G10" s="2117"/>
      <c r="H10" s="2118"/>
      <c r="I10" s="2118"/>
      <c r="J10" s="2118"/>
      <c r="K10" s="2118"/>
      <c r="L10" s="2118"/>
      <c r="M10" s="2118"/>
      <c r="N10" s="2118"/>
      <c r="O10" s="2118"/>
      <c r="P10" s="2118"/>
      <c r="Q10" s="2118"/>
      <c r="R10" s="2117"/>
      <c r="S10" s="2117"/>
      <c r="T10" s="1782"/>
      <c r="U10" s="1782"/>
      <c r="V10" s="1782"/>
      <c r="W10" s="1782"/>
      <c r="X10" s="2135"/>
      <c r="Y10" s="2886"/>
      <c r="Z10" s="2887"/>
      <c r="AA10" s="2887"/>
      <c r="AB10" s="2887"/>
      <c r="AC10" s="2887"/>
      <c r="AD10" s="2887"/>
      <c r="AE10" s="2887"/>
      <c r="AF10" s="2887"/>
      <c r="AG10" s="2887"/>
      <c r="AH10" s="2887"/>
      <c r="AI10" s="2887"/>
      <c r="AJ10" s="2888"/>
      <c r="AK10" s="708"/>
      <c r="AL10" s="24"/>
      <c r="AN10" s="2667"/>
      <c r="AO10" s="2096"/>
      <c r="AP10" s="2668"/>
      <c r="AQ10" s="1986"/>
      <c r="AR10" s="1986" t="b">
        <f>Místicos!C64&lt;&gt;""</f>
        <v>0</v>
      </c>
    </row>
    <row r="11" spans="1:44" ht="13.5" customHeight="1" x14ac:dyDescent="0.2">
      <c r="A11" s="10"/>
      <c r="B11" s="919"/>
      <c r="C11" s="2120"/>
      <c r="D11" s="2677" t="s">
        <v>1333</v>
      </c>
      <c r="E11" s="2677"/>
      <c r="F11" s="2859" t="str">
        <f>(PDs!S5+PDs!S7+PDs!S9+PDs!S11+PDs!S13)&amp;IF(Principal!AA27=0,""," + "&amp;Principal!AA27)</f>
        <v>1</v>
      </c>
      <c r="G11" s="2859"/>
      <c r="H11" s="2859"/>
      <c r="I11" s="2859"/>
      <c r="J11" s="2108"/>
      <c r="K11" s="2470" t="s">
        <v>1371</v>
      </c>
      <c r="L11" s="2860" t="str">
        <f>Principal!K7</f>
        <v xml:space="preserve">Entre mundos </v>
      </c>
      <c r="M11" s="2860"/>
      <c r="N11" s="2860"/>
      <c r="O11" s="2860"/>
      <c r="P11" s="2860"/>
      <c r="Q11" s="2860"/>
      <c r="R11" s="2860"/>
      <c r="S11" s="2860"/>
      <c r="T11" s="2860"/>
      <c r="U11" s="2860"/>
      <c r="V11" s="2860"/>
      <c r="W11" s="2892"/>
      <c r="X11" s="2131"/>
      <c r="Y11" s="2886"/>
      <c r="Z11" s="2887"/>
      <c r="AA11" s="2887"/>
      <c r="AB11" s="2887"/>
      <c r="AC11" s="2887"/>
      <c r="AD11" s="2887"/>
      <c r="AE11" s="2887"/>
      <c r="AF11" s="2887"/>
      <c r="AG11" s="2887"/>
      <c r="AH11" s="2887"/>
      <c r="AI11" s="2887"/>
      <c r="AJ11" s="2888"/>
      <c r="AK11" s="708"/>
      <c r="AL11" s="24"/>
      <c r="AN11" s="2667"/>
      <c r="AO11" s="2096"/>
      <c r="AP11" s="2668"/>
      <c r="AQ11" s="1986"/>
      <c r="AR11" s="1986" t="b">
        <f>Sheele!C67&lt;&gt;""</f>
        <v>0</v>
      </c>
    </row>
    <row r="12" spans="1:44" ht="13.5" customHeight="1" x14ac:dyDescent="0.2">
      <c r="A12" s="10"/>
      <c r="B12" s="919"/>
      <c r="C12" s="2120"/>
      <c r="D12" s="2109" t="s">
        <v>9857</v>
      </c>
      <c r="E12" s="2860" t="str">
        <f>"   "&amp;Principal!N11</f>
        <v xml:space="preserve">   75</v>
      </c>
      <c r="F12" s="2860"/>
      <c r="G12" s="2860"/>
      <c r="H12" s="2690"/>
      <c r="I12" s="2383"/>
      <c r="J12" s="2383"/>
      <c r="K12" s="2470" t="s">
        <v>1332</v>
      </c>
      <c r="L12" s="2853" t="str">
        <f>Principal!K5</f>
        <v>Novel</v>
      </c>
      <c r="M12" s="2853"/>
      <c r="N12" s="2853"/>
      <c r="O12" s="2853"/>
      <c r="P12" s="2853"/>
      <c r="Q12" s="2853"/>
      <c r="R12" s="2853"/>
      <c r="S12" s="2853"/>
      <c r="T12" s="2853"/>
      <c r="U12" s="2853"/>
      <c r="V12" s="2853"/>
      <c r="W12" s="2854"/>
      <c r="X12" s="2132"/>
      <c r="Y12" s="2886"/>
      <c r="Z12" s="2887"/>
      <c r="AA12" s="2887"/>
      <c r="AB12" s="2887"/>
      <c r="AC12" s="2887"/>
      <c r="AD12" s="2887"/>
      <c r="AE12" s="2887"/>
      <c r="AF12" s="2887"/>
      <c r="AG12" s="2887"/>
      <c r="AH12" s="2887"/>
      <c r="AI12" s="2887"/>
      <c r="AJ12" s="2888"/>
      <c r="AK12" s="708"/>
      <c r="AL12" s="24"/>
      <c r="AN12" s="2667"/>
      <c r="AO12" s="2096"/>
      <c r="AP12" s="2668"/>
      <c r="AQ12" s="1986"/>
      <c r="AR12" s="1986" t="b">
        <f>Psíquicos!C53&lt;&gt;""</f>
        <v>0</v>
      </c>
    </row>
    <row r="13" spans="1:44" ht="12" customHeight="1" x14ac:dyDescent="0.2">
      <c r="A13" s="10"/>
      <c r="B13" s="919"/>
      <c r="C13" s="2120"/>
      <c r="D13" s="2498" t="s">
        <v>1861</v>
      </c>
      <c r="E13" s="2498"/>
      <c r="F13" s="2835">
        <f>FUE</f>
        <v>5</v>
      </c>
      <c r="G13" s="2835"/>
      <c r="H13" s="2498" t="s">
        <v>1862</v>
      </c>
      <c r="I13" s="2498"/>
      <c r="J13" s="2835">
        <f>DES</f>
        <v>5</v>
      </c>
      <c r="K13" s="2835"/>
      <c r="L13" s="2498" t="s">
        <v>1863</v>
      </c>
      <c r="M13" s="2498"/>
      <c r="N13" s="2835">
        <f>AGI</f>
        <v>10</v>
      </c>
      <c r="O13" s="2835"/>
      <c r="P13" s="2498" t="s">
        <v>1864</v>
      </c>
      <c r="Q13" s="2498"/>
      <c r="R13" s="2835">
        <f>CON</f>
        <v>5</v>
      </c>
      <c r="S13" s="2835"/>
      <c r="T13" s="2106"/>
      <c r="U13" s="2106"/>
      <c r="V13" s="2106"/>
      <c r="W13" s="2121"/>
      <c r="X13" s="2133"/>
      <c r="Y13" s="2886"/>
      <c r="Z13" s="2887"/>
      <c r="AA13" s="2887"/>
      <c r="AB13" s="2887"/>
      <c r="AC13" s="2887"/>
      <c r="AD13" s="2887"/>
      <c r="AE13" s="2887"/>
      <c r="AF13" s="2887"/>
      <c r="AG13" s="2887"/>
      <c r="AH13" s="2887"/>
      <c r="AI13" s="2887"/>
      <c r="AJ13" s="2888"/>
      <c r="AK13" s="708"/>
      <c r="AL13" s="24"/>
      <c r="AN13" s="2667"/>
      <c r="AO13" s="2096"/>
      <c r="AP13" s="2668"/>
      <c r="AQ13" s="1986"/>
      <c r="AR13" s="1986" t="b">
        <f>Personalización!C123&lt;&gt;""</f>
        <v>0</v>
      </c>
    </row>
    <row r="14" spans="1:44" ht="13.5" customHeight="1" x14ac:dyDescent="0.2">
      <c r="A14" s="10"/>
      <c r="B14" s="919"/>
      <c r="C14" s="2120"/>
      <c r="D14" s="2499" t="s">
        <v>1865</v>
      </c>
      <c r="E14" s="2499"/>
      <c r="F14" s="2835">
        <f>POD</f>
        <v>10</v>
      </c>
      <c r="G14" s="2835"/>
      <c r="H14" s="2499" t="s">
        <v>1866</v>
      </c>
      <c r="I14" s="2499"/>
      <c r="J14" s="2835">
        <f>INT</f>
        <v>5</v>
      </c>
      <c r="K14" s="2835"/>
      <c r="L14" s="2499" t="s">
        <v>1867</v>
      </c>
      <c r="M14" s="2499"/>
      <c r="N14" s="2835">
        <f>VOL</f>
        <v>5</v>
      </c>
      <c r="O14" s="2835"/>
      <c r="P14" s="2499" t="s">
        <v>1868</v>
      </c>
      <c r="Q14" s="2499"/>
      <c r="R14" s="2835">
        <f>PER</f>
        <v>5</v>
      </c>
      <c r="S14" s="2835"/>
      <c r="T14" s="2106"/>
      <c r="U14" s="2106"/>
      <c r="V14" s="2106"/>
      <c r="W14" s="2121"/>
      <c r="X14" s="2133"/>
      <c r="Y14" s="2886"/>
      <c r="Z14" s="2887"/>
      <c r="AA14" s="2887"/>
      <c r="AB14" s="2887"/>
      <c r="AC14" s="2887"/>
      <c r="AD14" s="2887"/>
      <c r="AE14" s="2887"/>
      <c r="AF14" s="2887"/>
      <c r="AG14" s="2887"/>
      <c r="AH14" s="2887"/>
      <c r="AI14" s="2887"/>
      <c r="AJ14" s="2888"/>
      <c r="AK14" s="708"/>
      <c r="AL14" s="24"/>
      <c r="AN14" s="2667"/>
      <c r="AO14" s="2096"/>
      <c r="AP14" s="2668"/>
      <c r="AQ14" s="1986"/>
      <c r="AR14" s="1986"/>
    </row>
    <row r="15" spans="1:44" ht="13.5" customHeight="1" x14ac:dyDescent="0.2">
      <c r="A15" s="10"/>
      <c r="B15" s="919"/>
      <c r="C15" s="2120"/>
      <c r="D15" s="2641" t="s">
        <v>1848</v>
      </c>
      <c r="E15" s="2641"/>
      <c r="F15" s="2641"/>
      <c r="G15" s="2641"/>
      <c r="H15" s="2846">
        <f>Presencia_final</f>
        <v>30</v>
      </c>
      <c r="I15" s="2846"/>
      <c r="J15" s="2846"/>
      <c r="K15" s="2846"/>
      <c r="L15" s="2639"/>
      <c r="M15" s="2639"/>
      <c r="N15" s="2638"/>
      <c r="O15" s="2638"/>
      <c r="P15" s="2103"/>
      <c r="Q15" s="2103"/>
      <c r="R15" s="2107"/>
      <c r="S15" s="2107"/>
      <c r="T15" s="2106"/>
      <c r="U15" s="2106"/>
      <c r="V15" s="2106"/>
      <c r="W15" s="2121"/>
      <c r="X15" s="2133"/>
      <c r="Y15" s="2889"/>
      <c r="Z15" s="2890"/>
      <c r="AA15" s="2890"/>
      <c r="AB15" s="2890"/>
      <c r="AC15" s="2890"/>
      <c r="AD15" s="2890"/>
      <c r="AE15" s="2890"/>
      <c r="AF15" s="2890"/>
      <c r="AG15" s="2890"/>
      <c r="AH15" s="2890"/>
      <c r="AI15" s="2890"/>
      <c r="AJ15" s="2891"/>
      <c r="AK15" s="708"/>
      <c r="AL15" s="24"/>
      <c r="AN15" s="2667"/>
      <c r="AO15" s="2096"/>
      <c r="AP15" s="2668"/>
      <c r="AQ15" s="1986"/>
      <c r="AR15" s="1986"/>
    </row>
    <row r="16" spans="1:44" ht="12" customHeight="1" x14ac:dyDescent="0.2">
      <c r="A16" s="10"/>
      <c r="B16" s="919"/>
      <c r="C16" s="2120"/>
      <c r="D16" s="2643" t="s">
        <v>1869</v>
      </c>
      <c r="E16" s="2500"/>
      <c r="F16" s="2835">
        <f>Principal!J58</f>
        <v>30</v>
      </c>
      <c r="G16" s="2835"/>
      <c r="H16" s="2643" t="s">
        <v>1870</v>
      </c>
      <c r="I16" s="2643"/>
      <c r="J16" s="2835">
        <f>Principal!J61</f>
        <v>45</v>
      </c>
      <c r="K16" s="2835"/>
      <c r="L16" s="2643" t="s">
        <v>1871</v>
      </c>
      <c r="M16" s="2643"/>
      <c r="N16" s="2835">
        <f>Principal!J62</f>
        <v>30</v>
      </c>
      <c r="O16" s="2835"/>
      <c r="P16" s="2643" t="s">
        <v>1872</v>
      </c>
      <c r="Q16" s="2643"/>
      <c r="R16" s="2835">
        <f>Principal!J60</f>
        <v>30</v>
      </c>
      <c r="S16" s="2835"/>
      <c r="T16" s="2643" t="s">
        <v>1873</v>
      </c>
      <c r="U16" s="2643"/>
      <c r="V16" s="2843">
        <f>Principal!J59</f>
        <v>30</v>
      </c>
      <c r="W16" s="2858"/>
      <c r="X16" s="2134"/>
      <c r="Y16" s="2101"/>
      <c r="Z16" s="2101"/>
      <c r="AA16" s="1572"/>
      <c r="AB16" s="1572"/>
      <c r="AC16" s="1572"/>
      <c r="AD16" s="1572"/>
      <c r="AE16" s="1572"/>
      <c r="AF16" s="2101"/>
      <c r="AG16" s="2101"/>
      <c r="AH16" s="2101"/>
      <c r="AI16" s="2101"/>
      <c r="AJ16" s="2101"/>
      <c r="AK16" s="708"/>
      <c r="AL16" s="24"/>
      <c r="AN16" s="2667"/>
      <c r="AO16" s="2096"/>
      <c r="AP16" s="2668"/>
      <c r="AQ16" s="1986"/>
      <c r="AR16" s="1986"/>
    </row>
    <row r="17" spans="1:44" ht="2.25" customHeight="1" x14ac:dyDescent="0.2">
      <c r="A17" s="10"/>
      <c r="B17" s="919"/>
      <c r="C17" s="2115"/>
      <c r="D17" s="2112"/>
      <c r="E17" s="2112"/>
      <c r="F17" s="2684"/>
      <c r="G17" s="2684"/>
      <c r="H17" s="2457"/>
      <c r="I17" s="2457"/>
      <c r="J17" s="2110"/>
      <c r="K17" s="2110"/>
      <c r="L17" s="2457"/>
      <c r="M17" s="2457"/>
      <c r="N17" s="2110"/>
      <c r="O17" s="2110"/>
      <c r="P17" s="2457"/>
      <c r="Q17" s="2457"/>
      <c r="R17" s="2110"/>
      <c r="S17" s="2110"/>
      <c r="T17" s="2457"/>
      <c r="U17" s="2457"/>
      <c r="V17" s="2110"/>
      <c r="W17" s="2110"/>
      <c r="X17" s="2681"/>
      <c r="Y17" s="2681"/>
      <c r="Z17" s="2682"/>
      <c r="AA17" s="2682"/>
      <c r="AB17" s="2681"/>
      <c r="AC17" s="2681"/>
      <c r="AD17" s="2682"/>
      <c r="AE17" s="2682"/>
      <c r="AF17" s="2681"/>
      <c r="AG17" s="2681"/>
      <c r="AH17" s="2682"/>
      <c r="AI17" s="2682"/>
      <c r="AJ17" s="2119"/>
      <c r="AK17" s="708"/>
      <c r="AL17" s="24"/>
      <c r="AN17" s="2386"/>
      <c r="AO17" s="1076"/>
      <c r="AP17" s="2686"/>
      <c r="AQ17" s="1986"/>
      <c r="AR17" s="1986"/>
    </row>
    <row r="18" spans="1:44" ht="1.5" customHeight="1" x14ac:dyDescent="0.2">
      <c r="A18" s="10"/>
      <c r="B18" s="919"/>
      <c r="C18" s="2120"/>
      <c r="D18" s="2836" t="s">
        <v>1874</v>
      </c>
      <c r="E18" s="2836"/>
      <c r="F18" s="2836"/>
      <c r="G18" s="2836"/>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2"/>
      <c r="AK18" s="708"/>
      <c r="AL18" s="24"/>
      <c r="AN18" s="2386"/>
      <c r="AO18" s="1076"/>
      <c r="AP18" s="2686"/>
      <c r="AQ18" s="1986"/>
      <c r="AR18" s="1986"/>
    </row>
    <row r="19" spans="1:44" ht="12" customHeight="1" thickBot="1" x14ac:dyDescent="0.25">
      <c r="A19" s="10"/>
      <c r="B19" s="919"/>
      <c r="C19" s="2120"/>
      <c r="D19" s="2836"/>
      <c r="E19" s="2836"/>
      <c r="F19" s="2836"/>
      <c r="G19" s="2836"/>
      <c r="H19" s="2838" t="str">
        <f>Combate!$AV47&amp;Combate!$AW47&amp;Combate!$AX47&amp;Combate!$AY47&amp;Combate!$AZ47&amp;Combate!$BA47&amp;Combate!$BB47&amp;Combate!$BC47&amp;Combate!$BD47&amp;Combate!$BE47&amp;Combate!$BF47&amp;Combate!$BG47&amp;Combate!BH47</f>
        <v>60 Natural, 35 Arpón</v>
      </c>
      <c r="I19" s="2838"/>
      <c r="J19" s="2838"/>
      <c r="K19" s="2838"/>
      <c r="L19" s="2838"/>
      <c r="M19" s="2838"/>
      <c r="N19" s="2838"/>
      <c r="O19" s="2838"/>
      <c r="P19" s="2838"/>
      <c r="Q19" s="2838"/>
      <c r="R19" s="2838"/>
      <c r="S19" s="2838"/>
      <c r="T19" s="2838"/>
      <c r="U19" s="2838"/>
      <c r="V19" s="2838"/>
      <c r="W19" s="2838"/>
      <c r="X19" s="2838"/>
      <c r="Y19" s="2838"/>
      <c r="Z19" s="2838"/>
      <c r="AA19" s="2838"/>
      <c r="AB19" s="2838"/>
      <c r="AC19" s="2838"/>
      <c r="AD19" s="2838"/>
      <c r="AE19" s="2838"/>
      <c r="AF19" s="2838"/>
      <c r="AG19" s="2838"/>
      <c r="AH19" s="2838"/>
      <c r="AI19" s="2838"/>
      <c r="AJ19" s="2122"/>
      <c r="AK19" s="708"/>
      <c r="AL19" s="24"/>
      <c r="AN19" s="2669"/>
      <c r="AO19" s="2670"/>
      <c r="AP19" s="2671"/>
      <c r="AQ19" s="1986"/>
      <c r="AR19" s="1986"/>
    </row>
    <row r="20" spans="1:44" ht="12" customHeight="1" x14ac:dyDescent="0.2">
      <c r="A20" s="10"/>
      <c r="B20" s="919"/>
      <c r="C20" s="2322"/>
      <c r="D20" s="2836"/>
      <c r="E20" s="2836"/>
      <c r="F20" s="2836"/>
      <c r="G20" s="2836"/>
      <c r="H20" s="2838"/>
      <c r="I20" s="2838"/>
      <c r="J20" s="2838"/>
      <c r="K20" s="2838"/>
      <c r="L20" s="2838"/>
      <c r="M20" s="2838"/>
      <c r="N20" s="2838"/>
      <c r="O20" s="2838"/>
      <c r="P20" s="2838"/>
      <c r="Q20" s="2838"/>
      <c r="R20" s="2838"/>
      <c r="S20" s="2838"/>
      <c r="T20" s="2838"/>
      <c r="U20" s="2838"/>
      <c r="V20" s="2838"/>
      <c r="W20" s="2838"/>
      <c r="X20" s="2838"/>
      <c r="Y20" s="2838"/>
      <c r="Z20" s="2838"/>
      <c r="AA20" s="2838"/>
      <c r="AB20" s="2838"/>
      <c r="AC20" s="2838"/>
      <c r="AD20" s="2838"/>
      <c r="AE20" s="2838"/>
      <c r="AF20" s="2838"/>
      <c r="AG20" s="2838"/>
      <c r="AH20" s="2838"/>
      <c r="AI20" s="2838"/>
      <c r="AJ20" s="2122"/>
      <c r="AK20" s="708"/>
      <c r="AL20" s="24"/>
      <c r="AN20" s="2486"/>
      <c r="AO20" s="2485"/>
      <c r="AP20" s="2486"/>
      <c r="AQ20" s="1986"/>
      <c r="AR20" s="1986"/>
    </row>
    <row r="21" spans="1:44" ht="1.5" customHeight="1" thickBot="1" x14ac:dyDescent="0.25">
      <c r="A21" s="10"/>
      <c r="B21" s="919"/>
      <c r="C21" s="2120"/>
      <c r="D21" s="2836" t="s">
        <v>1405</v>
      </c>
      <c r="E21" s="2836"/>
      <c r="F21" s="2836"/>
      <c r="G21" s="2836"/>
      <c r="H21" s="2838"/>
      <c r="I21" s="2838"/>
      <c r="J21" s="2838"/>
      <c r="K21" s="2838"/>
      <c r="L21" s="2838"/>
      <c r="M21" s="2838"/>
      <c r="N21" s="2838"/>
      <c r="O21" s="2838"/>
      <c r="P21" s="2838"/>
      <c r="Q21" s="2838"/>
      <c r="R21" s="2838"/>
      <c r="S21" s="2838"/>
      <c r="T21" s="2838"/>
      <c r="U21" s="2838"/>
      <c r="V21" s="2838"/>
      <c r="W21" s="2838"/>
      <c r="X21" s="2838"/>
      <c r="Y21" s="2838"/>
      <c r="Z21" s="2838"/>
      <c r="AA21" s="2838"/>
      <c r="AB21" s="2838"/>
      <c r="AC21" s="2838"/>
      <c r="AD21" s="2838"/>
      <c r="AE21" s="2838"/>
      <c r="AF21" s="2838"/>
      <c r="AG21" s="2838"/>
      <c r="AH21" s="2838"/>
      <c r="AI21" s="2838"/>
      <c r="AJ21" s="2122"/>
      <c r="AK21" s="708"/>
      <c r="AL21" s="24"/>
      <c r="AQ21" s="1986"/>
      <c r="AR21" s="1986"/>
    </row>
    <row r="22" spans="1:44" ht="12" customHeight="1" x14ac:dyDescent="0.2">
      <c r="A22" s="10"/>
      <c r="B22" s="919"/>
      <c r="C22" s="2120"/>
      <c r="D22" s="2836"/>
      <c r="E22" s="2836"/>
      <c r="F22" s="2836"/>
      <c r="G22" s="2836"/>
      <c r="H22" s="2838" t="str">
        <f>Combate!$AV48&amp;Combate!$AW48&amp;Combate!$AX48&amp;Combate!$AY48&amp;Combate!$AZ48&amp;Combate!$BA48&amp;Combate!$BB48&amp;Combate!$BC48&amp;Combate!$BD48&amp;Combate!$BE48&amp;Combate!$BF48&amp;Combate!$BG48</f>
        <v>-20 Arpón</v>
      </c>
      <c r="I22" s="2838"/>
      <c r="J22" s="2838"/>
      <c r="K22" s="2838"/>
      <c r="L22" s="2838"/>
      <c r="M22" s="2838"/>
      <c r="N22" s="2838"/>
      <c r="O22" s="2838"/>
      <c r="P22" s="2838"/>
      <c r="Q22" s="2838"/>
      <c r="R22" s="2838"/>
      <c r="S22" s="2838"/>
      <c r="T22" s="2838"/>
      <c r="U22" s="2838"/>
      <c r="V22" s="2838"/>
      <c r="W22" s="2838"/>
      <c r="X22" s="2838"/>
      <c r="Y22" s="2838"/>
      <c r="Z22" s="2838"/>
      <c r="AA22" s="2838"/>
      <c r="AB22" s="2838"/>
      <c r="AC22" s="2838"/>
      <c r="AD22" s="2838"/>
      <c r="AE22" s="2838"/>
      <c r="AF22" s="2838"/>
      <c r="AG22" s="2838"/>
      <c r="AH22" s="2838"/>
      <c r="AI22" s="2838"/>
      <c r="AJ22" s="2123"/>
      <c r="AK22" s="708"/>
      <c r="AL22" s="24"/>
      <c r="AN22" s="2847" t="s">
        <v>9907</v>
      </c>
      <c r="AO22" s="2848"/>
      <c r="AP22" s="2849"/>
      <c r="AQ22" s="1986"/>
      <c r="AR22" s="1986"/>
    </row>
    <row r="23" spans="1:44" ht="12" customHeight="1" x14ac:dyDescent="0.2">
      <c r="A23" s="10"/>
      <c r="B23" s="919"/>
      <c r="C23" s="2120"/>
      <c r="D23" s="2836"/>
      <c r="E23" s="2836"/>
      <c r="F23" s="2836"/>
      <c r="G23" s="2836"/>
      <c r="H23" s="2838"/>
      <c r="I23" s="2838"/>
      <c r="J23" s="2838"/>
      <c r="K23" s="2838"/>
      <c r="L23" s="2838"/>
      <c r="M23" s="2838"/>
      <c r="N23" s="2838"/>
      <c r="O23" s="2838"/>
      <c r="P23" s="2838"/>
      <c r="Q23" s="2838"/>
      <c r="R23" s="2838"/>
      <c r="S23" s="2838"/>
      <c r="T23" s="2838"/>
      <c r="U23" s="2838"/>
      <c r="V23" s="2838"/>
      <c r="W23" s="2838"/>
      <c r="X23" s="2838"/>
      <c r="Y23" s="2838"/>
      <c r="Z23" s="2838"/>
      <c r="AA23" s="2838"/>
      <c r="AB23" s="2838"/>
      <c r="AC23" s="2838"/>
      <c r="AD23" s="2838"/>
      <c r="AE23" s="2838"/>
      <c r="AF23" s="2838"/>
      <c r="AG23" s="2838"/>
      <c r="AH23" s="2838"/>
      <c r="AI23" s="2838"/>
      <c r="AJ23" s="2123"/>
      <c r="AK23" s="708"/>
      <c r="AL23" s="24"/>
      <c r="AN23" s="2861"/>
      <c r="AO23" s="2862"/>
      <c r="AP23" s="2863"/>
      <c r="AQ23" s="1986"/>
      <c r="AR23" s="1986"/>
    </row>
    <row r="24" spans="1:44" ht="1.5" customHeight="1" x14ac:dyDescent="0.2">
      <c r="A24" s="10"/>
      <c r="B24" s="919"/>
      <c r="C24" s="2120"/>
      <c r="D24" s="2836" t="s">
        <v>9017</v>
      </c>
      <c r="E24" s="2836"/>
      <c r="F24" s="2836"/>
      <c r="G24" s="2836"/>
      <c r="H24" s="2838"/>
      <c r="I24" s="2838"/>
      <c r="J24" s="2838"/>
      <c r="K24" s="2838"/>
      <c r="L24" s="2838"/>
      <c r="M24" s="2838"/>
      <c r="N24" s="2838"/>
      <c r="O24" s="2838"/>
      <c r="P24" s="2838"/>
      <c r="Q24" s="2838"/>
      <c r="R24" s="2838"/>
      <c r="S24" s="2838"/>
      <c r="T24" s="2838"/>
      <c r="U24" s="2838"/>
      <c r="V24" s="2838"/>
      <c r="W24" s="2838"/>
      <c r="X24" s="2838"/>
      <c r="Y24" s="2838"/>
      <c r="Z24" s="2838"/>
      <c r="AA24" s="2838"/>
      <c r="AB24" s="2838"/>
      <c r="AC24" s="2838"/>
      <c r="AD24" s="2838"/>
      <c r="AE24" s="2838"/>
      <c r="AF24" s="2838"/>
      <c r="AG24" s="2838"/>
      <c r="AH24" s="2838"/>
      <c r="AI24" s="2838"/>
      <c r="AJ24" s="2122"/>
      <c r="AK24" s="708"/>
      <c r="AL24" s="24"/>
      <c r="AN24" s="2850"/>
      <c r="AO24" s="2851"/>
      <c r="AP24" s="2852"/>
      <c r="AQ24" s="1986"/>
      <c r="AR24" s="1986"/>
    </row>
    <row r="25" spans="1:44" ht="12" customHeight="1" x14ac:dyDescent="0.2">
      <c r="A25" s="10"/>
      <c r="B25" s="918"/>
      <c r="C25" s="2115"/>
      <c r="D25" s="2836"/>
      <c r="E25" s="2836"/>
      <c r="F25" s="2836"/>
      <c r="G25" s="2836"/>
      <c r="H25" s="2838" t="str">
        <f>IF(Principal!Y13="Si","Acumulación",Combate!$AV49&amp;Combate!$AW49&amp;Combate!$AX49&amp;Combate!$AY49&amp;Combate!$AZ49&amp;Combate!$BA49&amp;Combate!$BB49&amp;Combate!$BC49&amp;Combate!$BD49&amp;Combate!$BE49&amp;Combate!$BF49&amp;Combate!$BG49)</f>
        <v>15 Arpón (Esq)</v>
      </c>
      <c r="I25" s="2838"/>
      <c r="J25" s="2838"/>
      <c r="K25" s="2838"/>
      <c r="L25" s="2838"/>
      <c r="M25" s="2838"/>
      <c r="N25" s="2838"/>
      <c r="O25" s="2838"/>
      <c r="P25" s="2838"/>
      <c r="Q25" s="2838"/>
      <c r="R25" s="2838"/>
      <c r="S25" s="2838"/>
      <c r="T25" s="2838"/>
      <c r="U25" s="2838"/>
      <c r="V25" s="2838"/>
      <c r="W25" s="2838"/>
      <c r="X25" s="2838"/>
      <c r="Y25" s="2838"/>
      <c r="Z25" s="2838"/>
      <c r="AA25" s="2838"/>
      <c r="AB25" s="2838"/>
      <c r="AC25" s="2838"/>
      <c r="AD25" s="2838"/>
      <c r="AE25" s="2838"/>
      <c r="AF25" s="2838"/>
      <c r="AG25" s="2838"/>
      <c r="AH25" s="2838"/>
      <c r="AI25" s="2838"/>
      <c r="AJ25" s="2123"/>
      <c r="AK25" s="708"/>
      <c r="AL25" s="24"/>
      <c r="AN25" s="2864" t="s">
        <v>1389</v>
      </c>
      <c r="AO25" s="2865"/>
      <c r="AP25" s="2866"/>
      <c r="AQ25" s="1986"/>
      <c r="AR25" s="1986"/>
    </row>
    <row r="26" spans="1:44" ht="12" customHeight="1" thickBot="1" x14ac:dyDescent="0.25">
      <c r="A26" s="10"/>
      <c r="B26" s="918"/>
      <c r="C26" s="2115"/>
      <c r="D26" s="2836"/>
      <c r="E26" s="2836"/>
      <c r="F26" s="2836"/>
      <c r="G26" s="2836"/>
      <c r="H26" s="2838"/>
      <c r="I26" s="2838"/>
      <c r="J26" s="2838"/>
      <c r="K26" s="2838"/>
      <c r="L26" s="2838"/>
      <c r="M26" s="2838"/>
      <c r="N26" s="2838"/>
      <c r="O26" s="2838"/>
      <c r="P26" s="2838"/>
      <c r="Q26" s="2838"/>
      <c r="R26" s="2838"/>
      <c r="S26" s="2838"/>
      <c r="T26" s="2838"/>
      <c r="U26" s="2838"/>
      <c r="V26" s="2838"/>
      <c r="W26" s="2838"/>
      <c r="X26" s="2838"/>
      <c r="Y26" s="2838"/>
      <c r="Z26" s="2838"/>
      <c r="AA26" s="2838"/>
      <c r="AB26" s="2838"/>
      <c r="AC26" s="2838"/>
      <c r="AD26" s="2838"/>
      <c r="AE26" s="2838"/>
      <c r="AF26" s="2838"/>
      <c r="AG26" s="2838"/>
      <c r="AH26" s="2838"/>
      <c r="AI26" s="2838"/>
      <c r="AJ26" s="2123"/>
      <c r="AK26" s="708"/>
      <c r="AL26" s="24"/>
      <c r="AN26" s="2867"/>
      <c r="AO26" s="2868"/>
      <c r="AP26" s="2869"/>
      <c r="AQ26" s="1986"/>
      <c r="AR26" s="1986"/>
    </row>
    <row r="27" spans="1:44" ht="1.5" customHeight="1" x14ac:dyDescent="0.2">
      <c r="A27" s="10"/>
      <c r="B27" s="919"/>
      <c r="C27" s="2120"/>
      <c r="D27" s="2836" t="s">
        <v>1875</v>
      </c>
      <c r="E27" s="2836"/>
      <c r="F27" s="2836"/>
      <c r="G27" s="2836"/>
      <c r="H27" s="2838"/>
      <c r="I27" s="2838"/>
      <c r="J27" s="2838"/>
      <c r="K27" s="2838"/>
      <c r="L27" s="2838"/>
      <c r="M27" s="2838"/>
      <c r="N27" s="2838"/>
      <c r="O27" s="2838"/>
      <c r="P27" s="2838"/>
      <c r="Q27" s="2838"/>
      <c r="R27" s="2838"/>
      <c r="S27" s="2838"/>
      <c r="T27" s="2838"/>
      <c r="U27" s="2838"/>
      <c r="V27" s="2838"/>
      <c r="W27" s="2838"/>
      <c r="X27" s="2838"/>
      <c r="Y27" s="2838"/>
      <c r="Z27" s="2838"/>
      <c r="AA27" s="2838"/>
      <c r="AB27" s="2838"/>
      <c r="AC27" s="2838"/>
      <c r="AD27" s="2838"/>
      <c r="AE27" s="2838"/>
      <c r="AF27" s="2838"/>
      <c r="AG27" s="2838"/>
      <c r="AH27" s="2838"/>
      <c r="AI27" s="2838"/>
      <c r="AJ27" s="2122"/>
      <c r="AK27" s="708"/>
      <c r="AL27" s="24"/>
      <c r="AQ27" s="1986"/>
      <c r="AR27" s="1986"/>
    </row>
    <row r="28" spans="1:44" ht="12" customHeight="1" x14ac:dyDescent="0.2">
      <c r="A28" s="10"/>
      <c r="B28" s="918"/>
      <c r="C28" s="2115"/>
      <c r="D28" s="2836"/>
      <c r="E28" s="2836"/>
      <c r="F28" s="2836"/>
      <c r="G28" s="2836"/>
      <c r="H28" s="2838" t="str">
        <f>Combate!$AV50&amp;Combate!$AW50&amp;Combate!$AX50&amp;Combate!$AY50&amp;Combate!$AZ50&amp;Combate!$BA50&amp;Combate!$BB50&amp;Combate!$BC50&amp;Combate!$BD50&amp;Combate!$BE50&amp;Combate!$BF50&amp;Combate!$BG50&amp;Combate!BH50</f>
        <v>35 Arpón (PEN)</v>
      </c>
      <c r="I28" s="2838"/>
      <c r="J28" s="2838"/>
      <c r="K28" s="2838"/>
      <c r="L28" s="2838"/>
      <c r="M28" s="2838"/>
      <c r="N28" s="2838"/>
      <c r="O28" s="2838"/>
      <c r="P28" s="2838"/>
      <c r="Q28" s="2838"/>
      <c r="R28" s="2838"/>
      <c r="S28" s="2838"/>
      <c r="T28" s="2838"/>
      <c r="U28" s="2838"/>
      <c r="V28" s="2838"/>
      <c r="W28" s="2838"/>
      <c r="X28" s="2838"/>
      <c r="Y28" s="2838"/>
      <c r="Z28" s="2838"/>
      <c r="AA28" s="2838"/>
      <c r="AB28" s="2838"/>
      <c r="AC28" s="2838"/>
      <c r="AD28" s="2838"/>
      <c r="AE28" s="2838"/>
      <c r="AF28" s="2838"/>
      <c r="AG28" s="2838"/>
      <c r="AH28" s="2838"/>
      <c r="AI28" s="2838"/>
      <c r="AJ28" s="2122"/>
      <c r="AK28" s="708"/>
      <c r="AL28" s="24"/>
      <c r="AQ28" s="1986"/>
      <c r="AR28" s="1986"/>
    </row>
    <row r="29" spans="1:44" ht="12" customHeight="1" x14ac:dyDescent="0.2">
      <c r="A29" s="10"/>
      <c r="B29" s="918"/>
      <c r="C29" s="2321"/>
      <c r="D29" s="2836"/>
      <c r="E29" s="2836"/>
      <c r="F29" s="2836"/>
      <c r="G29" s="2836"/>
      <c r="H29" s="2838"/>
      <c r="I29" s="2838"/>
      <c r="J29" s="2838"/>
      <c r="K29" s="2838"/>
      <c r="L29" s="2838"/>
      <c r="M29" s="2838"/>
      <c r="N29" s="2838"/>
      <c r="O29" s="2838"/>
      <c r="P29" s="2838"/>
      <c r="Q29" s="2838"/>
      <c r="R29" s="2838"/>
      <c r="S29" s="2838"/>
      <c r="T29" s="2838"/>
      <c r="U29" s="2838"/>
      <c r="V29" s="2838"/>
      <c r="W29" s="2838"/>
      <c r="X29" s="2838"/>
      <c r="Y29" s="2838"/>
      <c r="Z29" s="2838"/>
      <c r="AA29" s="2838"/>
      <c r="AB29" s="2838"/>
      <c r="AC29" s="2838"/>
      <c r="AD29" s="2838"/>
      <c r="AE29" s="2838"/>
      <c r="AF29" s="2838"/>
      <c r="AG29" s="2838"/>
      <c r="AH29" s="2838"/>
      <c r="AI29" s="2838"/>
      <c r="AJ29" s="2122"/>
      <c r="AK29" s="708"/>
      <c r="AL29" s="24"/>
      <c r="AQ29" s="1986"/>
      <c r="AR29" s="1986"/>
    </row>
    <row r="30" spans="1:44" ht="1.5" customHeight="1" x14ac:dyDescent="0.2">
      <c r="A30" s="10"/>
      <c r="B30" s="919"/>
      <c r="C30" s="2120"/>
      <c r="D30" s="2108"/>
      <c r="E30" s="2108"/>
      <c r="F30" s="2108"/>
      <c r="G30" s="1076"/>
      <c r="H30" s="2838"/>
      <c r="I30" s="2838"/>
      <c r="J30" s="2838"/>
      <c r="K30" s="2838"/>
      <c r="L30" s="2838"/>
      <c r="M30" s="2838"/>
      <c r="N30" s="2838"/>
      <c r="O30" s="2838"/>
      <c r="P30" s="2838"/>
      <c r="Q30" s="2838"/>
      <c r="R30" s="2838"/>
      <c r="S30" s="2838"/>
      <c r="T30" s="2838"/>
      <c r="U30" s="2838"/>
      <c r="V30" s="2838"/>
      <c r="W30" s="2838"/>
      <c r="X30" s="2838"/>
      <c r="Y30" s="2838"/>
      <c r="Z30" s="2838"/>
      <c r="AA30" s="2838"/>
      <c r="AB30" s="2838"/>
      <c r="AC30" s="2838"/>
      <c r="AD30" s="2838"/>
      <c r="AE30" s="2838"/>
      <c r="AF30" s="2838"/>
      <c r="AG30" s="2838"/>
      <c r="AH30" s="2838"/>
      <c r="AI30" s="2838"/>
      <c r="AJ30" s="2122"/>
      <c r="AK30" s="708"/>
      <c r="AL30" s="24"/>
      <c r="AQ30" s="1986"/>
      <c r="AR30" s="1986"/>
    </row>
    <row r="31" spans="1:44" ht="12" customHeight="1" x14ac:dyDescent="0.2">
      <c r="A31" s="10"/>
      <c r="B31" s="918"/>
      <c r="C31" s="2115"/>
      <c r="D31" s="2108"/>
      <c r="E31" s="2108"/>
      <c r="F31" s="2108"/>
      <c r="G31" s="2640" t="s">
        <v>1876</v>
      </c>
      <c r="H31" s="825" t="str">
        <f>IF(Combate!C12=0,"",Combate!C12)&amp;IF(OR(Combate!C12=0,Combate!C13=0),""," + ")&amp;IF(Combate!C13=0,"",Combate!C13)&amp;IF(OR(AND(Combate!C12=0,Combate!C13=0),Combate!C14=0),""," + ")&amp;IF(Combate!C14=0,"",Combate!C14)&amp;IF(Combate!H18="",""," + "&amp;Combate!H18)&amp;IF(Combate!C15="",""," (Yelmo: "&amp;Combate!C15&amp;")")</f>
        <v/>
      </c>
      <c r="I31" s="2672"/>
      <c r="J31" s="2672"/>
      <c r="K31" s="2672"/>
      <c r="L31" s="2672"/>
      <c r="M31" s="2672"/>
      <c r="N31" s="2672"/>
      <c r="O31" s="2672"/>
      <c r="P31" s="2672"/>
      <c r="Q31" s="2672"/>
      <c r="R31" s="2672"/>
      <c r="S31" s="2672"/>
      <c r="T31" s="2672"/>
      <c r="U31" s="2672"/>
      <c r="V31" s="2672"/>
      <c r="W31" s="2672"/>
      <c r="X31" s="2672"/>
      <c r="Y31" s="2672"/>
      <c r="Z31" s="2672"/>
      <c r="AA31" s="2672"/>
      <c r="AB31" s="2672"/>
      <c r="AC31" s="2672"/>
      <c r="AD31" s="2672"/>
      <c r="AE31" s="2672"/>
      <c r="AF31" s="2672"/>
      <c r="AG31" s="2672"/>
      <c r="AH31" s="2672"/>
      <c r="AI31" s="2672"/>
      <c r="AJ31" s="2122"/>
      <c r="AK31" s="708"/>
      <c r="AL31" s="24"/>
      <c r="AQ31" s="1986"/>
      <c r="AR31" s="1986"/>
    </row>
    <row r="32" spans="1:44" ht="12" customHeight="1" x14ac:dyDescent="0.2">
      <c r="A32" s="10"/>
      <c r="B32" s="918"/>
      <c r="C32" s="2115"/>
      <c r="D32" s="1076"/>
      <c r="E32" s="1076"/>
      <c r="F32" s="1076"/>
      <c r="G32" s="2683" t="s">
        <v>1877</v>
      </c>
      <c r="H32" s="2893" t="str">
        <f>Combate!I16&amp;IF(Combate!$C$15="",""," ("&amp;Combate!I15&amp;")")</f>
        <v>0</v>
      </c>
      <c r="I32" s="2893"/>
      <c r="J32" s="2105"/>
      <c r="K32" s="2683" t="s">
        <v>1878</v>
      </c>
      <c r="L32" s="2893" t="str">
        <f>Combate!J16&amp;IF(Combate!$C$15="",""," ("&amp;Combate!J15&amp;")")</f>
        <v>0</v>
      </c>
      <c r="M32" s="2893"/>
      <c r="N32" s="2105"/>
      <c r="O32" s="2683" t="s">
        <v>1879</v>
      </c>
      <c r="P32" s="2893" t="str">
        <f>Combate!K16&amp;IF(Combate!$C$15="",""," ("&amp;Combate!K15&amp;")")</f>
        <v>0</v>
      </c>
      <c r="Q32" s="2893"/>
      <c r="R32" s="2105"/>
      <c r="S32" s="2683" t="s">
        <v>1880</v>
      </c>
      <c r="T32" s="2893" t="str">
        <f>Combate!L16&amp;IF(Combate!$C$15="",""," ("&amp;Combate!L15&amp;")")</f>
        <v>0</v>
      </c>
      <c r="U32" s="2893"/>
      <c r="V32" s="2105"/>
      <c r="W32" s="2683" t="s">
        <v>1881</v>
      </c>
      <c r="X32" s="2893" t="str">
        <f>Combate!M16&amp;IF(Combate!$C$15="",""," ("&amp;Combate!M15&amp;")")</f>
        <v>0</v>
      </c>
      <c r="Y32" s="2893"/>
      <c r="Z32" s="2105"/>
      <c r="AA32" s="2683" t="s">
        <v>1882</v>
      </c>
      <c r="AB32" s="2893" t="str">
        <f>Combate!N16&amp;IF(Combate!$C$15="",""," ("&amp;Combate!N15&amp;")")</f>
        <v>0</v>
      </c>
      <c r="AC32" s="2893"/>
      <c r="AD32" s="2105"/>
      <c r="AE32" s="2683" t="s">
        <v>1883</v>
      </c>
      <c r="AF32" s="2893" t="str">
        <f>Combate!O16&amp;IF(Combate!$C$15="",""," ("&amp;Combate!O15&amp;")")</f>
        <v>0</v>
      </c>
      <c r="AG32" s="2893"/>
      <c r="AH32" s="2106"/>
      <c r="AI32" s="2105"/>
      <c r="AJ32" s="2122"/>
      <c r="AK32" s="708"/>
      <c r="AL32" s="24"/>
      <c r="AQ32" s="1986"/>
      <c r="AR32" s="1986"/>
    </row>
    <row r="33" spans="1:44" ht="2.25" customHeight="1" x14ac:dyDescent="0.2">
      <c r="A33" s="10"/>
      <c r="B33" s="919"/>
      <c r="C33" s="2115"/>
      <c r="D33" s="2112"/>
      <c r="E33" s="2112"/>
      <c r="F33" s="2684"/>
      <c r="G33" s="2684"/>
      <c r="H33" s="2457"/>
      <c r="I33" s="2457"/>
      <c r="J33" s="2110"/>
      <c r="K33" s="2110"/>
      <c r="L33" s="2457"/>
      <c r="M33" s="2457"/>
      <c r="N33" s="2110"/>
      <c r="O33" s="2110"/>
      <c r="P33" s="2457"/>
      <c r="Q33" s="2457"/>
      <c r="R33" s="2110"/>
      <c r="S33" s="2110"/>
      <c r="T33" s="2457"/>
      <c r="U33" s="2457"/>
      <c r="V33" s="2110"/>
      <c r="W33" s="2110"/>
      <c r="X33" s="2110"/>
      <c r="Y33" s="2110"/>
      <c r="Z33" s="2110"/>
      <c r="AA33" s="2110"/>
      <c r="AB33" s="2110"/>
      <c r="AC33" s="2110"/>
      <c r="AD33" s="2110"/>
      <c r="AE33" s="2110"/>
      <c r="AF33" s="2110"/>
      <c r="AG33" s="2110"/>
      <c r="AH33" s="2110"/>
      <c r="AI33" s="2110"/>
      <c r="AJ33" s="2122"/>
      <c r="AK33" s="708"/>
      <c r="AL33" s="24"/>
      <c r="AQ33" s="1986"/>
      <c r="AR33" s="1986"/>
    </row>
    <row r="34" spans="1:44" ht="1.5" customHeight="1" x14ac:dyDescent="0.2">
      <c r="A34" s="10"/>
      <c r="B34" s="919"/>
      <c r="C34" s="2120"/>
      <c r="D34" s="2108"/>
      <c r="E34" s="2108"/>
      <c r="F34" s="2108"/>
      <c r="G34" s="2108"/>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2"/>
      <c r="AK34" s="708"/>
      <c r="AL34" s="24"/>
      <c r="AQ34" s="1986"/>
      <c r="AR34" s="1986"/>
    </row>
    <row r="35" spans="1:44" ht="12" customHeight="1" x14ac:dyDescent="0.2">
      <c r="A35" s="10"/>
      <c r="B35" s="542"/>
      <c r="C35" s="2126"/>
      <c r="D35" s="2842" t="s">
        <v>1884</v>
      </c>
      <c r="E35" s="2842"/>
      <c r="F35" s="2842"/>
      <c r="G35" s="2842"/>
      <c r="H35" s="2108"/>
      <c r="I35" s="2835" t="str">
        <f>"("&amp;Ki!F24&amp;")"</f>
        <v>(40)</v>
      </c>
      <c r="J35" s="2835"/>
      <c r="K35" s="2105" t="s">
        <v>1861</v>
      </c>
      <c r="L35" s="2105"/>
      <c r="M35" s="2835" t="str">
        <f>Ki!F18</f>
        <v>-</v>
      </c>
      <c r="N35" s="2835"/>
      <c r="O35" s="2105" t="s">
        <v>1862</v>
      </c>
      <c r="P35" s="2105"/>
      <c r="Q35" s="2835" t="str">
        <f>Ki!F16</f>
        <v>-</v>
      </c>
      <c r="R35" s="2835"/>
      <c r="S35" s="2105" t="s">
        <v>1863</v>
      </c>
      <c r="T35" s="2105"/>
      <c r="U35" s="2835" t="str">
        <f>Ki!F12</f>
        <v>-</v>
      </c>
      <c r="V35" s="2835"/>
      <c r="W35" s="2105" t="s">
        <v>1864</v>
      </c>
      <c r="X35" s="2105"/>
      <c r="Y35" s="2835" t="str">
        <f>Ki!F14</f>
        <v>-</v>
      </c>
      <c r="Z35" s="2835"/>
      <c r="AA35" s="2105" t="s">
        <v>1865</v>
      </c>
      <c r="AB35" s="2105"/>
      <c r="AC35" s="2835" t="str">
        <f>Ki!F20</f>
        <v>-</v>
      </c>
      <c r="AD35" s="2835"/>
      <c r="AE35" s="2105" t="s">
        <v>1867</v>
      </c>
      <c r="AF35" s="2105"/>
      <c r="AG35" s="2835" t="str">
        <f>Ki!F22</f>
        <v>-</v>
      </c>
      <c r="AH35" s="2835"/>
      <c r="AI35" s="2106"/>
      <c r="AJ35" s="2124"/>
      <c r="AK35" s="708"/>
      <c r="AL35" s="24"/>
      <c r="AQ35" s="1986"/>
      <c r="AR35" s="1986"/>
    </row>
    <row r="36" spans="1:44" ht="1.5" customHeight="1" x14ac:dyDescent="0.2">
      <c r="A36" s="10"/>
      <c r="B36" s="919"/>
      <c r="C36" s="2120"/>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2"/>
      <c r="AK36" s="708"/>
      <c r="AL36" s="24"/>
      <c r="AQ36" s="1986"/>
      <c r="AR36" s="1986"/>
    </row>
    <row r="37" spans="1:44" ht="12" customHeight="1" x14ac:dyDescent="0.2">
      <c r="A37" s="10"/>
      <c r="B37" s="2674"/>
      <c r="C37" s="2127"/>
      <c r="D37" s="2842" t="s">
        <v>1885</v>
      </c>
      <c r="E37" s="2842"/>
      <c r="F37" s="2842"/>
      <c r="G37" s="2842"/>
      <c r="H37" s="2842"/>
      <c r="I37" s="2842"/>
      <c r="J37" s="2842"/>
      <c r="K37" s="2105" t="s">
        <v>1861</v>
      </c>
      <c r="L37" s="2105"/>
      <c r="M37" s="2835">
        <f>Ki!D18</f>
        <v>1</v>
      </c>
      <c r="N37" s="2835"/>
      <c r="O37" s="2105" t="s">
        <v>1862</v>
      </c>
      <c r="P37" s="2105"/>
      <c r="Q37" s="2835">
        <f>Ki!D16</f>
        <v>1</v>
      </c>
      <c r="R37" s="2835"/>
      <c r="S37" s="2105" t="s">
        <v>1863</v>
      </c>
      <c r="T37" s="2105"/>
      <c r="U37" s="2835">
        <f>Ki!D12</f>
        <v>2</v>
      </c>
      <c r="V37" s="2835"/>
      <c r="W37" s="2105" t="s">
        <v>1864</v>
      </c>
      <c r="X37" s="2105"/>
      <c r="Y37" s="2835">
        <f>Ki!D14</f>
        <v>1</v>
      </c>
      <c r="Z37" s="2835"/>
      <c r="AA37" s="2105" t="s">
        <v>1865</v>
      </c>
      <c r="AB37" s="2105"/>
      <c r="AC37" s="2835">
        <f>Ki!D20</f>
        <v>2</v>
      </c>
      <c r="AD37" s="2835"/>
      <c r="AE37" s="2105" t="s">
        <v>1867</v>
      </c>
      <c r="AF37" s="2105"/>
      <c r="AG37" s="2835">
        <f>Ki!D22</f>
        <v>1</v>
      </c>
      <c r="AH37" s="2835"/>
      <c r="AI37" s="2106"/>
      <c r="AJ37" s="2124"/>
      <c r="AK37" s="708"/>
      <c r="AL37" s="24"/>
      <c r="AQ37" s="1986"/>
      <c r="AR37" s="1986"/>
    </row>
    <row r="38" spans="1:44" ht="1.5" customHeight="1" x14ac:dyDescent="0.2">
      <c r="A38" s="10"/>
      <c r="B38" s="919"/>
      <c r="C38" s="2120"/>
      <c r="D38" s="2842" t="s">
        <v>1886</v>
      </c>
      <c r="E38" s="2842"/>
      <c r="F38" s="2842"/>
      <c r="G38" s="2842"/>
      <c r="H38" s="2842"/>
      <c r="I38" s="2842"/>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2"/>
      <c r="AK38" s="708"/>
      <c r="AL38" s="24"/>
      <c r="AQ38" s="1986"/>
      <c r="AR38" s="1986"/>
    </row>
    <row r="39" spans="1:44" ht="12" customHeight="1" x14ac:dyDescent="0.2">
      <c r="A39" s="10"/>
      <c r="B39" s="2674"/>
      <c r="C39" s="2127"/>
      <c r="D39" s="2842"/>
      <c r="E39" s="2842"/>
      <c r="F39" s="2842"/>
      <c r="G39" s="2842"/>
      <c r="H39" s="2842"/>
      <c r="I39" s="2842"/>
      <c r="J39" s="2838" t="str">
        <f>IFERROR(RIGHT(AQ39,LEN(AQ39)-2),"")</f>
        <v/>
      </c>
      <c r="K39" s="2838"/>
      <c r="L39" s="2838"/>
      <c r="M39" s="2838"/>
      <c r="N39" s="2838"/>
      <c r="O39" s="2838"/>
      <c r="P39" s="2838"/>
      <c r="Q39" s="2838"/>
      <c r="R39" s="2838"/>
      <c r="S39" s="2838"/>
      <c r="T39" s="2838"/>
      <c r="U39" s="2838"/>
      <c r="V39" s="2838"/>
      <c r="W39" s="2838"/>
      <c r="X39" s="2838"/>
      <c r="Y39" s="2838"/>
      <c r="Z39" s="2838"/>
      <c r="AA39" s="2838"/>
      <c r="AB39" s="2838"/>
      <c r="AC39" s="2838"/>
      <c r="AD39" s="2838"/>
      <c r="AE39" s="2838"/>
      <c r="AF39" s="2838"/>
      <c r="AG39" s="2838"/>
      <c r="AH39" s="2838"/>
      <c r="AI39" s="2838"/>
      <c r="AJ39" s="2128"/>
      <c r="AK39" s="708"/>
      <c r="AL39" s="24"/>
      <c r="AQ39" s="200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1986"/>
    </row>
    <row r="40" spans="1:44" ht="12" customHeight="1" x14ac:dyDescent="0.2">
      <c r="A40" s="10"/>
      <c r="B40" s="2674"/>
      <c r="C40" s="2127"/>
      <c r="D40" s="2105"/>
      <c r="E40" s="2105"/>
      <c r="F40" s="2105"/>
      <c r="G40" s="2105"/>
      <c r="H40" s="2105"/>
      <c r="I40" s="2105"/>
      <c r="J40" s="2838"/>
      <c r="K40" s="2838"/>
      <c r="L40" s="2838"/>
      <c r="M40" s="2838"/>
      <c r="N40" s="2838"/>
      <c r="O40" s="2838"/>
      <c r="P40" s="2838"/>
      <c r="Q40" s="2838"/>
      <c r="R40" s="2838"/>
      <c r="S40" s="2838"/>
      <c r="T40" s="2838"/>
      <c r="U40" s="2838"/>
      <c r="V40" s="2838"/>
      <c r="W40" s="2838"/>
      <c r="X40" s="2838"/>
      <c r="Y40" s="2838"/>
      <c r="Z40" s="2838"/>
      <c r="AA40" s="2838"/>
      <c r="AB40" s="2838"/>
      <c r="AC40" s="2838"/>
      <c r="AD40" s="2838"/>
      <c r="AE40" s="2838"/>
      <c r="AF40" s="2838"/>
      <c r="AG40" s="2838"/>
      <c r="AH40" s="2838"/>
      <c r="AI40" s="2838"/>
      <c r="AJ40" s="2128"/>
      <c r="AK40" s="708"/>
      <c r="AL40" s="25"/>
      <c r="AQ40" s="1986"/>
      <c r="AR40" s="1986"/>
    </row>
    <row r="41" spans="1:44" ht="12" customHeight="1" x14ac:dyDescent="0.2">
      <c r="A41" s="10"/>
      <c r="B41" s="2674"/>
      <c r="C41" s="2127"/>
      <c r="D41" s="2105"/>
      <c r="E41" s="2105"/>
      <c r="F41" s="2105"/>
      <c r="G41" s="2105"/>
      <c r="H41" s="2105"/>
      <c r="I41" s="2105"/>
      <c r="J41" s="2838"/>
      <c r="K41" s="2838"/>
      <c r="L41" s="2838"/>
      <c r="M41" s="2838"/>
      <c r="N41" s="2838"/>
      <c r="O41" s="2838"/>
      <c r="P41" s="2838"/>
      <c r="Q41" s="2838"/>
      <c r="R41" s="2838"/>
      <c r="S41" s="2838"/>
      <c r="T41" s="2838"/>
      <c r="U41" s="2838"/>
      <c r="V41" s="2838"/>
      <c r="W41" s="2838"/>
      <c r="X41" s="2838"/>
      <c r="Y41" s="2838"/>
      <c r="Z41" s="2838"/>
      <c r="AA41" s="2838"/>
      <c r="AB41" s="2838"/>
      <c r="AC41" s="2838"/>
      <c r="AD41" s="2838"/>
      <c r="AE41" s="2838"/>
      <c r="AF41" s="2838"/>
      <c r="AG41" s="2838"/>
      <c r="AH41" s="2838"/>
      <c r="AI41" s="2838"/>
      <c r="AJ41" s="2128"/>
      <c r="AK41" s="708"/>
      <c r="AL41" s="25"/>
      <c r="AQ41" s="1986"/>
      <c r="AR41" s="1986"/>
    </row>
    <row r="42" spans="1:44" ht="1.5" customHeight="1" x14ac:dyDescent="0.2">
      <c r="A42" s="10"/>
      <c r="B42" s="919"/>
      <c r="C42" s="2120"/>
      <c r="D42" s="2842" t="s">
        <v>1887</v>
      </c>
      <c r="E42" s="2842"/>
      <c r="F42" s="2842"/>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2"/>
      <c r="AK42" s="708"/>
      <c r="AL42" s="24"/>
      <c r="AQ42" s="1986"/>
      <c r="AR42" s="1986"/>
    </row>
    <row r="43" spans="1:44" ht="12" customHeight="1" x14ac:dyDescent="0.2">
      <c r="A43" s="10"/>
      <c r="B43" s="2674"/>
      <c r="C43" s="2127"/>
      <c r="D43" s="2842"/>
      <c r="E43" s="2842"/>
      <c r="F43" s="2842"/>
      <c r="G43" s="2838" t="str">
        <f>Ki!AN26</f>
        <v/>
      </c>
      <c r="H43" s="2838"/>
      <c r="I43" s="2838"/>
      <c r="J43" s="2838"/>
      <c r="K43" s="2838"/>
      <c r="L43" s="2838"/>
      <c r="M43" s="2838"/>
      <c r="N43" s="2838"/>
      <c r="O43" s="2838"/>
      <c r="P43" s="2838"/>
      <c r="Q43" s="2838"/>
      <c r="R43" s="2838"/>
      <c r="S43" s="2838"/>
      <c r="T43" s="2838"/>
      <c r="U43" s="2838"/>
      <c r="V43" s="2838"/>
      <c r="W43" s="2838"/>
      <c r="X43" s="2838"/>
      <c r="Y43" s="2838"/>
      <c r="Z43" s="2838"/>
      <c r="AA43" s="2838"/>
      <c r="AB43" s="2838"/>
      <c r="AC43" s="2838"/>
      <c r="AD43" s="2838"/>
      <c r="AE43" s="2838"/>
      <c r="AF43" s="2838"/>
      <c r="AG43" s="2838"/>
      <c r="AH43" s="2838"/>
      <c r="AI43" s="2838"/>
      <c r="AJ43" s="2128"/>
      <c r="AK43" s="708"/>
      <c r="AL43" s="25"/>
      <c r="AQ43" s="1986"/>
      <c r="AR43" s="1986"/>
    </row>
    <row r="44" spans="1:44" ht="12" customHeight="1" x14ac:dyDescent="0.2">
      <c r="A44" s="10"/>
      <c r="B44" s="2674"/>
      <c r="C44" s="2127"/>
      <c r="D44" s="2105"/>
      <c r="E44" s="2105"/>
      <c r="F44" s="2105"/>
      <c r="G44" s="2838"/>
      <c r="H44" s="2838"/>
      <c r="I44" s="2838"/>
      <c r="J44" s="2838"/>
      <c r="K44" s="2838"/>
      <c r="L44" s="2838"/>
      <c r="M44" s="2838"/>
      <c r="N44" s="2838"/>
      <c r="O44" s="2838"/>
      <c r="P44" s="2838"/>
      <c r="Q44" s="2838"/>
      <c r="R44" s="2838"/>
      <c r="S44" s="2838"/>
      <c r="T44" s="2838"/>
      <c r="U44" s="2838"/>
      <c r="V44" s="2838"/>
      <c r="W44" s="2838"/>
      <c r="X44" s="2838"/>
      <c r="Y44" s="2838"/>
      <c r="Z44" s="2838"/>
      <c r="AA44" s="2838"/>
      <c r="AB44" s="2838"/>
      <c r="AC44" s="2838"/>
      <c r="AD44" s="2838"/>
      <c r="AE44" s="2838"/>
      <c r="AF44" s="2838"/>
      <c r="AG44" s="2838"/>
      <c r="AH44" s="2838"/>
      <c r="AI44" s="2838"/>
      <c r="AJ44" s="2128"/>
      <c r="AK44" s="708"/>
      <c r="AL44" s="25"/>
      <c r="AQ44" s="1986"/>
      <c r="AR44" s="1986"/>
    </row>
    <row r="45" spans="1:44" ht="12" customHeight="1" x14ac:dyDescent="0.2">
      <c r="A45" s="10"/>
      <c r="B45" s="2674"/>
      <c r="C45" s="2127"/>
      <c r="D45" s="2110"/>
      <c r="E45" s="2110"/>
      <c r="F45" s="2110"/>
      <c r="G45" s="2839"/>
      <c r="H45" s="2839"/>
      <c r="I45" s="2839"/>
      <c r="J45" s="2839"/>
      <c r="K45" s="2839"/>
      <c r="L45" s="2839"/>
      <c r="M45" s="2839"/>
      <c r="N45" s="2839"/>
      <c r="O45" s="2839"/>
      <c r="P45" s="2839"/>
      <c r="Q45" s="2839"/>
      <c r="R45" s="2839"/>
      <c r="S45" s="2839"/>
      <c r="T45" s="2839"/>
      <c r="U45" s="2839"/>
      <c r="V45" s="2839"/>
      <c r="W45" s="2839"/>
      <c r="X45" s="2839"/>
      <c r="Y45" s="2839"/>
      <c r="Z45" s="2839"/>
      <c r="AA45" s="2839"/>
      <c r="AB45" s="2839"/>
      <c r="AC45" s="2839"/>
      <c r="AD45" s="2839"/>
      <c r="AE45" s="2839"/>
      <c r="AF45" s="2839"/>
      <c r="AG45" s="2839"/>
      <c r="AH45" s="2839"/>
      <c r="AI45" s="2839"/>
      <c r="AJ45" s="2128"/>
      <c r="AK45" s="708"/>
      <c r="AL45" s="25"/>
      <c r="AQ45" s="1986"/>
      <c r="AR45" s="1986"/>
    </row>
    <row r="46" spans="1:44" ht="2.25" customHeight="1" x14ac:dyDescent="0.2">
      <c r="A46" s="10"/>
      <c r="B46" s="2674"/>
      <c r="C46" s="2127"/>
      <c r="D46" s="2105"/>
      <c r="E46" s="2105"/>
      <c r="F46" s="2105"/>
      <c r="G46" s="2102"/>
      <c r="H46" s="2102"/>
      <c r="I46" s="2102"/>
      <c r="J46" s="2102"/>
      <c r="K46" s="2102"/>
      <c r="L46" s="2102"/>
      <c r="M46" s="2102"/>
      <c r="N46" s="2102"/>
      <c r="O46" s="2102"/>
      <c r="P46" s="2102"/>
      <c r="Q46" s="2102"/>
      <c r="R46" s="2102"/>
      <c r="S46" s="2102"/>
      <c r="T46" s="2102"/>
      <c r="U46" s="2102"/>
      <c r="V46" s="2102"/>
      <c r="W46" s="2102"/>
      <c r="X46" s="2102"/>
      <c r="Y46" s="2102"/>
      <c r="Z46" s="2102"/>
      <c r="AA46" s="2102"/>
      <c r="AB46" s="2102"/>
      <c r="AC46" s="2102"/>
      <c r="AD46" s="2102"/>
      <c r="AE46" s="2102"/>
      <c r="AF46" s="2102"/>
      <c r="AG46" s="2102"/>
      <c r="AH46" s="2102"/>
      <c r="AI46" s="2102"/>
      <c r="AJ46" s="2128"/>
      <c r="AK46" s="708"/>
      <c r="AL46" s="25"/>
      <c r="AQ46" s="1986"/>
      <c r="AR46" s="1986"/>
    </row>
    <row r="47" spans="1:44" ht="1.5" customHeight="1" x14ac:dyDescent="0.2">
      <c r="A47" s="10"/>
      <c r="B47" s="919"/>
      <c r="C47" s="2120"/>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2"/>
      <c r="AK47" s="708"/>
      <c r="AL47" s="24"/>
      <c r="AQ47" s="1986"/>
      <c r="AR47" s="1986"/>
    </row>
    <row r="48" spans="1:44" ht="12" customHeight="1" x14ac:dyDescent="0.2">
      <c r="A48" s="10"/>
      <c r="B48" s="2674"/>
      <c r="C48" s="2127"/>
      <c r="D48" s="2643" t="s">
        <v>1888</v>
      </c>
      <c r="E48" s="2643"/>
      <c r="F48" s="2872">
        <f>Tablas!H1062</f>
        <v>10</v>
      </c>
      <c r="G48" s="2872"/>
      <c r="H48" s="2872"/>
      <c r="I48" s="2872"/>
      <c r="J48" s="2872"/>
      <c r="K48" s="2872"/>
      <c r="L48" s="2872"/>
      <c r="M48" s="2872"/>
      <c r="N48" s="2872"/>
      <c r="O48" s="2872"/>
      <c r="P48" s="2872"/>
      <c r="Q48" s="2872"/>
      <c r="R48" s="2872"/>
      <c r="S48" s="2872"/>
      <c r="T48" s="2872"/>
      <c r="U48" s="2872"/>
      <c r="V48" s="2641" t="s">
        <v>1889</v>
      </c>
      <c r="W48" s="2641"/>
      <c r="X48" s="2641"/>
      <c r="Y48" s="2843">
        <f>Místicos!M25</f>
        <v>15</v>
      </c>
      <c r="Z48" s="2843"/>
      <c r="AA48" s="2843"/>
      <c r="AB48" s="2641" t="s">
        <v>1890</v>
      </c>
      <c r="AC48" s="2641"/>
      <c r="AD48" s="2641"/>
      <c r="AE48" s="2641"/>
      <c r="AF48" s="2843">
        <f>Místicos!M27</f>
        <v>15</v>
      </c>
      <c r="AG48" s="2843"/>
      <c r="AH48" s="2843"/>
      <c r="AI48" s="2105"/>
      <c r="AJ48" s="2125"/>
      <c r="AK48" s="708"/>
      <c r="AL48" s="25"/>
      <c r="AQ48" s="1986"/>
      <c r="AR48" s="1986"/>
    </row>
    <row r="49" spans="1:44" ht="1.5" customHeight="1" x14ac:dyDescent="0.2">
      <c r="A49" s="10"/>
      <c r="B49" s="919"/>
      <c r="C49" s="2120"/>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2"/>
      <c r="AK49" s="708"/>
      <c r="AL49" s="24"/>
      <c r="AQ49" s="1986"/>
      <c r="AR49" s="1986"/>
    </row>
    <row r="50" spans="1:44" ht="12" customHeight="1" x14ac:dyDescent="0.2">
      <c r="A50" s="10"/>
      <c r="B50" s="920"/>
      <c r="C50" s="2129"/>
      <c r="D50" s="2641" t="s">
        <v>1891</v>
      </c>
      <c r="E50" s="2641"/>
      <c r="F50" s="2846">
        <f>Místicos!K18</f>
        <v>145</v>
      </c>
      <c r="G50" s="2846"/>
      <c r="H50" s="2846"/>
      <c r="I50" s="2846"/>
      <c r="J50" s="2641" t="s">
        <v>8812</v>
      </c>
      <c r="K50" s="2641"/>
      <c r="L50" s="2641"/>
      <c r="M50" s="2637"/>
      <c r="N50" s="2846">
        <f>Místicos!J12</f>
        <v>10</v>
      </c>
      <c r="O50" s="2846"/>
      <c r="P50" s="2846"/>
      <c r="Q50" s="2846"/>
      <c r="R50" s="2846"/>
      <c r="S50" s="2846"/>
      <c r="T50" s="2846"/>
      <c r="U50" s="2105"/>
      <c r="V50" s="2641" t="s">
        <v>1892</v>
      </c>
      <c r="W50" s="2641"/>
      <c r="X50" s="2641"/>
      <c r="Y50" s="2843">
        <f>Místicos!M26</f>
        <v>0</v>
      </c>
      <c r="Z50" s="2843"/>
      <c r="AA50" s="2843"/>
      <c r="AB50" s="2641" t="s">
        <v>1893</v>
      </c>
      <c r="AC50" s="2641"/>
      <c r="AD50" s="2641"/>
      <c r="AE50" s="2641"/>
      <c r="AF50" s="2843">
        <f>Místicos!M28</f>
        <v>15</v>
      </c>
      <c r="AG50" s="2843"/>
      <c r="AH50" s="2843"/>
      <c r="AI50" s="2105"/>
      <c r="AJ50" s="2125"/>
      <c r="AK50" s="708"/>
      <c r="AL50" s="25"/>
      <c r="AQ50" s="1986"/>
      <c r="AR50" s="1986"/>
    </row>
    <row r="51" spans="1:44" ht="1.5" customHeight="1" x14ac:dyDescent="0.2">
      <c r="A51" s="10"/>
      <c r="B51" s="919"/>
      <c r="C51" s="2120"/>
      <c r="D51" s="2844" t="s">
        <v>1894</v>
      </c>
      <c r="E51" s="2844"/>
      <c r="F51" s="2844"/>
      <c r="G51" s="2844"/>
      <c r="H51" s="2844"/>
      <c r="I51" s="2844"/>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2"/>
      <c r="AK51" s="708"/>
      <c r="AL51" s="24"/>
      <c r="AQ51" s="1986"/>
      <c r="AR51" s="1986"/>
    </row>
    <row r="52" spans="1:44" ht="12" customHeight="1" x14ac:dyDescent="0.2">
      <c r="A52" s="10"/>
      <c r="B52" s="920"/>
      <c r="C52" s="2129"/>
      <c r="D52" s="2844"/>
      <c r="E52" s="2844"/>
      <c r="F52" s="2844"/>
      <c r="G52" s="2844"/>
      <c r="H52" s="2844"/>
      <c r="I52" s="2844"/>
      <c r="J52" s="2838"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838"/>
      <c r="L52" s="2838"/>
      <c r="M52" s="2838"/>
      <c r="N52" s="2838"/>
      <c r="O52" s="2838"/>
      <c r="P52" s="2838"/>
      <c r="Q52" s="2838"/>
      <c r="R52" s="2838"/>
      <c r="S52" s="2838"/>
      <c r="T52" s="2838"/>
      <c r="U52" s="2838"/>
      <c r="V52" s="2838"/>
      <c r="W52" s="2838"/>
      <c r="X52" s="2838"/>
      <c r="Y52" s="2838"/>
      <c r="Z52" s="2838"/>
      <c r="AA52" s="2838"/>
      <c r="AB52" s="2838"/>
      <c r="AC52" s="2838"/>
      <c r="AD52" s="2838"/>
      <c r="AE52" s="2838"/>
      <c r="AF52" s="2838"/>
      <c r="AG52" s="2838"/>
      <c r="AH52" s="2838"/>
      <c r="AI52" s="2838"/>
      <c r="AJ52" s="2124"/>
      <c r="AK52" s="708"/>
      <c r="AL52" s="25"/>
      <c r="AQ52" s="1986"/>
      <c r="AR52" s="1986"/>
    </row>
    <row r="53" spans="1:44" ht="1.5" customHeight="1" x14ac:dyDescent="0.2">
      <c r="A53" s="10"/>
      <c r="B53" s="919"/>
      <c r="C53" s="2120"/>
      <c r="D53" s="2842" t="s">
        <v>1895</v>
      </c>
      <c r="E53" s="2842"/>
      <c r="F53" s="2842"/>
      <c r="G53" s="2842"/>
      <c r="H53" s="2842"/>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2"/>
      <c r="AK53" s="708"/>
      <c r="AL53" s="24"/>
      <c r="AQ53" s="1986"/>
      <c r="AR53" s="1986"/>
    </row>
    <row r="54" spans="1:44" ht="12" customHeight="1" x14ac:dyDescent="0.2">
      <c r="A54" s="10"/>
      <c r="B54" s="920"/>
      <c r="C54" s="2129"/>
      <c r="D54" s="2842"/>
      <c r="E54" s="2842"/>
      <c r="F54" s="2842"/>
      <c r="G54" s="2842"/>
      <c r="H54" s="2842"/>
      <c r="I54" s="2838" t="str">
        <f>IFERROR(MID(Tablas!G1994,3,LEN(Tablas!G1994)),"")</f>
        <v/>
      </c>
      <c r="J54" s="2838"/>
      <c r="K54" s="2838"/>
      <c r="L54" s="2838"/>
      <c r="M54" s="2838"/>
      <c r="N54" s="2838"/>
      <c r="O54" s="2838"/>
      <c r="P54" s="2838"/>
      <c r="Q54" s="2838"/>
      <c r="R54" s="2838"/>
      <c r="S54" s="2838"/>
      <c r="T54" s="2838"/>
      <c r="U54" s="2838"/>
      <c r="V54" s="2838"/>
      <c r="W54" s="2838"/>
      <c r="X54" s="2838"/>
      <c r="Y54" s="2838"/>
      <c r="Z54" s="2838"/>
      <c r="AA54" s="2838"/>
      <c r="AB54" s="2838"/>
      <c r="AC54" s="2838"/>
      <c r="AD54" s="2838"/>
      <c r="AE54" s="2838"/>
      <c r="AF54" s="2838"/>
      <c r="AG54" s="2838"/>
      <c r="AH54" s="2838"/>
      <c r="AI54" s="2838"/>
      <c r="AJ54" s="2128"/>
      <c r="AK54" s="708"/>
      <c r="AL54" s="25"/>
      <c r="AQ54" s="1986"/>
      <c r="AR54" s="1986"/>
    </row>
    <row r="55" spans="1:44" ht="12" customHeight="1" x14ac:dyDescent="0.2">
      <c r="A55" s="10"/>
      <c r="B55" s="920"/>
      <c r="C55" s="2129"/>
      <c r="D55" s="2105"/>
      <c r="E55" s="2105"/>
      <c r="F55" s="2105"/>
      <c r="G55" s="2105"/>
      <c r="H55" s="2105"/>
      <c r="I55" s="2838"/>
      <c r="J55" s="2838"/>
      <c r="K55" s="2838"/>
      <c r="L55" s="2838"/>
      <c r="M55" s="2838"/>
      <c r="N55" s="2838"/>
      <c r="O55" s="2838"/>
      <c r="P55" s="2838"/>
      <c r="Q55" s="2838"/>
      <c r="R55" s="2838"/>
      <c r="S55" s="2838"/>
      <c r="T55" s="2838"/>
      <c r="U55" s="2838"/>
      <c r="V55" s="2838"/>
      <c r="W55" s="2838"/>
      <c r="X55" s="2838"/>
      <c r="Y55" s="2838"/>
      <c r="Z55" s="2838"/>
      <c r="AA55" s="2838"/>
      <c r="AB55" s="2838"/>
      <c r="AC55" s="2838"/>
      <c r="AD55" s="2838"/>
      <c r="AE55" s="2838"/>
      <c r="AF55" s="2838"/>
      <c r="AG55" s="2838"/>
      <c r="AH55" s="2838"/>
      <c r="AI55" s="2838"/>
      <c r="AJ55" s="2128"/>
      <c r="AK55" s="708"/>
      <c r="AL55" s="25"/>
      <c r="AQ55" s="1986"/>
      <c r="AR55" s="1986"/>
    </row>
    <row r="56" spans="1:44" ht="12" customHeight="1" x14ac:dyDescent="0.2">
      <c r="A56" s="10"/>
      <c r="B56" s="542"/>
      <c r="C56" s="2126"/>
      <c r="D56" s="2105"/>
      <c r="E56" s="2105"/>
      <c r="F56" s="2105"/>
      <c r="G56" s="2105"/>
      <c r="H56" s="2105"/>
      <c r="I56" s="2838"/>
      <c r="J56" s="2838"/>
      <c r="K56" s="2838"/>
      <c r="L56" s="2838"/>
      <c r="M56" s="2838"/>
      <c r="N56" s="2838"/>
      <c r="O56" s="2838"/>
      <c r="P56" s="2838"/>
      <c r="Q56" s="2838"/>
      <c r="R56" s="2838"/>
      <c r="S56" s="2838"/>
      <c r="T56" s="2838"/>
      <c r="U56" s="2838"/>
      <c r="V56" s="2838"/>
      <c r="W56" s="2838"/>
      <c r="X56" s="2838"/>
      <c r="Y56" s="2838"/>
      <c r="Z56" s="2838"/>
      <c r="AA56" s="2838"/>
      <c r="AB56" s="2838"/>
      <c r="AC56" s="2838"/>
      <c r="AD56" s="2838"/>
      <c r="AE56" s="2838"/>
      <c r="AF56" s="2838"/>
      <c r="AG56" s="2838"/>
      <c r="AH56" s="2838"/>
      <c r="AI56" s="2838"/>
      <c r="AJ56" s="2128"/>
      <c r="AK56" s="708"/>
      <c r="AL56" s="25"/>
      <c r="AQ56" s="1986"/>
      <c r="AR56" s="1986"/>
    </row>
    <row r="57" spans="1:44" ht="12" customHeight="1" x14ac:dyDescent="0.2">
      <c r="A57" s="10"/>
      <c r="B57" s="542"/>
      <c r="C57" s="2126"/>
      <c r="D57" s="2110"/>
      <c r="E57" s="2110"/>
      <c r="F57" s="2110"/>
      <c r="G57" s="2110"/>
      <c r="H57" s="2110"/>
      <c r="I57" s="2839"/>
      <c r="J57" s="2839"/>
      <c r="K57" s="2839"/>
      <c r="L57" s="2839"/>
      <c r="M57" s="2839"/>
      <c r="N57" s="2839"/>
      <c r="O57" s="2839"/>
      <c r="P57" s="2839"/>
      <c r="Q57" s="2839"/>
      <c r="R57" s="2839"/>
      <c r="S57" s="2839"/>
      <c r="T57" s="2839"/>
      <c r="U57" s="2839"/>
      <c r="V57" s="2839"/>
      <c r="W57" s="2839"/>
      <c r="X57" s="2839"/>
      <c r="Y57" s="2839"/>
      <c r="Z57" s="2839"/>
      <c r="AA57" s="2839"/>
      <c r="AB57" s="2839"/>
      <c r="AC57" s="2839"/>
      <c r="AD57" s="2839"/>
      <c r="AE57" s="2839"/>
      <c r="AF57" s="2839"/>
      <c r="AG57" s="2839"/>
      <c r="AH57" s="2839"/>
      <c r="AI57" s="2839"/>
      <c r="AJ57" s="2128"/>
      <c r="AK57" s="708"/>
      <c r="AL57" s="25"/>
      <c r="AQ57" s="1986"/>
      <c r="AR57" s="1986"/>
    </row>
    <row r="58" spans="1:44" ht="2.25" customHeight="1" x14ac:dyDescent="0.2">
      <c r="A58" s="10"/>
      <c r="B58" s="542"/>
      <c r="C58" s="2126"/>
      <c r="D58" s="2105"/>
      <c r="E58" s="2105"/>
      <c r="F58" s="2105"/>
      <c r="G58" s="2105"/>
      <c r="H58" s="2105"/>
      <c r="I58" s="2102"/>
      <c r="J58" s="2102"/>
      <c r="K58" s="2102"/>
      <c r="L58" s="2102"/>
      <c r="M58" s="2102"/>
      <c r="N58" s="2102"/>
      <c r="O58" s="2102"/>
      <c r="P58" s="2102"/>
      <c r="Q58" s="2102"/>
      <c r="R58" s="2102"/>
      <c r="S58" s="2102"/>
      <c r="T58" s="2102"/>
      <c r="U58" s="2102"/>
      <c r="V58" s="2102"/>
      <c r="W58" s="2102"/>
      <c r="X58" s="2102"/>
      <c r="Y58" s="2102"/>
      <c r="Z58" s="2102"/>
      <c r="AA58" s="2102"/>
      <c r="AB58" s="2102"/>
      <c r="AC58" s="2102"/>
      <c r="AD58" s="2102"/>
      <c r="AE58" s="2102"/>
      <c r="AF58" s="2102"/>
      <c r="AG58" s="2102"/>
      <c r="AH58" s="2102"/>
      <c r="AI58" s="2102"/>
      <c r="AJ58" s="2128"/>
      <c r="AK58" s="708"/>
      <c r="AL58" s="25"/>
      <c r="AQ58" s="1986"/>
      <c r="AR58" s="1986"/>
    </row>
    <row r="59" spans="1:44" ht="1.5" customHeight="1" x14ac:dyDescent="0.2">
      <c r="A59" s="10"/>
      <c r="B59" s="919"/>
      <c r="C59" s="2120"/>
      <c r="D59" s="1076"/>
      <c r="E59" s="1076"/>
      <c r="F59" s="1076"/>
      <c r="G59" s="1076"/>
      <c r="H59" s="1076"/>
      <c r="I59" s="1076"/>
      <c r="J59" s="1076"/>
      <c r="K59" s="1076"/>
      <c r="L59" s="1076"/>
      <c r="M59" s="1076"/>
      <c r="N59" s="1076"/>
      <c r="O59" s="1076"/>
      <c r="P59" s="1076"/>
      <c r="Q59" s="1076"/>
      <c r="R59" s="2840" t="s">
        <v>1898</v>
      </c>
      <c r="S59" s="2840"/>
      <c r="T59" s="2840"/>
      <c r="U59" s="2840"/>
      <c r="V59" s="2840"/>
      <c r="W59" s="2840"/>
      <c r="X59" s="1076"/>
      <c r="Y59" s="1076"/>
      <c r="Z59" s="1076"/>
      <c r="AA59" s="1076"/>
      <c r="AB59" s="1076"/>
      <c r="AC59" s="1076"/>
      <c r="AD59" s="1076"/>
      <c r="AE59" s="1076"/>
      <c r="AF59" s="1076"/>
      <c r="AG59" s="1076"/>
      <c r="AH59" s="1076"/>
      <c r="AI59" s="1076"/>
      <c r="AJ59" s="2122"/>
      <c r="AK59" s="708"/>
      <c r="AL59" s="24"/>
      <c r="AQ59" s="1986"/>
      <c r="AR59" s="1986"/>
    </row>
    <row r="60" spans="1:44" ht="12" customHeight="1" x14ac:dyDescent="0.2">
      <c r="A60" s="10"/>
      <c r="B60" s="920"/>
      <c r="C60" s="2129"/>
      <c r="D60" s="2641" t="s">
        <v>1896</v>
      </c>
      <c r="E60" s="2641"/>
      <c r="F60" s="2641"/>
      <c r="G60" s="2641"/>
      <c r="H60" s="2846">
        <f>Psíquicos!I16</f>
        <v>1</v>
      </c>
      <c r="I60" s="2846"/>
      <c r="J60" s="2846"/>
      <c r="K60" s="2846"/>
      <c r="L60" s="2673" t="s">
        <v>1897</v>
      </c>
      <c r="M60" s="2673"/>
      <c r="N60" s="2673"/>
      <c r="O60" s="2846">
        <f>Psíquicos!M13</f>
        <v>0</v>
      </c>
      <c r="P60" s="2846"/>
      <c r="Q60" s="2846"/>
      <c r="R60" s="2840"/>
      <c r="S60" s="2840"/>
      <c r="T60" s="2840"/>
      <c r="U60" s="2840"/>
      <c r="V60" s="2840"/>
      <c r="W60" s="2840"/>
      <c r="X60" s="2841" t="str">
        <f>IFERROR(RIGHT(AQ60,LEN(AQ60)-2),"")</f>
        <v/>
      </c>
      <c r="Y60" s="2841"/>
      <c r="Z60" s="2841"/>
      <c r="AA60" s="2841"/>
      <c r="AB60" s="2841"/>
      <c r="AC60" s="2841"/>
      <c r="AD60" s="2841"/>
      <c r="AE60" s="2841"/>
      <c r="AF60" s="2841"/>
      <c r="AG60" s="2841"/>
      <c r="AH60" s="2841"/>
      <c r="AI60" s="2841"/>
      <c r="AJ60" s="2125"/>
      <c r="AK60" s="708"/>
      <c r="AL60" s="25"/>
      <c r="AQ60" s="1986" t="str">
        <f>IF(Psíquicos!C39="","",Psíquicos!C39)&amp;IF(Psíquicos!C41="","",", "&amp;Psíquicos!C41)&amp;IF(Psíquicos!C43="","",", "&amp;Psíquicos!C43)&amp;IF(Psíquicos!C45="","",", "&amp;Psíquicos!C45)&amp;IF(Psíquicos!C47="","",", "&amp;Psíquicos!C47)&amp;IF(Psíquicos!C49="","",", "&amp;Psíquicos!C49)</f>
        <v/>
      </c>
      <c r="AR60" s="1986"/>
    </row>
    <row r="61" spans="1:44" ht="1.5" customHeight="1" x14ac:dyDescent="0.2">
      <c r="A61" s="10"/>
      <c r="B61" s="919"/>
      <c r="C61" s="2120"/>
      <c r="D61" s="1076"/>
      <c r="E61" s="1076"/>
      <c r="F61" s="1076"/>
      <c r="G61" s="1076"/>
      <c r="H61" s="1076"/>
      <c r="I61" s="1076"/>
      <c r="J61" s="1076"/>
      <c r="K61" s="1076"/>
      <c r="L61" s="1076"/>
      <c r="M61" s="1076"/>
      <c r="N61" s="1076"/>
      <c r="O61" s="1076"/>
      <c r="P61" s="1076"/>
      <c r="Q61" s="1076"/>
      <c r="R61" s="1076"/>
      <c r="S61" s="1076"/>
      <c r="T61" s="1076"/>
      <c r="U61" s="1076"/>
      <c r="V61" s="1076"/>
      <c r="W61" s="1076"/>
      <c r="X61" s="2841"/>
      <c r="Y61" s="2841"/>
      <c r="Z61" s="2841"/>
      <c r="AA61" s="2841"/>
      <c r="AB61" s="2841"/>
      <c r="AC61" s="2841"/>
      <c r="AD61" s="2841"/>
      <c r="AE61" s="2841"/>
      <c r="AF61" s="2841"/>
      <c r="AG61" s="2841"/>
      <c r="AH61" s="2841"/>
      <c r="AI61" s="2841"/>
      <c r="AJ61" s="2122"/>
      <c r="AK61" s="708"/>
      <c r="AL61" s="24"/>
      <c r="AQ61" s="1986"/>
      <c r="AR61" s="1986"/>
    </row>
    <row r="62" spans="1:44" ht="12" customHeight="1" x14ac:dyDescent="0.2">
      <c r="A62" s="10"/>
      <c r="B62" s="920"/>
      <c r="C62" s="2129"/>
      <c r="D62" s="2641" t="s">
        <v>1899</v>
      </c>
      <c r="E62" s="2641"/>
      <c r="F62" s="2641"/>
      <c r="G62" s="2641"/>
      <c r="H62" s="2641"/>
      <c r="I62" s="2641"/>
      <c r="J62" s="2838">
        <f>Psíquicos!H11</f>
        <v>10</v>
      </c>
      <c r="K62" s="2838"/>
      <c r="L62" s="2838"/>
      <c r="M62" s="2838"/>
      <c r="N62" s="2838"/>
      <c r="O62" s="2838"/>
      <c r="P62" s="2838"/>
      <c r="Q62" s="2838"/>
      <c r="R62" s="2838"/>
      <c r="S62" s="2838"/>
      <c r="T62" s="2838"/>
      <c r="U62" s="2838"/>
      <c r="V62" s="2838"/>
      <c r="W62" s="2838"/>
      <c r="X62" s="2841"/>
      <c r="Y62" s="2841"/>
      <c r="Z62" s="2841"/>
      <c r="AA62" s="2841"/>
      <c r="AB62" s="2841"/>
      <c r="AC62" s="2841"/>
      <c r="AD62" s="2841"/>
      <c r="AE62" s="2841"/>
      <c r="AF62" s="2841"/>
      <c r="AG62" s="2841"/>
      <c r="AH62" s="2841"/>
      <c r="AI62" s="2841"/>
      <c r="AJ62" s="2125"/>
      <c r="AK62" s="708"/>
      <c r="AL62" s="25"/>
      <c r="AQ62" s="1986"/>
      <c r="AR62" s="1986"/>
    </row>
    <row r="63" spans="1:44" ht="1.5" customHeight="1" x14ac:dyDescent="0.2">
      <c r="A63" s="10"/>
      <c r="B63" s="919"/>
      <c r="C63" s="2120"/>
      <c r="D63" s="1076"/>
      <c r="E63" s="1076"/>
      <c r="F63" s="1076"/>
      <c r="G63" s="1076"/>
      <c r="H63" s="1076"/>
      <c r="I63" s="1076"/>
      <c r="J63" s="1076"/>
      <c r="K63" s="1076"/>
      <c r="L63" s="1076"/>
      <c r="M63" s="1076"/>
      <c r="N63" s="1076"/>
      <c r="O63" s="1076"/>
      <c r="P63" s="1076"/>
      <c r="Q63" s="1076"/>
      <c r="R63" s="1076"/>
      <c r="S63" s="1076"/>
      <c r="T63" s="1076"/>
      <c r="U63" s="1076"/>
      <c r="V63" s="1076"/>
      <c r="W63" s="1076"/>
      <c r="X63" s="2841"/>
      <c r="Y63" s="2841"/>
      <c r="Z63" s="2841"/>
      <c r="AA63" s="2841"/>
      <c r="AB63" s="2841"/>
      <c r="AC63" s="2841"/>
      <c r="AD63" s="2841"/>
      <c r="AE63" s="2841"/>
      <c r="AF63" s="2841"/>
      <c r="AG63" s="2841"/>
      <c r="AH63" s="2841"/>
      <c r="AI63" s="2841"/>
      <c r="AJ63" s="2122"/>
      <c r="AK63" s="708"/>
      <c r="AL63" s="24"/>
      <c r="AQ63" s="1986"/>
      <c r="AR63" s="1986"/>
    </row>
    <row r="64" spans="1:44" ht="12" customHeight="1" x14ac:dyDescent="0.2">
      <c r="A64" s="10"/>
      <c r="B64" s="920"/>
      <c r="C64" s="2129"/>
      <c r="D64" s="2641" t="s">
        <v>1900</v>
      </c>
      <c r="E64" s="2641"/>
      <c r="F64" s="2641"/>
      <c r="G64" s="2641"/>
      <c r="H64" s="2641"/>
      <c r="I64" s="2641"/>
      <c r="J64" s="2641"/>
      <c r="K64" s="2838">
        <f>IF(Psíquicos!P12=Psíquicos!Q12,Psíquicos!P12,Psíquicos!P12&amp;" Ofensiva"&amp;", "&amp;Psíquicos!Q12&amp;" Defensiva")</f>
        <v>0</v>
      </c>
      <c r="L64" s="2838"/>
      <c r="M64" s="2838"/>
      <c r="N64" s="2838"/>
      <c r="O64" s="2838"/>
      <c r="P64" s="2838"/>
      <c r="Q64" s="2838"/>
      <c r="R64" s="2838"/>
      <c r="S64" s="2838"/>
      <c r="T64" s="2838"/>
      <c r="U64" s="2838"/>
      <c r="V64" s="2838"/>
      <c r="W64" s="2838"/>
      <c r="X64" s="2841"/>
      <c r="Y64" s="2841"/>
      <c r="Z64" s="2841"/>
      <c r="AA64" s="2841"/>
      <c r="AB64" s="2841"/>
      <c r="AC64" s="2841"/>
      <c r="AD64" s="2841"/>
      <c r="AE64" s="2841"/>
      <c r="AF64" s="2841"/>
      <c r="AG64" s="2841"/>
      <c r="AH64" s="2841"/>
      <c r="AI64" s="2841"/>
      <c r="AJ64" s="2128"/>
      <c r="AK64" s="708"/>
      <c r="AL64" s="25"/>
      <c r="AQ64" s="1986"/>
      <c r="AR64" s="1986"/>
    </row>
    <row r="65" spans="1:44" ht="1.5" customHeight="1" x14ac:dyDescent="0.2">
      <c r="A65" s="10"/>
      <c r="B65" s="919"/>
      <c r="C65" s="2120"/>
      <c r="D65" s="2842" t="s">
        <v>1901</v>
      </c>
      <c r="E65" s="2842"/>
      <c r="F65" s="2842"/>
      <c r="G65" s="2842"/>
      <c r="H65" s="2842"/>
      <c r="I65" s="2842"/>
      <c r="J65" s="2842"/>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2"/>
      <c r="AK65" s="708"/>
      <c r="AL65" s="24"/>
      <c r="AQ65" s="1986"/>
      <c r="AR65" s="1986"/>
    </row>
    <row r="66" spans="1:44" ht="12" customHeight="1" x14ac:dyDescent="0.2">
      <c r="A66" s="10"/>
      <c r="B66" s="920"/>
      <c r="C66" s="2129"/>
      <c r="D66" s="2842"/>
      <c r="E66" s="2842"/>
      <c r="F66" s="2842"/>
      <c r="G66" s="2842"/>
      <c r="H66" s="2842"/>
      <c r="I66" s="2842"/>
      <c r="J66" s="2842"/>
      <c r="K66" s="2838" t="str">
        <f>IF(Psíquicos!C25=0,"",Psíquicos!C25)&amp;IF(Psíquicos!C27=0,"",", "&amp;Psíquicos!C27)&amp;IF(Psíquicos!C29=0,"",", "&amp;Psíquicos!C29)&amp;IF(Psíquicos!C31=0,"",", "&amp;Psíquicos!C31)&amp;IF(Psíquicos!C33=0,"",", "&amp;Psíquicos!C33)&amp;IF(Psíquicos!C35=0,"",", "&amp;Psíquicos!C35)</f>
        <v/>
      </c>
      <c r="L66" s="2838"/>
      <c r="M66" s="2838"/>
      <c r="N66" s="2838"/>
      <c r="O66" s="2838"/>
      <c r="P66" s="2838"/>
      <c r="Q66" s="2838"/>
      <c r="R66" s="2838"/>
      <c r="S66" s="2838"/>
      <c r="T66" s="2838"/>
      <c r="U66" s="2838"/>
      <c r="V66" s="2838"/>
      <c r="W66" s="2838"/>
      <c r="X66" s="2838"/>
      <c r="Y66" s="2838"/>
      <c r="Z66" s="2838"/>
      <c r="AA66" s="2838"/>
      <c r="AB66" s="2838"/>
      <c r="AC66" s="2838"/>
      <c r="AD66" s="2838"/>
      <c r="AE66" s="2838"/>
      <c r="AF66" s="2838"/>
      <c r="AG66" s="2838"/>
      <c r="AH66" s="2838"/>
      <c r="AI66" s="2838"/>
      <c r="AJ66" s="2128"/>
      <c r="AK66" s="708"/>
      <c r="AL66" s="25"/>
      <c r="AQ66" s="1986"/>
      <c r="AR66" s="1986"/>
    </row>
    <row r="67" spans="1:44" ht="1.5" customHeight="1" x14ac:dyDescent="0.2">
      <c r="A67" s="10"/>
      <c r="B67" s="919"/>
      <c r="C67" s="2120"/>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2"/>
      <c r="AK67" s="708"/>
      <c r="AL67" s="24"/>
      <c r="AQ67" s="1986"/>
      <c r="AR67" s="1986"/>
    </row>
    <row r="68" spans="1:44" ht="12" customHeight="1" x14ac:dyDescent="0.2">
      <c r="A68" s="10"/>
      <c r="B68" s="918"/>
      <c r="C68" s="2115"/>
      <c r="D68" s="2108" t="s">
        <v>1902</v>
      </c>
      <c r="E68" s="2108"/>
      <c r="F68" s="2108"/>
      <c r="G68" s="2108"/>
      <c r="H68" s="2108"/>
      <c r="I68" s="2108"/>
      <c r="J68" s="2838" t="str">
        <f>IFERROR(MID(Psíquicos!AR15,3,LEN(Psíquicos!AR15)),"")</f>
        <v/>
      </c>
      <c r="K68" s="2838"/>
      <c r="L68" s="2838"/>
      <c r="M68" s="2838"/>
      <c r="N68" s="2838"/>
      <c r="O68" s="2838"/>
      <c r="P68" s="2838"/>
      <c r="Q68" s="2838"/>
      <c r="R68" s="2838"/>
      <c r="S68" s="2838"/>
      <c r="T68" s="2838"/>
      <c r="U68" s="2838"/>
      <c r="V68" s="2838"/>
      <c r="W68" s="2838"/>
      <c r="X68" s="2838"/>
      <c r="Y68" s="2838"/>
      <c r="Z68" s="2838"/>
      <c r="AA68" s="2838"/>
      <c r="AB68" s="2838"/>
      <c r="AC68" s="2838"/>
      <c r="AD68" s="2838"/>
      <c r="AE68" s="2838"/>
      <c r="AF68" s="2838"/>
      <c r="AG68" s="2838"/>
      <c r="AH68" s="2838"/>
      <c r="AI68" s="2838"/>
      <c r="AJ68" s="2122"/>
      <c r="AK68" s="708"/>
      <c r="AL68" s="25"/>
      <c r="AQ68" s="1986"/>
      <c r="AR68" s="1986"/>
    </row>
    <row r="69" spans="1:44" ht="12" customHeight="1" x14ac:dyDescent="0.2">
      <c r="A69" s="10"/>
      <c r="B69" s="918"/>
      <c r="C69" s="2115"/>
      <c r="D69" s="1076"/>
      <c r="E69" s="1076"/>
      <c r="F69" s="1076"/>
      <c r="G69" s="1076"/>
      <c r="H69" s="1076"/>
      <c r="I69" s="1076"/>
      <c r="J69" s="2838"/>
      <c r="K69" s="2838"/>
      <c r="L69" s="2838"/>
      <c r="M69" s="2838"/>
      <c r="N69" s="2838"/>
      <c r="O69" s="2838"/>
      <c r="P69" s="2838"/>
      <c r="Q69" s="2838"/>
      <c r="R69" s="2838"/>
      <c r="S69" s="2838"/>
      <c r="T69" s="2838"/>
      <c r="U69" s="2838"/>
      <c r="V69" s="2838"/>
      <c r="W69" s="2838"/>
      <c r="X69" s="2838"/>
      <c r="Y69" s="2838"/>
      <c r="Z69" s="2838"/>
      <c r="AA69" s="2838"/>
      <c r="AB69" s="2838"/>
      <c r="AC69" s="2838"/>
      <c r="AD69" s="2838"/>
      <c r="AE69" s="2838"/>
      <c r="AF69" s="2838"/>
      <c r="AG69" s="2838"/>
      <c r="AH69" s="2838"/>
      <c r="AI69" s="2838"/>
      <c r="AJ69" s="2128"/>
      <c r="AK69" s="708"/>
      <c r="AL69" s="25"/>
      <c r="AQ69" s="1986"/>
      <c r="AR69" s="1986"/>
    </row>
    <row r="70" spans="1:44" ht="12" customHeight="1" x14ac:dyDescent="0.2">
      <c r="A70" s="10"/>
      <c r="B70" s="918"/>
      <c r="C70" s="2115"/>
      <c r="D70" s="2110"/>
      <c r="E70" s="2110"/>
      <c r="F70" s="2110"/>
      <c r="G70" s="2110"/>
      <c r="H70" s="2110"/>
      <c r="I70" s="2110"/>
      <c r="J70" s="2839"/>
      <c r="K70" s="2839"/>
      <c r="L70" s="2839"/>
      <c r="M70" s="2839"/>
      <c r="N70" s="2839"/>
      <c r="O70" s="2839"/>
      <c r="P70" s="2839"/>
      <c r="Q70" s="2839"/>
      <c r="R70" s="2839"/>
      <c r="S70" s="2839"/>
      <c r="T70" s="2839"/>
      <c r="U70" s="2839"/>
      <c r="V70" s="2839"/>
      <c r="W70" s="2839"/>
      <c r="X70" s="2839"/>
      <c r="Y70" s="2839"/>
      <c r="Z70" s="2839"/>
      <c r="AA70" s="2839"/>
      <c r="AB70" s="2839"/>
      <c r="AC70" s="2839"/>
      <c r="AD70" s="2839"/>
      <c r="AE70" s="2839"/>
      <c r="AF70" s="2839"/>
      <c r="AG70" s="2839"/>
      <c r="AH70" s="2839"/>
      <c r="AI70" s="2839"/>
      <c r="AJ70" s="2125"/>
      <c r="AK70" s="708"/>
      <c r="AL70" s="25"/>
      <c r="AQ70" s="1986"/>
      <c r="AR70" s="1986"/>
    </row>
    <row r="71" spans="1:44" ht="2.25" customHeight="1" x14ac:dyDescent="0.2">
      <c r="A71" s="10"/>
      <c r="B71" s="918"/>
      <c r="C71" s="2115"/>
      <c r="D71" s="2105"/>
      <c r="E71" s="2105"/>
      <c r="F71" s="2105"/>
      <c r="G71" s="2105"/>
      <c r="H71" s="2105"/>
      <c r="I71" s="2105"/>
      <c r="J71" s="2105"/>
      <c r="K71" s="2105"/>
      <c r="L71" s="2105"/>
      <c r="M71" s="2105"/>
      <c r="N71" s="2105"/>
      <c r="O71" s="2105"/>
      <c r="P71" s="2105"/>
      <c r="Q71" s="2105"/>
      <c r="R71" s="2105"/>
      <c r="S71" s="2105"/>
      <c r="T71" s="2105"/>
      <c r="U71" s="2105"/>
      <c r="V71" s="2105"/>
      <c r="W71" s="2105"/>
      <c r="X71" s="2105"/>
      <c r="Y71" s="2105"/>
      <c r="Z71" s="2105"/>
      <c r="AA71" s="2105"/>
      <c r="AB71" s="2105"/>
      <c r="AC71" s="2105"/>
      <c r="AD71" s="2105"/>
      <c r="AE71" s="2105"/>
      <c r="AF71" s="2105"/>
      <c r="AG71" s="2105"/>
      <c r="AH71" s="2105"/>
      <c r="AI71" s="2105"/>
      <c r="AJ71" s="2125"/>
      <c r="AK71" s="708"/>
      <c r="AL71" s="25"/>
      <c r="AQ71" s="1986"/>
      <c r="AR71" s="1986"/>
    </row>
    <row r="72" spans="1:44" ht="1.5" customHeight="1" x14ac:dyDescent="0.2">
      <c r="A72" s="10"/>
      <c r="B72" s="919"/>
      <c r="C72" s="2120"/>
      <c r="D72" s="2842" t="s">
        <v>1903</v>
      </c>
      <c r="E72" s="2842"/>
      <c r="F72" s="2842"/>
      <c r="G72" s="2842"/>
      <c r="H72" s="2842"/>
      <c r="I72" s="2842"/>
      <c r="J72" s="2842"/>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2"/>
      <c r="AK72" s="708"/>
      <c r="AL72" s="24"/>
      <c r="AQ72" s="1986"/>
      <c r="AR72" s="1986"/>
    </row>
    <row r="73" spans="1:44" ht="12" customHeight="1" x14ac:dyDescent="0.2">
      <c r="A73" s="10"/>
      <c r="B73" s="918"/>
      <c r="C73" s="2115"/>
      <c r="D73" s="2842"/>
      <c r="E73" s="2842"/>
      <c r="F73" s="2842"/>
      <c r="G73" s="2842"/>
      <c r="H73" s="2842"/>
      <c r="I73" s="2842"/>
      <c r="J73" s="2842"/>
      <c r="K73" s="2838" t="str">
        <f>IFERROR(RIGHT(Tablas!G1970,LEN(Tablas!G1970)-2),"")</f>
        <v>Bono natural incrementado, Endeble</v>
      </c>
      <c r="L73" s="2838"/>
      <c r="M73" s="2838"/>
      <c r="N73" s="2838"/>
      <c r="O73" s="2838"/>
      <c r="P73" s="2838"/>
      <c r="Q73" s="2838"/>
      <c r="R73" s="2838"/>
      <c r="S73" s="2838"/>
      <c r="T73" s="2838"/>
      <c r="U73" s="2838"/>
      <c r="V73" s="2838"/>
      <c r="W73" s="2838"/>
      <c r="X73" s="2838"/>
      <c r="Y73" s="2838"/>
      <c r="Z73" s="2838"/>
      <c r="AA73" s="2838"/>
      <c r="AB73" s="2838"/>
      <c r="AC73" s="2838"/>
      <c r="AD73" s="2838"/>
      <c r="AE73" s="2838"/>
      <c r="AF73" s="2838"/>
      <c r="AG73" s="2838"/>
      <c r="AH73" s="2838"/>
      <c r="AI73" s="2838"/>
      <c r="AJ73" s="2128"/>
      <c r="AK73" s="708"/>
      <c r="AL73" s="25"/>
      <c r="AQ73" s="1986"/>
      <c r="AR73" s="2756"/>
    </row>
    <row r="74" spans="1:44" ht="12" customHeight="1" x14ac:dyDescent="0.2">
      <c r="A74" s="10"/>
      <c r="B74" s="918"/>
      <c r="C74" s="2115"/>
      <c r="D74" s="2105"/>
      <c r="E74" s="2105"/>
      <c r="F74" s="2105"/>
      <c r="G74" s="2105"/>
      <c r="H74" s="2105"/>
      <c r="I74" s="2105"/>
      <c r="J74" s="2105"/>
      <c r="K74" s="2838"/>
      <c r="L74" s="2838"/>
      <c r="M74" s="2838"/>
      <c r="N74" s="2838"/>
      <c r="O74" s="2838"/>
      <c r="P74" s="2838"/>
      <c r="Q74" s="2838"/>
      <c r="R74" s="2838"/>
      <c r="S74" s="2838"/>
      <c r="T74" s="2838"/>
      <c r="U74" s="2838"/>
      <c r="V74" s="2838"/>
      <c r="W74" s="2838"/>
      <c r="X74" s="2838"/>
      <c r="Y74" s="2838"/>
      <c r="Z74" s="2838"/>
      <c r="AA74" s="2838"/>
      <c r="AB74" s="2838"/>
      <c r="AC74" s="2838"/>
      <c r="AD74" s="2838"/>
      <c r="AE74" s="2838"/>
      <c r="AF74" s="2838"/>
      <c r="AG74" s="2838"/>
      <c r="AH74" s="2838"/>
      <c r="AI74" s="2838"/>
      <c r="AJ74" s="2128"/>
      <c r="AK74" s="708"/>
      <c r="AL74" s="25"/>
      <c r="AQ74" s="1986"/>
      <c r="AR74" s="1986"/>
    </row>
    <row r="75" spans="1:44" ht="1.5" customHeight="1" x14ac:dyDescent="0.2">
      <c r="A75" s="10"/>
      <c r="B75" s="919"/>
      <c r="C75" s="2120"/>
      <c r="D75" s="2842" t="s">
        <v>1904</v>
      </c>
      <c r="E75" s="2842"/>
      <c r="F75" s="2842"/>
      <c r="G75" s="2842"/>
      <c r="H75" s="2842"/>
      <c r="I75" s="2842"/>
      <c r="J75" s="2842"/>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2"/>
      <c r="AK75" s="708"/>
      <c r="AL75" s="24"/>
      <c r="AQ75" s="1986"/>
      <c r="AR75" s="1986"/>
    </row>
    <row r="76" spans="1:44" ht="12" customHeight="1" x14ac:dyDescent="0.2">
      <c r="A76" s="10"/>
      <c r="B76" s="918"/>
      <c r="C76" s="2115"/>
      <c r="D76" s="2842"/>
      <c r="E76" s="2842"/>
      <c r="F76" s="2842"/>
      <c r="G76" s="2842"/>
      <c r="H76" s="2842"/>
      <c r="I76" s="2842"/>
      <c r="J76" s="2842"/>
      <c r="K76" s="2838" t="str">
        <f>Tablas!$G$2008</f>
        <v>Tabla de profesión: Aborigen</v>
      </c>
      <c r="L76" s="2838"/>
      <c r="M76" s="2838"/>
      <c r="N76" s="2838"/>
      <c r="O76" s="2838"/>
      <c r="P76" s="2838"/>
      <c r="Q76" s="2838"/>
      <c r="R76" s="2838"/>
      <c r="S76" s="2838"/>
      <c r="T76" s="2838"/>
      <c r="U76" s="2838"/>
      <c r="V76" s="2838"/>
      <c r="W76" s="2838"/>
      <c r="X76" s="2838"/>
      <c r="Y76" s="2838"/>
      <c r="Z76" s="2838"/>
      <c r="AA76" s="2838"/>
      <c r="AB76" s="2838"/>
      <c r="AC76" s="2838"/>
      <c r="AD76" s="2838"/>
      <c r="AE76" s="2838"/>
      <c r="AF76" s="2838"/>
      <c r="AG76" s="2838"/>
      <c r="AH76" s="2838"/>
      <c r="AI76" s="2838"/>
      <c r="AJ76" s="2128"/>
      <c r="AK76" s="708"/>
      <c r="AL76" s="25"/>
      <c r="AQ76" s="1986"/>
      <c r="AR76" s="1986"/>
    </row>
    <row r="77" spans="1:44" ht="12" customHeight="1" x14ac:dyDescent="0.2">
      <c r="A77" s="10"/>
      <c r="B77" s="918"/>
      <c r="C77" s="2115"/>
      <c r="D77" s="2105"/>
      <c r="E77" s="2105"/>
      <c r="F77" s="2105"/>
      <c r="G77" s="2105"/>
      <c r="H77" s="2105"/>
      <c r="I77" s="2105"/>
      <c r="J77" s="2105"/>
      <c r="K77" s="2838"/>
      <c r="L77" s="2838"/>
      <c r="M77" s="2838"/>
      <c r="N77" s="2838"/>
      <c r="O77" s="2838"/>
      <c r="P77" s="2838"/>
      <c r="Q77" s="2838"/>
      <c r="R77" s="2838"/>
      <c r="S77" s="2838"/>
      <c r="T77" s="2838"/>
      <c r="U77" s="2838"/>
      <c r="V77" s="2838"/>
      <c r="W77" s="2838"/>
      <c r="X77" s="2838"/>
      <c r="Y77" s="2838"/>
      <c r="Z77" s="2838"/>
      <c r="AA77" s="2838"/>
      <c r="AB77" s="2838"/>
      <c r="AC77" s="2838"/>
      <c r="AD77" s="2838"/>
      <c r="AE77" s="2838"/>
      <c r="AF77" s="2838"/>
      <c r="AG77" s="2838"/>
      <c r="AH77" s="2838"/>
      <c r="AI77" s="2838"/>
      <c r="AJ77" s="2128"/>
      <c r="AK77" s="708"/>
      <c r="AL77" s="25"/>
      <c r="AQ77" s="1986"/>
      <c r="AR77" s="1986"/>
    </row>
    <row r="78" spans="1:44" ht="1.5" customHeight="1" x14ac:dyDescent="0.2">
      <c r="A78" s="10"/>
      <c r="B78" s="919"/>
      <c r="C78" s="2120"/>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2"/>
      <c r="AK78" s="708"/>
      <c r="AL78" s="24"/>
      <c r="AQ78" s="1986"/>
      <c r="AR78" s="1986"/>
    </row>
    <row r="79" spans="1:44" ht="12" customHeight="1" x14ac:dyDescent="0.2">
      <c r="A79" s="10"/>
      <c r="B79" s="918"/>
      <c r="C79" s="2115"/>
      <c r="D79" s="2844" t="s">
        <v>7548</v>
      </c>
      <c r="E79" s="2844"/>
      <c r="F79" s="2844"/>
      <c r="G79" s="2844"/>
      <c r="H79" s="2853" t="str">
        <f>IFERROR(RIGHT(AQ79,LEN(AQ79)-2),"")</f>
        <v>Zemial 20</v>
      </c>
      <c r="I79" s="2853"/>
      <c r="J79" s="2853"/>
      <c r="K79" s="2853"/>
      <c r="L79" s="2853"/>
      <c r="M79" s="2853"/>
      <c r="N79" s="2853"/>
      <c r="O79" s="2853"/>
      <c r="P79" s="2853"/>
      <c r="Q79" s="2853"/>
      <c r="R79" s="2853"/>
      <c r="S79" s="2853"/>
      <c r="T79" s="2853"/>
      <c r="U79" s="2853"/>
      <c r="V79" s="2853"/>
      <c r="W79" s="2853"/>
      <c r="X79" s="2853"/>
      <c r="Y79" s="2853"/>
      <c r="Z79" s="2853"/>
      <c r="AA79" s="2853"/>
      <c r="AB79" s="2853"/>
      <c r="AC79" s="2853"/>
      <c r="AD79" s="2853"/>
      <c r="AE79" s="2853"/>
      <c r="AF79" s="2853"/>
      <c r="AG79" s="2853"/>
      <c r="AH79" s="2853"/>
      <c r="AI79" s="2853"/>
      <c r="AJ79" s="2128"/>
      <c r="AK79" s="708"/>
      <c r="AL79" s="25"/>
      <c r="AQ79" s="2007" t="str">
        <f>IF(Elan!C11="","",", "&amp;Elan!C11&amp;" "&amp;IF(Elan!G11="",0,Elan!G11))&amp;IF(Elan!U11="","",", "&amp;Elan!U11&amp;" "&amp;IF(Elan!Y11="",0,Elan!Y11))&amp;IF(Principal!Y26="","",", "&amp;Principal!Y26)</f>
        <v>, Zemial 20</v>
      </c>
      <c r="AR79" s="1986"/>
    </row>
    <row r="80" spans="1:44" ht="0.75" customHeight="1" x14ac:dyDescent="0.2">
      <c r="A80" s="10"/>
      <c r="B80" s="919"/>
      <c r="C80" s="2120"/>
      <c r="D80" s="2685"/>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2"/>
      <c r="AK80" s="708"/>
      <c r="AL80" s="24"/>
      <c r="AQ80" s="1986"/>
      <c r="AR80" s="1986"/>
    </row>
    <row r="81" spans="1:44" ht="12" customHeight="1" x14ac:dyDescent="0.2">
      <c r="A81" s="10"/>
      <c r="B81" s="918"/>
      <c r="C81" s="2115"/>
      <c r="D81" s="2870" t="s">
        <v>9894</v>
      </c>
      <c r="E81" s="2870"/>
      <c r="F81" s="2870"/>
      <c r="G81" s="2870"/>
      <c r="H81" s="2873" t="str">
        <f>MID(IF(General!X35="","",", "&amp;General!X35)&amp;IF(General!X37="","",", "&amp;General!X37)&amp;IF(General!X39="","",", "&amp;General!X39)&amp;IF(General!X41="","",", "&amp;General!X41)&amp;IF(General!X43="","",", "&amp;General!X43),3,1000)</f>
        <v>Bola de cristal</v>
      </c>
      <c r="I81" s="2873"/>
      <c r="J81" s="2873"/>
      <c r="K81" s="2873"/>
      <c r="L81" s="2873"/>
      <c r="M81" s="2873"/>
      <c r="N81" s="2873"/>
      <c r="O81" s="2873"/>
      <c r="P81" s="2873"/>
      <c r="Q81" s="2873"/>
      <c r="R81" s="2873"/>
      <c r="S81" s="2873"/>
      <c r="T81" s="2873"/>
      <c r="U81" s="2873"/>
      <c r="V81" s="2873"/>
      <c r="W81" s="2873"/>
      <c r="X81" s="2873"/>
      <c r="Y81" s="2873"/>
      <c r="Z81" s="2873"/>
      <c r="AA81" s="2873"/>
      <c r="AB81" s="2873"/>
      <c r="AC81" s="2873"/>
      <c r="AD81" s="2873"/>
      <c r="AE81" s="2873"/>
      <c r="AF81" s="2873"/>
      <c r="AG81" s="2873"/>
      <c r="AH81" s="2873"/>
      <c r="AI81" s="2873"/>
      <c r="AJ81" s="2128"/>
      <c r="AK81" s="708"/>
      <c r="AL81" s="25"/>
      <c r="AQ81" s="1986"/>
      <c r="AR81" s="1986"/>
    </row>
    <row r="82" spans="1:44" ht="2.25" customHeight="1" x14ac:dyDescent="0.2">
      <c r="A82" s="10"/>
      <c r="B82" s="918"/>
      <c r="C82" s="2115"/>
      <c r="D82" s="2103"/>
      <c r="E82" s="2103"/>
      <c r="F82" s="2103"/>
      <c r="G82" s="2113"/>
      <c r="H82" s="2113"/>
      <c r="I82" s="2113"/>
      <c r="J82" s="2113"/>
      <c r="K82" s="2113"/>
      <c r="L82" s="2113"/>
      <c r="M82" s="2113"/>
      <c r="N82" s="2113"/>
      <c r="O82" s="2113"/>
      <c r="P82" s="2113"/>
      <c r="Q82" s="2113"/>
      <c r="R82" s="2113"/>
      <c r="S82" s="2113"/>
      <c r="T82" s="2113"/>
      <c r="U82" s="2113"/>
      <c r="V82" s="2113"/>
      <c r="W82" s="2113"/>
      <c r="X82" s="2113"/>
      <c r="Y82" s="2113"/>
      <c r="Z82" s="2113"/>
      <c r="AA82" s="2113"/>
      <c r="AB82" s="2113"/>
      <c r="AC82" s="2113"/>
      <c r="AD82" s="2113"/>
      <c r="AE82" s="2113"/>
      <c r="AF82" s="2113"/>
      <c r="AG82" s="2113"/>
      <c r="AH82" s="2113"/>
      <c r="AI82" s="2113"/>
      <c r="AJ82" s="2128"/>
      <c r="AK82" s="708"/>
      <c r="AL82" s="25"/>
      <c r="AQ82" s="1986"/>
      <c r="AR82" s="1986"/>
    </row>
    <row r="83" spans="1:44" ht="1.5" customHeight="1" x14ac:dyDescent="0.2">
      <c r="A83" s="10"/>
      <c r="B83" s="919"/>
      <c r="C83" s="2120"/>
      <c r="D83" s="2842" t="s">
        <v>1905</v>
      </c>
      <c r="E83" s="2842"/>
      <c r="F83" s="2842"/>
      <c r="G83" s="2842"/>
      <c r="H83" s="2842"/>
      <c r="I83" s="2842"/>
      <c r="J83" s="2842"/>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2"/>
      <c r="AK83" s="708"/>
      <c r="AL83" s="24"/>
      <c r="AQ83" s="1986"/>
      <c r="AR83" s="1986"/>
    </row>
    <row r="84" spans="1:44" ht="12" customHeight="1" x14ac:dyDescent="0.2">
      <c r="A84" s="10"/>
      <c r="B84" s="918"/>
      <c r="C84" s="2115"/>
      <c r="D84" s="2842"/>
      <c r="E84" s="2842"/>
      <c r="F84" s="2842"/>
      <c r="G84" s="2842"/>
      <c r="H84" s="2842"/>
      <c r="I84" s="2842"/>
      <c r="J84" s="2842"/>
      <c r="K84" s="2838" t="str">
        <f>IFERROR(RIGHT(AQ87,LEN(AQ87)-2),"")</f>
        <v/>
      </c>
      <c r="L84" s="2838"/>
      <c r="M84" s="2838"/>
      <c r="N84" s="2838"/>
      <c r="O84" s="2838"/>
      <c r="P84" s="2838"/>
      <c r="Q84" s="2838"/>
      <c r="R84" s="2838"/>
      <c r="S84" s="2838"/>
      <c r="T84" s="2838"/>
      <c r="U84" s="2838"/>
      <c r="V84" s="2838"/>
      <c r="W84" s="2838"/>
      <c r="X84" s="2838"/>
      <c r="Y84" s="2838"/>
      <c r="Z84" s="2838"/>
      <c r="AA84" s="2838"/>
      <c r="AB84" s="2838"/>
      <c r="AC84" s="2838"/>
      <c r="AD84" s="2838"/>
      <c r="AE84" s="2838"/>
      <c r="AF84" s="2838"/>
      <c r="AG84" s="2838"/>
      <c r="AH84" s="2838"/>
      <c r="AI84" s="2838"/>
      <c r="AJ84" s="2128"/>
      <c r="AK84" s="708"/>
      <c r="AL84" s="25"/>
      <c r="AQ84" s="1986"/>
      <c r="AR84" s="1986"/>
    </row>
    <row r="85" spans="1:44" ht="12" customHeight="1" x14ac:dyDescent="0.2">
      <c r="A85" s="10"/>
      <c r="B85" s="918"/>
      <c r="C85" s="2115"/>
      <c r="D85" s="2108"/>
      <c r="E85" s="2105"/>
      <c r="F85" s="2105"/>
      <c r="G85" s="2105"/>
      <c r="H85" s="2642"/>
      <c r="I85" s="2642"/>
      <c r="J85" s="2105"/>
      <c r="K85" s="2838"/>
      <c r="L85" s="2838"/>
      <c r="M85" s="2838"/>
      <c r="N85" s="2838"/>
      <c r="O85" s="2838"/>
      <c r="P85" s="2838"/>
      <c r="Q85" s="2838"/>
      <c r="R85" s="2838"/>
      <c r="S85" s="2838"/>
      <c r="T85" s="2838"/>
      <c r="U85" s="2838"/>
      <c r="V85" s="2838"/>
      <c r="W85" s="2838"/>
      <c r="X85" s="2838"/>
      <c r="Y85" s="2838"/>
      <c r="Z85" s="2838"/>
      <c r="AA85" s="2838"/>
      <c r="AB85" s="2838"/>
      <c r="AC85" s="2838"/>
      <c r="AD85" s="2838"/>
      <c r="AE85" s="2838"/>
      <c r="AF85" s="2838"/>
      <c r="AG85" s="2838"/>
      <c r="AH85" s="2838"/>
      <c r="AI85" s="2838"/>
      <c r="AJ85" s="2128"/>
      <c r="AK85" s="708"/>
      <c r="AL85" s="25"/>
      <c r="AQ85" s="1986"/>
      <c r="AR85" s="1986"/>
    </row>
    <row r="86" spans="1:44" ht="1.5" customHeight="1" x14ac:dyDescent="0.2">
      <c r="A86" s="10"/>
      <c r="B86" s="919"/>
      <c r="C86" s="2120"/>
      <c r="D86" s="2842" t="s">
        <v>1906</v>
      </c>
      <c r="E86" s="2842"/>
      <c r="F86" s="2842"/>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2"/>
      <c r="AK86" s="708"/>
      <c r="AL86" s="24"/>
      <c r="AQ86" s="1986"/>
      <c r="AR86" s="1986"/>
    </row>
    <row r="87" spans="1:44" ht="12" customHeight="1" x14ac:dyDescent="0.2">
      <c r="A87" s="10"/>
      <c r="B87" s="918"/>
      <c r="C87" s="2115"/>
      <c r="D87" s="2842"/>
      <c r="E87" s="2842"/>
      <c r="F87" s="2842"/>
      <c r="G87" s="2838" t="str">
        <f>Tablas!J2045</f>
        <v/>
      </c>
      <c r="H87" s="2838"/>
      <c r="I87" s="2838"/>
      <c r="J87" s="2838"/>
      <c r="K87" s="2838"/>
      <c r="L87" s="2838"/>
      <c r="M87" s="2838"/>
      <c r="N87" s="2838"/>
      <c r="O87" s="2838"/>
      <c r="P87" s="2838"/>
      <c r="Q87" s="2838"/>
      <c r="R87" s="2838"/>
      <c r="S87" s="2838"/>
      <c r="T87" s="2838"/>
      <c r="U87" s="2838"/>
      <c r="V87" s="2838"/>
      <c r="W87" s="2838"/>
      <c r="X87" s="2838"/>
      <c r="Y87" s="2838"/>
      <c r="Z87" s="2838"/>
      <c r="AA87" s="2838"/>
      <c r="AB87" s="2838"/>
      <c r="AC87" s="2838"/>
      <c r="AD87" s="2838"/>
      <c r="AE87" s="2838"/>
      <c r="AF87" s="2838"/>
      <c r="AG87" s="2838"/>
      <c r="AH87" s="2838"/>
      <c r="AI87" s="2838"/>
      <c r="AJ87" s="2128"/>
      <c r="AK87" s="708"/>
      <c r="AL87" s="25"/>
      <c r="AQ87" s="1986"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86"/>
    </row>
    <row r="88" spans="1:44" ht="12" customHeight="1" x14ac:dyDescent="0.2">
      <c r="A88" s="10"/>
      <c r="B88" s="918"/>
      <c r="C88" s="2115"/>
      <c r="D88" s="2105"/>
      <c r="E88" s="2105"/>
      <c r="F88" s="2105"/>
      <c r="G88" s="2838"/>
      <c r="H88" s="2838"/>
      <c r="I88" s="2838"/>
      <c r="J88" s="2838"/>
      <c r="K88" s="2838"/>
      <c r="L88" s="2838"/>
      <c r="M88" s="2838"/>
      <c r="N88" s="2838"/>
      <c r="O88" s="2838"/>
      <c r="P88" s="2838"/>
      <c r="Q88" s="2838"/>
      <c r="R88" s="2838"/>
      <c r="S88" s="2838"/>
      <c r="T88" s="2838"/>
      <c r="U88" s="2838"/>
      <c r="V88" s="2838"/>
      <c r="W88" s="2838"/>
      <c r="X88" s="2838"/>
      <c r="Y88" s="2838"/>
      <c r="Z88" s="2838"/>
      <c r="AA88" s="2838"/>
      <c r="AB88" s="2838"/>
      <c r="AC88" s="2838"/>
      <c r="AD88" s="2838"/>
      <c r="AE88" s="2838"/>
      <c r="AF88" s="2838"/>
      <c r="AG88" s="2838"/>
      <c r="AH88" s="2838"/>
      <c r="AI88" s="2838"/>
      <c r="AJ88" s="2128"/>
      <c r="AK88" s="708"/>
      <c r="AL88" s="25"/>
      <c r="AQ88" s="1986"/>
      <c r="AR88" s="1986"/>
    </row>
    <row r="89" spans="1:44" ht="12" customHeight="1" x14ac:dyDescent="0.2">
      <c r="A89" s="10"/>
      <c r="B89" s="918"/>
      <c r="C89" s="2115"/>
      <c r="D89" s="2105"/>
      <c r="E89" s="2105"/>
      <c r="F89" s="2105"/>
      <c r="G89" s="2838"/>
      <c r="H89" s="2838"/>
      <c r="I89" s="2838"/>
      <c r="J89" s="2838"/>
      <c r="K89" s="2838"/>
      <c r="L89" s="2838"/>
      <c r="M89" s="2838"/>
      <c r="N89" s="2838"/>
      <c r="O89" s="2838"/>
      <c r="P89" s="2838"/>
      <c r="Q89" s="2838"/>
      <c r="R89" s="2838"/>
      <c r="S89" s="2838"/>
      <c r="T89" s="2838"/>
      <c r="U89" s="2838"/>
      <c r="V89" s="2838"/>
      <c r="W89" s="2838"/>
      <c r="X89" s="2838"/>
      <c r="Y89" s="2838"/>
      <c r="Z89" s="2838"/>
      <c r="AA89" s="2838"/>
      <c r="AB89" s="2838"/>
      <c r="AC89" s="2838"/>
      <c r="AD89" s="2838"/>
      <c r="AE89" s="2838"/>
      <c r="AF89" s="2838"/>
      <c r="AG89" s="2838"/>
      <c r="AH89" s="2838"/>
      <c r="AI89" s="2838"/>
      <c r="AJ89" s="2128"/>
      <c r="AK89" s="708"/>
      <c r="AL89" s="25"/>
      <c r="AQ89" s="1986"/>
      <c r="AR89" s="1986"/>
    </row>
    <row r="90" spans="1:44" ht="12" customHeight="1" x14ac:dyDescent="0.2">
      <c r="A90" s="10"/>
      <c r="B90" s="918"/>
      <c r="C90" s="2115"/>
      <c r="D90" s="2110"/>
      <c r="E90" s="2110"/>
      <c r="F90" s="2110"/>
      <c r="G90" s="2839"/>
      <c r="H90" s="2839"/>
      <c r="I90" s="2839"/>
      <c r="J90" s="2839"/>
      <c r="K90" s="2839"/>
      <c r="L90" s="2839"/>
      <c r="M90" s="2839"/>
      <c r="N90" s="2839"/>
      <c r="O90" s="2839"/>
      <c r="P90" s="2839"/>
      <c r="Q90" s="2839"/>
      <c r="R90" s="2839"/>
      <c r="S90" s="2839"/>
      <c r="T90" s="2839"/>
      <c r="U90" s="2839"/>
      <c r="V90" s="2839"/>
      <c r="W90" s="2839"/>
      <c r="X90" s="2839"/>
      <c r="Y90" s="2839"/>
      <c r="Z90" s="2839"/>
      <c r="AA90" s="2839"/>
      <c r="AB90" s="2839"/>
      <c r="AC90" s="2839"/>
      <c r="AD90" s="2839"/>
      <c r="AE90" s="2839"/>
      <c r="AF90" s="2839"/>
      <c r="AG90" s="2839"/>
      <c r="AH90" s="2839"/>
      <c r="AI90" s="2839"/>
      <c r="AJ90" s="2128"/>
      <c r="AK90" s="708"/>
      <c r="AL90" s="25"/>
      <c r="AQ90" s="1986"/>
      <c r="AR90" s="1986"/>
    </row>
    <row r="91" spans="1:44" ht="2.25" customHeight="1" x14ac:dyDescent="0.2">
      <c r="A91" s="10"/>
      <c r="B91" s="918"/>
      <c r="C91" s="2115"/>
      <c r="D91" s="2105"/>
      <c r="E91" s="2105"/>
      <c r="F91" s="2105"/>
      <c r="G91" s="2102"/>
      <c r="H91" s="2102"/>
      <c r="I91" s="2102"/>
      <c r="J91" s="2102"/>
      <c r="K91" s="2102"/>
      <c r="L91" s="2102"/>
      <c r="M91" s="2102"/>
      <c r="N91" s="2102"/>
      <c r="O91" s="2102"/>
      <c r="P91" s="2102"/>
      <c r="Q91" s="2102"/>
      <c r="R91" s="2102"/>
      <c r="S91" s="2102"/>
      <c r="T91" s="2102"/>
      <c r="U91" s="2102"/>
      <c r="V91" s="2102"/>
      <c r="W91" s="2102"/>
      <c r="X91" s="2102"/>
      <c r="Y91" s="2102"/>
      <c r="Z91" s="2102"/>
      <c r="AA91" s="2102"/>
      <c r="AB91" s="2102"/>
      <c r="AC91" s="2102"/>
      <c r="AD91" s="2102"/>
      <c r="AE91" s="2102"/>
      <c r="AF91" s="2102"/>
      <c r="AG91" s="2102"/>
      <c r="AH91" s="2102"/>
      <c r="AI91" s="2102"/>
      <c r="AJ91" s="2128"/>
      <c r="AK91" s="708"/>
      <c r="AL91" s="25"/>
      <c r="AQ91" s="1986"/>
      <c r="AR91" s="1986"/>
    </row>
    <row r="92" spans="1:44" ht="1.5" customHeight="1" x14ac:dyDescent="0.2">
      <c r="A92" s="10"/>
      <c r="B92" s="919"/>
      <c r="C92" s="2120"/>
      <c r="D92" s="2845" t="s">
        <v>1369</v>
      </c>
      <c r="E92" s="2845"/>
      <c r="F92" s="2845"/>
      <c r="G92" s="1076"/>
      <c r="H92" s="1076"/>
      <c r="I92" s="1076"/>
      <c r="J92" s="1076"/>
      <c r="K92" s="1076"/>
      <c r="L92" s="2844" t="s">
        <v>1908</v>
      </c>
      <c r="M92" s="2844"/>
      <c r="N92" s="2844"/>
      <c r="O92" s="2844"/>
      <c r="P92" s="2844"/>
      <c r="Q92" s="2844"/>
      <c r="R92" s="2844"/>
      <c r="S92" s="1076"/>
      <c r="T92" s="1076"/>
      <c r="U92" s="1076"/>
      <c r="V92" s="1076"/>
      <c r="W92" s="1076"/>
      <c r="X92" s="1076"/>
      <c r="Y92" s="1076"/>
      <c r="Z92" s="1076"/>
      <c r="AA92" s="1076"/>
      <c r="AB92" s="1076"/>
      <c r="AC92" s="1076"/>
      <c r="AD92" s="1076"/>
      <c r="AE92" s="1076"/>
      <c r="AF92" s="1076"/>
      <c r="AG92" s="1076"/>
      <c r="AH92" s="1076"/>
      <c r="AI92" s="1076"/>
      <c r="AJ92" s="2122"/>
      <c r="AK92" s="708"/>
      <c r="AL92" s="24"/>
      <c r="AQ92" s="1986"/>
      <c r="AR92" s="1986"/>
    </row>
    <row r="93" spans="1:44" ht="12" customHeight="1" x14ac:dyDescent="0.2">
      <c r="A93" s="10"/>
      <c r="B93" s="918"/>
      <c r="C93" s="2115"/>
      <c r="D93" s="2845"/>
      <c r="E93" s="2845"/>
      <c r="F93" s="2845"/>
      <c r="G93" s="2837" t="str">
        <f>Tamaño&amp;", "&amp;Principal!L6</f>
        <v>10, Medio</v>
      </c>
      <c r="H93" s="2837"/>
      <c r="I93" s="2837"/>
      <c r="J93" s="2837"/>
      <c r="K93" s="2837"/>
      <c r="L93" s="2844"/>
      <c r="M93" s="2844"/>
      <c r="N93" s="2844"/>
      <c r="O93" s="2844"/>
      <c r="P93" s="2844"/>
      <c r="Q93" s="2844"/>
      <c r="R93" s="2844"/>
      <c r="S93" s="2877" t="str">
        <f>Tablas!T65</f>
        <v>10 (35 m / asalto)</v>
      </c>
      <c r="T93" s="2877"/>
      <c r="U93" s="2877"/>
      <c r="V93" s="2877"/>
      <c r="W93" s="2877"/>
      <c r="X93" s="2877"/>
      <c r="Y93" s="2877"/>
      <c r="Z93" s="2877"/>
      <c r="AA93" s="2877"/>
      <c r="AB93" s="2877"/>
      <c r="AC93" s="2877"/>
      <c r="AD93" s="2877"/>
      <c r="AE93" s="2877"/>
      <c r="AF93" s="2877"/>
      <c r="AG93" s="2877"/>
      <c r="AH93" s="2877"/>
      <c r="AI93" s="2877"/>
      <c r="AJ93" s="2125"/>
      <c r="AK93" s="708"/>
      <c r="AL93" s="25"/>
      <c r="AQ93" s="1986"/>
      <c r="AR93" s="1986"/>
    </row>
    <row r="94" spans="1:44" ht="1.5" customHeight="1" x14ac:dyDescent="0.2">
      <c r="A94" s="10"/>
      <c r="B94" s="919"/>
      <c r="C94" s="2120"/>
      <c r="D94" s="1076"/>
      <c r="E94" s="1076"/>
      <c r="F94" s="1076"/>
      <c r="G94" s="1076"/>
      <c r="H94" s="1076"/>
      <c r="I94" s="1076"/>
      <c r="J94" s="1076"/>
      <c r="K94" s="1076"/>
      <c r="L94" s="2844" t="s">
        <v>1907</v>
      </c>
      <c r="M94" s="2844"/>
      <c r="N94" s="2844"/>
      <c r="O94" s="2844"/>
      <c r="P94" s="2844"/>
      <c r="Q94" s="1076"/>
      <c r="R94" s="1076"/>
      <c r="S94" s="1076"/>
      <c r="T94" s="1076"/>
      <c r="U94" s="1076"/>
      <c r="V94" s="1076"/>
      <c r="W94" s="1076"/>
      <c r="X94" s="1076"/>
      <c r="Y94" s="1076"/>
      <c r="Z94" s="1076"/>
      <c r="AA94" s="1076"/>
      <c r="AB94" s="1076"/>
      <c r="AC94" s="1076"/>
      <c r="AD94" s="1076"/>
      <c r="AE94" s="1076"/>
      <c r="AF94" s="1076"/>
      <c r="AG94" s="1076"/>
      <c r="AH94" s="1076"/>
      <c r="AI94" s="1076"/>
      <c r="AJ94" s="2122"/>
      <c r="AK94" s="708"/>
      <c r="AL94" s="24"/>
      <c r="AQ94" s="1986"/>
      <c r="AR94" s="1986"/>
    </row>
    <row r="95" spans="1:44" ht="13.5" customHeight="1" x14ac:dyDescent="0.2">
      <c r="A95" s="10"/>
      <c r="B95" s="918"/>
      <c r="C95" s="2115"/>
      <c r="D95" s="2469" t="s">
        <v>1909</v>
      </c>
      <c r="E95" s="2110"/>
      <c r="F95" s="2110"/>
      <c r="G95" s="2110"/>
      <c r="H95" s="2881">
        <f>IF(Cansancio=0,"Incansable",Cansancio)</f>
        <v>5</v>
      </c>
      <c r="I95" s="2881"/>
      <c r="J95" s="2881"/>
      <c r="K95" s="2881"/>
      <c r="L95" s="2870"/>
      <c r="M95" s="2870"/>
      <c r="N95" s="2870"/>
      <c r="O95" s="2870"/>
      <c r="P95" s="2870"/>
      <c r="Q95" s="2871" t="str">
        <f>Regeneración&amp;IF(Regeneración=0," Ninguna"," ("&amp;Principal!K11&amp;" y pen: "&amp;Principal!K12&amp;")")</f>
        <v>1 (10 PV / día y pen: -5 al día)</v>
      </c>
      <c r="R95" s="2871"/>
      <c r="S95" s="2871"/>
      <c r="T95" s="2871"/>
      <c r="U95" s="2871"/>
      <c r="V95" s="2871"/>
      <c r="W95" s="2871"/>
      <c r="X95" s="2871"/>
      <c r="Y95" s="2871"/>
      <c r="Z95" s="2871"/>
      <c r="AA95" s="2469"/>
      <c r="AB95" s="2469"/>
      <c r="AC95" s="2469"/>
      <c r="AD95" s="2469"/>
      <c r="AE95" s="2469"/>
      <c r="AF95" s="2689" t="s">
        <v>1432</v>
      </c>
      <c r="AG95" s="2688" t="str">
        <f>"  "&amp;Principal!J32</f>
        <v xml:space="preserve">  3</v>
      </c>
      <c r="AH95" s="2688"/>
      <c r="AI95" s="2688"/>
      <c r="AJ95" s="2125"/>
      <c r="AK95" s="708"/>
      <c r="AL95" s="25"/>
      <c r="AQ95" s="1986"/>
      <c r="AR95" s="1986"/>
    </row>
    <row r="96" spans="1:44" ht="2.25" customHeight="1" thickBot="1" x14ac:dyDescent="0.25">
      <c r="A96" s="10"/>
      <c r="B96" s="542"/>
      <c r="C96" s="2126"/>
      <c r="D96" s="2105"/>
      <c r="E96" s="2105"/>
      <c r="F96" s="2105"/>
      <c r="G96" s="2105"/>
      <c r="H96" s="2105"/>
      <c r="I96" s="2102"/>
      <c r="J96" s="2102"/>
      <c r="K96" s="2102"/>
      <c r="L96" s="2102"/>
      <c r="M96" s="2102"/>
      <c r="N96" s="2102"/>
      <c r="O96" s="2102"/>
      <c r="P96" s="2102"/>
      <c r="Q96" s="2102"/>
      <c r="R96" s="2102"/>
      <c r="S96" s="2102"/>
      <c r="T96" s="2102"/>
      <c r="U96" s="2102"/>
      <c r="V96" s="2102"/>
      <c r="W96" s="2102"/>
      <c r="X96" s="2102"/>
      <c r="Y96" s="2102"/>
      <c r="Z96" s="2102"/>
      <c r="AA96" s="2102"/>
      <c r="AB96" s="2102"/>
      <c r="AC96" s="2102"/>
      <c r="AD96" s="2102"/>
      <c r="AE96" s="2102"/>
      <c r="AF96" s="2102"/>
      <c r="AG96" s="2102"/>
      <c r="AH96" s="2102"/>
      <c r="AI96" s="2102"/>
      <c r="AJ96" s="2128"/>
      <c r="AK96" s="708"/>
      <c r="AL96" s="25"/>
      <c r="AN96" s="650"/>
      <c r="AO96" s="650"/>
      <c r="AP96" s="650"/>
      <c r="AQ96" s="1986"/>
      <c r="AR96" s="1986"/>
    </row>
    <row r="97" spans="1:44" ht="12" customHeight="1" x14ac:dyDescent="0.2">
      <c r="A97" s="10"/>
      <c r="B97" s="918"/>
      <c r="C97" s="2115"/>
      <c r="D97" s="2108" t="s">
        <v>1910</v>
      </c>
      <c r="E97" s="2108"/>
      <c r="F97" s="2108"/>
      <c r="G97" s="2108"/>
      <c r="H97" s="2108"/>
      <c r="I97" s="2108"/>
      <c r="J97" s="2108"/>
      <c r="K97" s="2108"/>
      <c r="L97" s="2108"/>
      <c r="M97" s="2103"/>
      <c r="N97" s="2105"/>
      <c r="O97" s="2105"/>
      <c r="P97" s="2105"/>
      <c r="Q97" s="2105"/>
      <c r="R97" s="2105"/>
      <c r="S97" s="2105"/>
      <c r="T97" s="2105"/>
      <c r="U97" s="2105"/>
      <c r="V97" s="2105"/>
      <c r="W97" s="2105"/>
      <c r="X97" s="2105"/>
      <c r="Y97" s="2105"/>
      <c r="Z97" s="2105"/>
      <c r="AA97" s="2105"/>
      <c r="AB97" s="2105"/>
      <c r="AC97" s="2105"/>
      <c r="AD97" s="2105"/>
      <c r="AE97" s="2105"/>
      <c r="AF97" s="2105"/>
      <c r="AG97" s="2105"/>
      <c r="AH97" s="2105"/>
      <c r="AI97" s="2105"/>
      <c r="AJ97" s="2125"/>
      <c r="AK97" s="708"/>
      <c r="AL97" s="25"/>
      <c r="AN97" s="2847" t="s">
        <v>9893</v>
      </c>
      <c r="AO97" s="2848"/>
      <c r="AP97" s="2849"/>
      <c r="AQ97" s="1986"/>
      <c r="AR97" s="1986"/>
    </row>
    <row r="98" spans="1:44" ht="12" customHeight="1" x14ac:dyDescent="0.2">
      <c r="A98" s="10"/>
      <c r="B98" s="918"/>
      <c r="C98" s="2115"/>
      <c r="D98" s="2838" t="str">
        <f>IF(AN99=AQ100,Tablas!N1985,Tablas!K1985)</f>
        <v>Prueba 25</v>
      </c>
      <c r="E98" s="2838"/>
      <c r="F98" s="2838"/>
      <c r="G98" s="2838"/>
      <c r="H98" s="2838"/>
      <c r="I98" s="2838"/>
      <c r="J98" s="2838"/>
      <c r="K98" s="2838"/>
      <c r="L98" s="2838"/>
      <c r="M98" s="2838"/>
      <c r="N98" s="2838"/>
      <c r="O98" s="2838"/>
      <c r="P98" s="2838"/>
      <c r="Q98" s="2838"/>
      <c r="R98" s="2838"/>
      <c r="S98" s="2838"/>
      <c r="T98" s="2838"/>
      <c r="U98" s="2838"/>
      <c r="V98" s="2838"/>
      <c r="W98" s="2838"/>
      <c r="X98" s="2838"/>
      <c r="Y98" s="2838"/>
      <c r="Z98" s="2838"/>
      <c r="AA98" s="2838"/>
      <c r="AB98" s="2838"/>
      <c r="AC98" s="2838"/>
      <c r="AD98" s="2838"/>
      <c r="AE98" s="2838"/>
      <c r="AF98" s="2838"/>
      <c r="AG98" s="2838"/>
      <c r="AH98" s="2838"/>
      <c r="AI98" s="2838"/>
      <c r="AJ98" s="2128"/>
      <c r="AK98" s="708"/>
      <c r="AL98" s="25"/>
      <c r="AN98" s="2850"/>
      <c r="AO98" s="2851"/>
      <c r="AP98" s="2852"/>
      <c r="AQ98" s="1986"/>
      <c r="AR98" s="1986"/>
    </row>
    <row r="99" spans="1:44" ht="12" customHeight="1" x14ac:dyDescent="0.2">
      <c r="A99" s="10"/>
      <c r="B99" s="918"/>
      <c r="C99" s="2115"/>
      <c r="D99" s="2838"/>
      <c r="E99" s="2838"/>
      <c r="F99" s="2838"/>
      <c r="G99" s="2838"/>
      <c r="H99" s="2838"/>
      <c r="I99" s="2838"/>
      <c r="J99" s="2838"/>
      <c r="K99" s="2838"/>
      <c r="L99" s="2838"/>
      <c r="M99" s="2838"/>
      <c r="N99" s="2838"/>
      <c r="O99" s="2838"/>
      <c r="P99" s="2838"/>
      <c r="Q99" s="2838"/>
      <c r="R99" s="2838"/>
      <c r="S99" s="2838"/>
      <c r="T99" s="2838"/>
      <c r="U99" s="2838"/>
      <c r="V99" s="2838"/>
      <c r="W99" s="2838"/>
      <c r="X99" s="2838"/>
      <c r="Y99" s="2838"/>
      <c r="Z99" s="2838"/>
      <c r="AA99" s="2838"/>
      <c r="AB99" s="2838"/>
      <c r="AC99" s="2838"/>
      <c r="AD99" s="2838"/>
      <c r="AE99" s="2838"/>
      <c r="AF99" s="2838"/>
      <c r="AG99" s="2838"/>
      <c r="AH99" s="2838"/>
      <c r="AI99" s="2838"/>
      <c r="AJ99" s="2128"/>
      <c r="AK99" s="708"/>
      <c r="AL99" s="25"/>
      <c r="AN99" s="2874" t="s">
        <v>9892</v>
      </c>
      <c r="AO99" s="2875"/>
      <c r="AP99" s="2876"/>
      <c r="AQ99" s="2757" t="s">
        <v>9891</v>
      </c>
      <c r="AR99" s="1986"/>
    </row>
    <row r="100" spans="1:44" ht="12" customHeight="1" thickBot="1" x14ac:dyDescent="0.25">
      <c r="A100" s="10"/>
      <c r="B100" s="918"/>
      <c r="C100" s="2115"/>
      <c r="D100" s="2838"/>
      <c r="E100" s="2838"/>
      <c r="F100" s="2838"/>
      <c r="G100" s="2838"/>
      <c r="H100" s="2838"/>
      <c r="I100" s="2838"/>
      <c r="J100" s="2838"/>
      <c r="K100" s="2838"/>
      <c r="L100" s="2838"/>
      <c r="M100" s="2838"/>
      <c r="N100" s="2838"/>
      <c r="O100" s="2838"/>
      <c r="P100" s="2838"/>
      <c r="Q100" s="2838"/>
      <c r="R100" s="2838"/>
      <c r="S100" s="2838"/>
      <c r="T100" s="2838"/>
      <c r="U100" s="2838"/>
      <c r="V100" s="2838"/>
      <c r="W100" s="2838"/>
      <c r="X100" s="2838"/>
      <c r="Y100" s="2838"/>
      <c r="Z100" s="2838"/>
      <c r="AA100" s="2838"/>
      <c r="AB100" s="2838"/>
      <c r="AC100" s="2838"/>
      <c r="AD100" s="2838"/>
      <c r="AE100" s="2838"/>
      <c r="AF100" s="2838"/>
      <c r="AG100" s="2838"/>
      <c r="AH100" s="2838"/>
      <c r="AI100" s="2838"/>
      <c r="AJ100" s="2128"/>
      <c r="AK100" s="708"/>
      <c r="AL100" s="25"/>
      <c r="AN100" s="2867"/>
      <c r="AO100" s="2868"/>
      <c r="AP100" s="2869"/>
      <c r="AQ100" s="2007" t="s">
        <v>9892</v>
      </c>
      <c r="AR100" s="1986"/>
    </row>
    <row r="101" spans="1:44" ht="12" customHeight="1" x14ac:dyDescent="0.2">
      <c r="A101" s="10"/>
      <c r="B101" s="918"/>
      <c r="C101" s="2115"/>
      <c r="D101" s="2838"/>
      <c r="E101" s="2838"/>
      <c r="F101" s="2838"/>
      <c r="G101" s="2838"/>
      <c r="H101" s="2838"/>
      <c r="I101" s="2838"/>
      <c r="J101" s="2838"/>
      <c r="K101" s="2838"/>
      <c r="L101" s="2838"/>
      <c r="M101" s="2838"/>
      <c r="N101" s="2838"/>
      <c r="O101" s="2838"/>
      <c r="P101" s="2838"/>
      <c r="Q101" s="2838"/>
      <c r="R101" s="2838"/>
      <c r="S101" s="2838"/>
      <c r="T101" s="2838"/>
      <c r="U101" s="2838"/>
      <c r="V101" s="2838"/>
      <c r="W101" s="2838"/>
      <c r="X101" s="2838"/>
      <c r="Y101" s="2838"/>
      <c r="Z101" s="2838"/>
      <c r="AA101" s="2838"/>
      <c r="AB101" s="2838"/>
      <c r="AC101" s="2838"/>
      <c r="AD101" s="2838"/>
      <c r="AE101" s="2838"/>
      <c r="AF101" s="2838"/>
      <c r="AG101" s="2838"/>
      <c r="AH101" s="2838"/>
      <c r="AI101" s="2838"/>
      <c r="AJ101" s="2128"/>
      <c r="AK101" s="708"/>
      <c r="AL101" s="25"/>
      <c r="AQ101" s="1986"/>
      <c r="AR101" s="1986"/>
    </row>
    <row r="102" spans="1:44" ht="12" customHeight="1" x14ac:dyDescent="0.2">
      <c r="A102" s="10"/>
      <c r="B102" s="918"/>
      <c r="C102" s="2115"/>
      <c r="D102" s="2838"/>
      <c r="E102" s="2838"/>
      <c r="F102" s="2838"/>
      <c r="G102" s="2838"/>
      <c r="H102" s="2838"/>
      <c r="I102" s="2838"/>
      <c r="J102" s="2838"/>
      <c r="K102" s="2838"/>
      <c r="L102" s="2838"/>
      <c r="M102" s="2838"/>
      <c r="N102" s="2838"/>
      <c r="O102" s="2838"/>
      <c r="P102" s="2838"/>
      <c r="Q102" s="2838"/>
      <c r="R102" s="2838"/>
      <c r="S102" s="2838"/>
      <c r="T102" s="2838"/>
      <c r="U102" s="2838"/>
      <c r="V102" s="2838"/>
      <c r="W102" s="2838"/>
      <c r="X102" s="2838"/>
      <c r="Y102" s="2838"/>
      <c r="Z102" s="2838"/>
      <c r="AA102" s="2838"/>
      <c r="AB102" s="2838"/>
      <c r="AC102" s="2838"/>
      <c r="AD102" s="2838"/>
      <c r="AE102" s="2838"/>
      <c r="AF102" s="2838"/>
      <c r="AG102" s="2838"/>
      <c r="AH102" s="2838"/>
      <c r="AI102" s="2838"/>
      <c r="AJ102" s="2128"/>
      <c r="AK102" s="708"/>
      <c r="AL102" s="25"/>
      <c r="AQ102" s="1986"/>
      <c r="AR102" s="1986"/>
    </row>
    <row r="103" spans="1:44" ht="12" customHeight="1" x14ac:dyDescent="0.2">
      <c r="A103" s="10"/>
      <c r="B103" s="918"/>
      <c r="C103" s="2116"/>
      <c r="D103" s="2878"/>
      <c r="E103" s="2878"/>
      <c r="F103" s="2878"/>
      <c r="G103" s="2878"/>
      <c r="H103" s="2878"/>
      <c r="I103" s="2878"/>
      <c r="J103" s="2878"/>
      <c r="K103" s="2878"/>
      <c r="L103" s="2878"/>
      <c r="M103" s="2878"/>
      <c r="N103" s="2878"/>
      <c r="O103" s="2878"/>
      <c r="P103" s="2878"/>
      <c r="Q103" s="2878"/>
      <c r="R103" s="2878"/>
      <c r="S103" s="2878"/>
      <c r="T103" s="2878"/>
      <c r="U103" s="2878"/>
      <c r="V103" s="2878"/>
      <c r="W103" s="2878"/>
      <c r="X103" s="2878"/>
      <c r="Y103" s="2878"/>
      <c r="Z103" s="2878"/>
      <c r="AA103" s="2878"/>
      <c r="AB103" s="2878"/>
      <c r="AC103" s="2878"/>
      <c r="AD103" s="2878"/>
      <c r="AE103" s="2878"/>
      <c r="AF103" s="2878"/>
      <c r="AG103" s="2878"/>
      <c r="AH103" s="2878"/>
      <c r="AI103" s="2878"/>
      <c r="AJ103" s="2130"/>
      <c r="AK103" s="708"/>
      <c r="AL103" s="25"/>
      <c r="AQ103" s="1986"/>
      <c r="AR103" s="1986"/>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1986"/>
      <c r="AR104" s="1986"/>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4"/>
      <c r="AJ105" s="1076"/>
      <c r="AK105" s="2323" t="s">
        <v>9941</v>
      </c>
      <c r="AL105" s="25"/>
      <c r="AQ105" s="1986"/>
      <c r="AR105" s="1986"/>
    </row>
    <row r="106" spans="1:44" ht="12" customHeight="1" thickBot="1" x14ac:dyDescent="0.25">
      <c r="A106" s="1063"/>
      <c r="B106" s="2724"/>
      <c r="C106" s="2724"/>
      <c r="D106" s="2724"/>
      <c r="E106" s="2724"/>
      <c r="F106" s="2724"/>
      <c r="G106" s="2724"/>
      <c r="H106" s="2724"/>
      <c r="I106" s="2724"/>
      <c r="J106" s="2724"/>
      <c r="K106" s="2724"/>
      <c r="L106" s="2724"/>
      <c r="M106" s="2724"/>
      <c r="N106" s="2724"/>
      <c r="O106" s="2724"/>
      <c r="P106" s="2724"/>
      <c r="Q106" s="2724"/>
      <c r="R106" s="2724"/>
      <c r="S106" s="2724"/>
      <c r="T106" s="2724"/>
      <c r="U106" s="2724"/>
      <c r="V106" s="2724"/>
      <c r="W106" s="2724"/>
      <c r="X106" s="2724"/>
      <c r="Y106" s="2724"/>
      <c r="Z106" s="2724"/>
      <c r="AA106" s="2724"/>
      <c r="AB106" s="2724"/>
      <c r="AC106" s="2724"/>
      <c r="AD106" s="2724"/>
      <c r="AE106" s="2724"/>
      <c r="AF106" s="2724"/>
      <c r="AG106" s="2724"/>
      <c r="AH106" s="2724"/>
      <c r="AI106" s="2724"/>
      <c r="AJ106" s="2724"/>
      <c r="AK106" s="2723"/>
      <c r="AL106" s="2389"/>
    </row>
    <row r="107" spans="1:44" ht="11.25" customHeight="1" x14ac:dyDescent="0.2">
      <c r="A107" s="2721"/>
      <c r="B107" s="2678"/>
      <c r="C107" s="2482"/>
      <c r="D107" s="2482"/>
      <c r="E107" s="2482"/>
      <c r="F107" s="2482"/>
      <c r="G107" s="2482"/>
      <c r="H107" s="2482"/>
      <c r="I107" s="2482"/>
      <c r="J107" s="2482"/>
      <c r="K107" s="2482"/>
      <c r="L107" s="2482"/>
      <c r="M107" s="2482"/>
      <c r="N107" s="2482"/>
      <c r="O107" s="2482"/>
      <c r="P107" s="2482"/>
      <c r="Q107" s="2482"/>
      <c r="R107" s="2482"/>
      <c r="S107" s="2482"/>
      <c r="T107" s="2482"/>
      <c r="U107" s="2482"/>
      <c r="V107" s="2482"/>
      <c r="W107" s="2482"/>
      <c r="X107" s="2482"/>
      <c r="Y107" s="2482"/>
      <c r="Z107" s="2482"/>
      <c r="AA107" s="2482"/>
      <c r="AB107" s="2482"/>
      <c r="AC107" s="2482"/>
      <c r="AD107" s="2482"/>
      <c r="AE107" s="2482"/>
      <c r="AF107" s="2482"/>
      <c r="AG107" s="2482"/>
      <c r="AH107" s="2482"/>
      <c r="AI107" s="2482"/>
      <c r="AJ107" s="2482"/>
      <c r="AK107" s="2483"/>
      <c r="AL107" s="2389"/>
    </row>
    <row r="108" spans="1:44" ht="4.5" customHeight="1" x14ac:dyDescent="0.2">
      <c r="A108" s="2721"/>
      <c r="B108" s="2679"/>
      <c r="C108" s="2114"/>
      <c r="D108" s="2820"/>
      <c r="E108" s="2820"/>
      <c r="F108" s="2820"/>
      <c r="G108" s="2820"/>
      <c r="H108" s="2820"/>
      <c r="I108" s="2820"/>
      <c r="J108" s="2820"/>
      <c r="K108" s="2820"/>
      <c r="L108" s="2820"/>
      <c r="M108" s="2820"/>
      <c r="N108" s="2820"/>
      <c r="O108" s="2820"/>
      <c r="P108" s="2820"/>
      <c r="Q108" s="2820"/>
      <c r="R108" s="2820"/>
      <c r="S108" s="2820"/>
      <c r="T108" s="2820"/>
      <c r="U108" s="2820"/>
      <c r="V108" s="2820"/>
      <c r="W108" s="2820"/>
      <c r="X108" s="2820"/>
      <c r="Y108" s="2820"/>
      <c r="Z108" s="2820"/>
      <c r="AA108" s="2820"/>
      <c r="AB108" s="2820"/>
      <c r="AC108" s="2820"/>
      <c r="AD108" s="2820"/>
      <c r="AE108" s="2820"/>
      <c r="AF108" s="2820"/>
      <c r="AG108" s="2820"/>
      <c r="AH108" s="2820"/>
      <c r="AI108" s="2820"/>
      <c r="AJ108" s="2821"/>
      <c r="AK108" s="2098"/>
      <c r="AL108" s="2096"/>
    </row>
    <row r="109" spans="1:44" ht="12.75" customHeight="1" x14ac:dyDescent="0.2">
      <c r="A109" s="2721"/>
      <c r="B109" s="2679"/>
      <c r="C109" s="2115"/>
      <c r="D109" s="2725"/>
      <c r="E109" s="2882" t="s">
        <v>9899</v>
      </c>
      <c r="F109" s="2882"/>
      <c r="G109" s="2882"/>
      <c r="H109" s="2882"/>
      <c r="I109" s="2882"/>
      <c r="J109" s="2882"/>
      <c r="K109" s="2882"/>
      <c r="L109" s="2882"/>
      <c r="M109" s="2882"/>
      <c r="N109" s="2882"/>
      <c r="O109" s="2882"/>
      <c r="P109" s="2882"/>
      <c r="Q109" s="2882"/>
      <c r="R109" s="2882"/>
      <c r="S109" s="2882"/>
      <c r="T109" s="2882"/>
      <c r="U109" s="2882"/>
      <c r="V109" s="2882"/>
      <c r="W109" s="2882"/>
      <c r="X109" s="2882"/>
      <c r="Y109" s="2882"/>
      <c r="Z109" s="2882"/>
      <c r="AA109" s="2882"/>
      <c r="AB109" s="2882"/>
      <c r="AC109" s="2882"/>
      <c r="AD109" s="2882"/>
      <c r="AE109" s="2882"/>
      <c r="AF109" s="2882"/>
      <c r="AG109" s="2882"/>
      <c r="AH109" s="2882"/>
      <c r="AI109" s="2725"/>
      <c r="AJ109" s="2822"/>
      <c r="AK109" s="2098"/>
      <c r="AL109" s="2096"/>
    </row>
    <row r="110" spans="1:44" ht="12.75" customHeight="1" x14ac:dyDescent="0.2">
      <c r="A110" s="2721"/>
      <c r="B110" s="2679"/>
      <c r="C110" s="2115"/>
      <c r="D110" s="2727"/>
      <c r="E110" s="2882"/>
      <c r="F110" s="2882"/>
      <c r="G110" s="2882"/>
      <c r="H110" s="2882"/>
      <c r="I110" s="2882"/>
      <c r="J110" s="2882"/>
      <c r="K110" s="2882"/>
      <c r="L110" s="2882"/>
      <c r="M110" s="2882"/>
      <c r="N110" s="2882"/>
      <c r="O110" s="2882"/>
      <c r="P110" s="2882"/>
      <c r="Q110" s="2882"/>
      <c r="R110" s="2882"/>
      <c r="S110" s="2882"/>
      <c r="T110" s="2882"/>
      <c r="U110" s="2882"/>
      <c r="V110" s="2882"/>
      <c r="W110" s="2882"/>
      <c r="X110" s="2882"/>
      <c r="Y110" s="2882"/>
      <c r="Z110" s="2882"/>
      <c r="AA110" s="2882"/>
      <c r="AB110" s="2882"/>
      <c r="AC110" s="2882"/>
      <c r="AD110" s="2882"/>
      <c r="AE110" s="2882"/>
      <c r="AF110" s="2882"/>
      <c r="AG110" s="2882"/>
      <c r="AH110" s="2882"/>
      <c r="AI110" s="2726"/>
      <c r="AJ110" s="2822"/>
      <c r="AK110" s="2098"/>
      <c r="AL110" s="2096"/>
    </row>
    <row r="111" spans="1:44" ht="11.45" customHeight="1" x14ac:dyDescent="0.2">
      <c r="A111" s="2721"/>
      <c r="B111" s="2679"/>
      <c r="C111" s="2115"/>
      <c r="D111" s="2879"/>
      <c r="E111" s="2879"/>
      <c r="F111" s="2879"/>
      <c r="G111" s="2879"/>
      <c r="H111" s="2879"/>
      <c r="I111" s="2879"/>
      <c r="J111" s="2879"/>
      <c r="K111" s="2879"/>
      <c r="L111" s="2879"/>
      <c r="M111" s="2879"/>
      <c r="N111" s="2879"/>
      <c r="O111" s="2879"/>
      <c r="P111" s="2879"/>
      <c r="Q111" s="2879"/>
      <c r="R111" s="2879"/>
      <c r="S111" s="2879"/>
      <c r="T111" s="2879"/>
      <c r="U111" s="2879"/>
      <c r="V111" s="2879"/>
      <c r="W111" s="2879"/>
      <c r="X111" s="2879"/>
      <c r="Y111" s="2879"/>
      <c r="Z111" s="2879"/>
      <c r="AA111" s="2879"/>
      <c r="AB111" s="2879"/>
      <c r="AC111" s="2879"/>
      <c r="AD111" s="2879"/>
      <c r="AE111" s="2879"/>
      <c r="AF111" s="2879"/>
      <c r="AG111" s="2879"/>
      <c r="AH111" s="2879"/>
      <c r="AI111" s="2879"/>
      <c r="AJ111" s="2822"/>
      <c r="AK111" s="2098"/>
      <c r="AL111" s="2096"/>
      <c r="AN111" s="2880"/>
      <c r="AO111" s="2880"/>
      <c r="AP111" s="2880"/>
    </row>
    <row r="112" spans="1:44" ht="11.45" customHeight="1" x14ac:dyDescent="0.2">
      <c r="A112" s="2721"/>
      <c r="B112" s="2679"/>
      <c r="C112" s="2115"/>
      <c r="D112" s="2879"/>
      <c r="E112" s="2879"/>
      <c r="F112" s="2879"/>
      <c r="G112" s="2879"/>
      <c r="H112" s="2879"/>
      <c r="I112" s="2879"/>
      <c r="J112" s="2879"/>
      <c r="K112" s="2879"/>
      <c r="L112" s="2879"/>
      <c r="M112" s="2879"/>
      <c r="N112" s="2879"/>
      <c r="O112" s="2879"/>
      <c r="P112" s="2879"/>
      <c r="Q112" s="2879"/>
      <c r="R112" s="2879"/>
      <c r="S112" s="2879"/>
      <c r="T112" s="2879"/>
      <c r="U112" s="2879"/>
      <c r="V112" s="2879"/>
      <c r="W112" s="2879"/>
      <c r="X112" s="2879"/>
      <c r="Y112" s="2879"/>
      <c r="Z112" s="2879"/>
      <c r="AA112" s="2879"/>
      <c r="AB112" s="2879"/>
      <c r="AC112" s="2879"/>
      <c r="AD112" s="2879"/>
      <c r="AE112" s="2879"/>
      <c r="AF112" s="2879"/>
      <c r="AG112" s="2879"/>
      <c r="AH112" s="2879"/>
      <c r="AI112" s="2879"/>
      <c r="AJ112" s="2822"/>
      <c r="AK112" s="2098"/>
      <c r="AL112" s="2096"/>
    </row>
    <row r="113" spans="1:38" ht="11.45" customHeight="1" x14ac:dyDescent="0.2">
      <c r="A113" s="2721"/>
      <c r="B113" s="2679"/>
      <c r="C113" s="2115"/>
      <c r="D113" s="2879"/>
      <c r="E113" s="2879"/>
      <c r="F113" s="2879"/>
      <c r="G113" s="2879"/>
      <c r="H113" s="2879"/>
      <c r="I113" s="2879"/>
      <c r="J113" s="2879"/>
      <c r="K113" s="2879"/>
      <c r="L113" s="2879"/>
      <c r="M113" s="2879"/>
      <c r="N113" s="2879"/>
      <c r="O113" s="2879"/>
      <c r="P113" s="2879"/>
      <c r="Q113" s="2879"/>
      <c r="R113" s="2879"/>
      <c r="S113" s="2879"/>
      <c r="T113" s="2879"/>
      <c r="U113" s="2879"/>
      <c r="V113" s="2879"/>
      <c r="W113" s="2879"/>
      <c r="X113" s="2879"/>
      <c r="Y113" s="2879"/>
      <c r="Z113" s="2879"/>
      <c r="AA113" s="2879"/>
      <c r="AB113" s="2879"/>
      <c r="AC113" s="2879"/>
      <c r="AD113" s="2879"/>
      <c r="AE113" s="2879"/>
      <c r="AF113" s="2879"/>
      <c r="AG113" s="2879"/>
      <c r="AH113" s="2879"/>
      <c r="AI113" s="2879"/>
      <c r="AJ113" s="2822"/>
      <c r="AK113" s="2098"/>
      <c r="AL113" s="2096"/>
    </row>
    <row r="114" spans="1:38" ht="11.45" customHeight="1" x14ac:dyDescent="0.2">
      <c r="A114" s="2721"/>
      <c r="B114" s="2679"/>
      <c r="C114" s="2115"/>
      <c r="D114" s="2879"/>
      <c r="E114" s="2879"/>
      <c r="F114" s="2879"/>
      <c r="G114" s="2879"/>
      <c r="H114" s="2879"/>
      <c r="I114" s="2879"/>
      <c r="J114" s="2879"/>
      <c r="K114" s="2879"/>
      <c r="L114" s="2879"/>
      <c r="M114" s="2879"/>
      <c r="N114" s="2879"/>
      <c r="O114" s="2879"/>
      <c r="P114" s="2879"/>
      <c r="Q114" s="2879"/>
      <c r="R114" s="2879"/>
      <c r="S114" s="2879"/>
      <c r="T114" s="2879"/>
      <c r="U114" s="2879"/>
      <c r="V114" s="2879"/>
      <c r="W114" s="2879"/>
      <c r="X114" s="2879"/>
      <c r="Y114" s="2879"/>
      <c r="Z114" s="2879"/>
      <c r="AA114" s="2879"/>
      <c r="AB114" s="2879"/>
      <c r="AC114" s="2879"/>
      <c r="AD114" s="2879"/>
      <c r="AE114" s="2879"/>
      <c r="AF114" s="2879"/>
      <c r="AG114" s="2879"/>
      <c r="AH114" s="2879"/>
      <c r="AI114" s="2879"/>
      <c r="AJ114" s="2822"/>
      <c r="AK114" s="2099"/>
      <c r="AL114" s="2104"/>
    </row>
    <row r="115" spans="1:38" ht="11.45" customHeight="1" x14ac:dyDescent="0.2">
      <c r="A115" s="2721"/>
      <c r="B115" s="2679"/>
      <c r="C115" s="2115"/>
      <c r="D115" s="2879"/>
      <c r="E115" s="2879"/>
      <c r="F115" s="2879"/>
      <c r="G115" s="2879"/>
      <c r="H115" s="2879"/>
      <c r="I115" s="2879"/>
      <c r="J115" s="2879"/>
      <c r="K115" s="2879"/>
      <c r="L115" s="2879"/>
      <c r="M115" s="2879"/>
      <c r="N115" s="2879"/>
      <c r="O115" s="2879"/>
      <c r="P115" s="2879"/>
      <c r="Q115" s="2879"/>
      <c r="R115" s="2879"/>
      <c r="S115" s="2879"/>
      <c r="T115" s="2879"/>
      <c r="U115" s="2879"/>
      <c r="V115" s="2879"/>
      <c r="W115" s="2879"/>
      <c r="X115" s="2879"/>
      <c r="Y115" s="2879"/>
      <c r="Z115" s="2879"/>
      <c r="AA115" s="2879"/>
      <c r="AB115" s="2879"/>
      <c r="AC115" s="2879"/>
      <c r="AD115" s="2879"/>
      <c r="AE115" s="2879"/>
      <c r="AF115" s="2879"/>
      <c r="AG115" s="2879"/>
      <c r="AH115" s="2879"/>
      <c r="AI115" s="2879"/>
      <c r="AJ115" s="2822"/>
      <c r="AK115" s="2099"/>
      <c r="AL115" s="2104"/>
    </row>
    <row r="116" spans="1:38" ht="11.45" customHeight="1" x14ac:dyDescent="0.2">
      <c r="A116" s="2721"/>
      <c r="B116" s="2679"/>
      <c r="C116" s="2120"/>
      <c r="D116" s="2879"/>
      <c r="E116" s="2879"/>
      <c r="F116" s="2879"/>
      <c r="G116" s="2879"/>
      <c r="H116" s="2879"/>
      <c r="I116" s="2879"/>
      <c r="J116" s="2879"/>
      <c r="K116" s="2879"/>
      <c r="L116" s="2879"/>
      <c r="M116" s="2879"/>
      <c r="N116" s="2879"/>
      <c r="O116" s="2879"/>
      <c r="P116" s="2879"/>
      <c r="Q116" s="2879"/>
      <c r="R116" s="2879"/>
      <c r="S116" s="2879"/>
      <c r="T116" s="2879"/>
      <c r="U116" s="2879"/>
      <c r="V116" s="2879"/>
      <c r="W116" s="2879"/>
      <c r="X116" s="2879"/>
      <c r="Y116" s="2879"/>
      <c r="Z116" s="2879"/>
      <c r="AA116" s="2879"/>
      <c r="AB116" s="2879"/>
      <c r="AC116" s="2879"/>
      <c r="AD116" s="2879"/>
      <c r="AE116" s="2879"/>
      <c r="AF116" s="2879"/>
      <c r="AG116" s="2879"/>
      <c r="AH116" s="2879"/>
      <c r="AI116" s="2879"/>
      <c r="AJ116" s="2822"/>
      <c r="AK116" s="2099"/>
      <c r="AL116" s="2104"/>
    </row>
    <row r="117" spans="1:38" ht="11.45" customHeight="1" x14ac:dyDescent="0.2">
      <c r="A117" s="2721"/>
      <c r="B117" s="2679"/>
      <c r="C117" s="2120"/>
      <c r="D117" s="2879"/>
      <c r="E117" s="2879"/>
      <c r="F117" s="2879"/>
      <c r="G117" s="2879"/>
      <c r="H117" s="2879"/>
      <c r="I117" s="2879"/>
      <c r="J117" s="2879"/>
      <c r="K117" s="2879"/>
      <c r="L117" s="2879"/>
      <c r="M117" s="2879"/>
      <c r="N117" s="2879"/>
      <c r="O117" s="2879"/>
      <c r="P117" s="2879"/>
      <c r="Q117" s="2879"/>
      <c r="R117" s="2879"/>
      <c r="S117" s="2879"/>
      <c r="T117" s="2879"/>
      <c r="U117" s="2879"/>
      <c r="V117" s="2879"/>
      <c r="W117" s="2879"/>
      <c r="X117" s="2879"/>
      <c r="Y117" s="2879"/>
      <c r="Z117" s="2879"/>
      <c r="AA117" s="2879"/>
      <c r="AB117" s="2879"/>
      <c r="AC117" s="2879"/>
      <c r="AD117" s="2879"/>
      <c r="AE117" s="2879"/>
      <c r="AF117" s="2879"/>
      <c r="AG117" s="2879"/>
      <c r="AH117" s="2879"/>
      <c r="AI117" s="2879"/>
      <c r="AJ117" s="2822"/>
      <c r="AK117" s="2099"/>
      <c r="AL117" s="2104"/>
    </row>
    <row r="118" spans="1:38" ht="11.45" customHeight="1" x14ac:dyDescent="0.2">
      <c r="A118" s="2721"/>
      <c r="B118" s="2679"/>
      <c r="C118" s="2120"/>
      <c r="D118" s="2879"/>
      <c r="E118" s="2879"/>
      <c r="F118" s="2879"/>
      <c r="G118" s="2879"/>
      <c r="H118" s="2879"/>
      <c r="I118" s="2879"/>
      <c r="J118" s="2879"/>
      <c r="K118" s="2879"/>
      <c r="L118" s="2879"/>
      <c r="M118" s="2879"/>
      <c r="N118" s="2879"/>
      <c r="O118" s="2879"/>
      <c r="P118" s="2879"/>
      <c r="Q118" s="2879"/>
      <c r="R118" s="2879"/>
      <c r="S118" s="2879"/>
      <c r="T118" s="2879"/>
      <c r="U118" s="2879"/>
      <c r="V118" s="2879"/>
      <c r="W118" s="2879"/>
      <c r="X118" s="2879"/>
      <c r="Y118" s="2879"/>
      <c r="Z118" s="2879"/>
      <c r="AA118" s="2879"/>
      <c r="AB118" s="2879"/>
      <c r="AC118" s="2879"/>
      <c r="AD118" s="2879"/>
      <c r="AE118" s="2879"/>
      <c r="AF118" s="2879"/>
      <c r="AG118" s="2879"/>
      <c r="AH118" s="2879"/>
      <c r="AI118" s="2879"/>
      <c r="AJ118" s="2822"/>
      <c r="AK118" s="2099"/>
      <c r="AL118" s="2104"/>
    </row>
    <row r="119" spans="1:38" ht="11.45" customHeight="1" x14ac:dyDescent="0.2">
      <c r="A119" s="2721"/>
      <c r="B119" s="2679"/>
      <c r="C119" s="2120"/>
      <c r="D119" s="2879"/>
      <c r="E119" s="2879"/>
      <c r="F119" s="2879"/>
      <c r="G119" s="2879"/>
      <c r="H119" s="2879"/>
      <c r="I119" s="2879"/>
      <c r="J119" s="2879"/>
      <c r="K119" s="2879"/>
      <c r="L119" s="2879"/>
      <c r="M119" s="2879"/>
      <c r="N119" s="2879"/>
      <c r="O119" s="2879"/>
      <c r="P119" s="2879"/>
      <c r="Q119" s="2879"/>
      <c r="R119" s="2879"/>
      <c r="S119" s="2879"/>
      <c r="T119" s="2879"/>
      <c r="U119" s="2879"/>
      <c r="V119" s="2879"/>
      <c r="W119" s="2879"/>
      <c r="X119" s="2879"/>
      <c r="Y119" s="2879"/>
      <c r="Z119" s="2879"/>
      <c r="AA119" s="2879"/>
      <c r="AB119" s="2879"/>
      <c r="AC119" s="2879"/>
      <c r="AD119" s="2879"/>
      <c r="AE119" s="2879"/>
      <c r="AF119" s="2879"/>
      <c r="AG119" s="2879"/>
      <c r="AH119" s="2879"/>
      <c r="AI119" s="2879"/>
      <c r="AJ119" s="2822"/>
      <c r="AK119" s="2099"/>
      <c r="AL119" s="2104"/>
    </row>
    <row r="120" spans="1:38" ht="11.45" customHeight="1" x14ac:dyDescent="0.2">
      <c r="A120" s="2721"/>
      <c r="B120" s="2679"/>
      <c r="C120" s="2120"/>
      <c r="D120" s="2879"/>
      <c r="E120" s="2879"/>
      <c r="F120" s="2879"/>
      <c r="G120" s="2879"/>
      <c r="H120" s="2879"/>
      <c r="I120" s="2879"/>
      <c r="J120" s="2879"/>
      <c r="K120" s="2879"/>
      <c r="L120" s="2879"/>
      <c r="M120" s="2879"/>
      <c r="N120" s="2879"/>
      <c r="O120" s="2879"/>
      <c r="P120" s="2879"/>
      <c r="Q120" s="2879"/>
      <c r="R120" s="2879"/>
      <c r="S120" s="2879"/>
      <c r="T120" s="2879"/>
      <c r="U120" s="2879"/>
      <c r="V120" s="2879"/>
      <c r="W120" s="2879"/>
      <c r="X120" s="2879"/>
      <c r="Y120" s="2879"/>
      <c r="Z120" s="2879"/>
      <c r="AA120" s="2879"/>
      <c r="AB120" s="2879"/>
      <c r="AC120" s="2879"/>
      <c r="AD120" s="2879"/>
      <c r="AE120" s="2879"/>
      <c r="AF120" s="2879"/>
      <c r="AG120" s="2879"/>
      <c r="AH120" s="2879"/>
      <c r="AI120" s="2879"/>
      <c r="AJ120" s="2822"/>
      <c r="AK120" s="2099"/>
      <c r="AL120" s="2104"/>
    </row>
    <row r="121" spans="1:38" ht="11.45" customHeight="1" x14ac:dyDescent="0.2">
      <c r="A121" s="2721"/>
      <c r="B121" s="2679"/>
      <c r="C121" s="2120"/>
      <c r="D121" s="2879"/>
      <c r="E121" s="2879"/>
      <c r="F121" s="2879"/>
      <c r="G121" s="2879"/>
      <c r="H121" s="2879"/>
      <c r="I121" s="2879"/>
      <c r="J121" s="2879"/>
      <c r="K121" s="2879"/>
      <c r="L121" s="2879"/>
      <c r="M121" s="2879"/>
      <c r="N121" s="2879"/>
      <c r="O121" s="2879"/>
      <c r="P121" s="2879"/>
      <c r="Q121" s="2879"/>
      <c r="R121" s="2879"/>
      <c r="S121" s="2879"/>
      <c r="T121" s="2879"/>
      <c r="U121" s="2879"/>
      <c r="V121" s="2879"/>
      <c r="W121" s="2879"/>
      <c r="X121" s="2879"/>
      <c r="Y121" s="2879"/>
      <c r="Z121" s="2879"/>
      <c r="AA121" s="2879"/>
      <c r="AB121" s="2879"/>
      <c r="AC121" s="2879"/>
      <c r="AD121" s="2879"/>
      <c r="AE121" s="2879"/>
      <c r="AF121" s="2879"/>
      <c r="AG121" s="2879"/>
      <c r="AH121" s="2879"/>
      <c r="AI121" s="2879"/>
      <c r="AJ121" s="2823"/>
      <c r="AK121" s="2099"/>
      <c r="AL121" s="2104"/>
    </row>
    <row r="122" spans="1:38" ht="11.45" customHeight="1" x14ac:dyDescent="0.2">
      <c r="A122" s="2721"/>
      <c r="B122" s="2679"/>
      <c r="C122" s="2115"/>
      <c r="D122" s="2879"/>
      <c r="E122" s="2879"/>
      <c r="F122" s="2879"/>
      <c r="G122" s="2879"/>
      <c r="H122" s="2879"/>
      <c r="I122" s="2879"/>
      <c r="J122" s="2879"/>
      <c r="K122" s="2879"/>
      <c r="L122" s="2879"/>
      <c r="M122" s="2879"/>
      <c r="N122" s="2879"/>
      <c r="O122" s="2879"/>
      <c r="P122" s="2879"/>
      <c r="Q122" s="2879"/>
      <c r="R122" s="2879"/>
      <c r="S122" s="2879"/>
      <c r="T122" s="2879"/>
      <c r="U122" s="2879"/>
      <c r="V122" s="2879"/>
      <c r="W122" s="2879"/>
      <c r="X122" s="2879"/>
      <c r="Y122" s="2879"/>
      <c r="Z122" s="2879"/>
      <c r="AA122" s="2879"/>
      <c r="AB122" s="2879"/>
      <c r="AC122" s="2879"/>
      <c r="AD122" s="2879"/>
      <c r="AE122" s="2879"/>
      <c r="AF122" s="2879"/>
      <c r="AG122" s="2879"/>
      <c r="AH122" s="2879"/>
      <c r="AI122" s="2879"/>
      <c r="AJ122" s="2823"/>
      <c r="AK122" s="2099"/>
      <c r="AL122" s="2104"/>
    </row>
    <row r="123" spans="1:38" ht="11.45" customHeight="1" x14ac:dyDescent="0.2">
      <c r="A123" s="2720"/>
      <c r="B123" s="2687"/>
      <c r="C123" s="2824"/>
      <c r="D123" s="2879"/>
      <c r="E123" s="2879"/>
      <c r="F123" s="2879"/>
      <c r="G123" s="2879"/>
      <c r="H123" s="2879"/>
      <c r="I123" s="2879"/>
      <c r="J123" s="2879"/>
      <c r="K123" s="2879"/>
      <c r="L123" s="2879"/>
      <c r="M123" s="2879"/>
      <c r="N123" s="2879"/>
      <c r="O123" s="2879"/>
      <c r="P123" s="2879"/>
      <c r="Q123" s="2879"/>
      <c r="R123" s="2879"/>
      <c r="S123" s="2879"/>
      <c r="T123" s="2879"/>
      <c r="U123" s="2879"/>
      <c r="V123" s="2879"/>
      <c r="W123" s="2879"/>
      <c r="X123" s="2879"/>
      <c r="Y123" s="2879"/>
      <c r="Z123" s="2879"/>
      <c r="AA123" s="2879"/>
      <c r="AB123" s="2879"/>
      <c r="AC123" s="2879"/>
      <c r="AD123" s="2879"/>
      <c r="AE123" s="2879"/>
      <c r="AF123" s="2879"/>
      <c r="AG123" s="2879"/>
      <c r="AH123" s="2879"/>
      <c r="AI123" s="2879"/>
      <c r="AJ123" s="2825"/>
      <c r="AK123" s="1579"/>
      <c r="AL123" s="1076"/>
    </row>
    <row r="124" spans="1:38" ht="11.45" customHeight="1" x14ac:dyDescent="0.2">
      <c r="A124" s="2721"/>
      <c r="B124" s="2679"/>
      <c r="C124" s="2120"/>
      <c r="D124" s="2879"/>
      <c r="E124" s="2879"/>
      <c r="F124" s="2879"/>
      <c r="G124" s="2879"/>
      <c r="H124" s="2879"/>
      <c r="I124" s="2879"/>
      <c r="J124" s="2879"/>
      <c r="K124" s="2879"/>
      <c r="L124" s="2879"/>
      <c r="M124" s="2879"/>
      <c r="N124" s="2879"/>
      <c r="O124" s="2879"/>
      <c r="P124" s="2879"/>
      <c r="Q124" s="2879"/>
      <c r="R124" s="2879"/>
      <c r="S124" s="2879"/>
      <c r="T124" s="2879"/>
      <c r="U124" s="2879"/>
      <c r="V124" s="2879"/>
      <c r="W124" s="2879"/>
      <c r="X124" s="2879"/>
      <c r="Y124" s="2879"/>
      <c r="Z124" s="2879"/>
      <c r="AA124" s="2879"/>
      <c r="AB124" s="2879"/>
      <c r="AC124" s="2879"/>
      <c r="AD124" s="2879"/>
      <c r="AE124" s="2879"/>
      <c r="AF124" s="2879"/>
      <c r="AG124" s="2879"/>
      <c r="AH124" s="2879"/>
      <c r="AI124" s="2879"/>
      <c r="AJ124" s="2826"/>
      <c r="AK124" s="2099"/>
      <c r="AL124" s="2104"/>
    </row>
    <row r="125" spans="1:38" ht="11.45" customHeight="1" x14ac:dyDescent="0.2">
      <c r="A125" s="2721"/>
      <c r="B125" s="2679"/>
      <c r="C125" s="2120"/>
      <c r="D125" s="2879"/>
      <c r="E125" s="2879"/>
      <c r="F125" s="2879"/>
      <c r="G125" s="2879"/>
      <c r="H125" s="2879"/>
      <c r="I125" s="2879"/>
      <c r="J125" s="2879"/>
      <c r="K125" s="2879"/>
      <c r="L125" s="2879"/>
      <c r="M125" s="2879"/>
      <c r="N125" s="2879"/>
      <c r="O125" s="2879"/>
      <c r="P125" s="2879"/>
      <c r="Q125" s="2879"/>
      <c r="R125" s="2879"/>
      <c r="S125" s="2879"/>
      <c r="T125" s="2879"/>
      <c r="U125" s="2879"/>
      <c r="V125" s="2879"/>
      <c r="W125" s="2879"/>
      <c r="X125" s="2879"/>
      <c r="Y125" s="2879"/>
      <c r="Z125" s="2879"/>
      <c r="AA125" s="2879"/>
      <c r="AB125" s="2879"/>
      <c r="AC125" s="2879"/>
      <c r="AD125" s="2879"/>
      <c r="AE125" s="2879"/>
      <c r="AF125" s="2879"/>
      <c r="AG125" s="2879"/>
      <c r="AH125" s="2879"/>
      <c r="AI125" s="2879"/>
      <c r="AJ125" s="2826"/>
      <c r="AK125" s="2099"/>
      <c r="AL125" s="2104"/>
    </row>
    <row r="126" spans="1:38" ht="11.45" customHeight="1" x14ac:dyDescent="0.2">
      <c r="A126" s="2720"/>
      <c r="B126" s="2687"/>
      <c r="C126" s="2824"/>
      <c r="D126" s="2879"/>
      <c r="E126" s="2879"/>
      <c r="F126" s="2879"/>
      <c r="G126" s="2879"/>
      <c r="H126" s="2879"/>
      <c r="I126" s="2879"/>
      <c r="J126" s="2879"/>
      <c r="K126" s="2879"/>
      <c r="L126" s="2879"/>
      <c r="M126" s="2879"/>
      <c r="N126" s="2879"/>
      <c r="O126" s="2879"/>
      <c r="P126" s="2879"/>
      <c r="Q126" s="2879"/>
      <c r="R126" s="2879"/>
      <c r="S126" s="2879"/>
      <c r="T126" s="2879"/>
      <c r="U126" s="2879"/>
      <c r="V126" s="2879"/>
      <c r="W126" s="2879"/>
      <c r="X126" s="2879"/>
      <c r="Y126" s="2879"/>
      <c r="Z126" s="2879"/>
      <c r="AA126" s="2879"/>
      <c r="AB126" s="2879"/>
      <c r="AC126" s="2879"/>
      <c r="AD126" s="2879"/>
      <c r="AE126" s="2879"/>
      <c r="AF126" s="2879"/>
      <c r="AG126" s="2879"/>
      <c r="AH126" s="2879"/>
      <c r="AI126" s="2879"/>
      <c r="AJ126" s="2825"/>
      <c r="AK126" s="1579"/>
      <c r="AL126" s="1076"/>
    </row>
    <row r="127" spans="1:38" ht="11.45" customHeight="1" x14ac:dyDescent="0.2">
      <c r="A127" s="2721"/>
      <c r="B127" s="2679"/>
      <c r="C127" s="2120"/>
      <c r="D127" s="2879"/>
      <c r="E127" s="2879"/>
      <c r="F127" s="2879"/>
      <c r="G127" s="2879"/>
      <c r="H127" s="2879"/>
      <c r="I127" s="2879"/>
      <c r="J127" s="2879"/>
      <c r="K127" s="2879"/>
      <c r="L127" s="2879"/>
      <c r="M127" s="2879"/>
      <c r="N127" s="2879"/>
      <c r="O127" s="2879"/>
      <c r="P127" s="2879"/>
      <c r="Q127" s="2879"/>
      <c r="R127" s="2879"/>
      <c r="S127" s="2879"/>
      <c r="T127" s="2879"/>
      <c r="U127" s="2879"/>
      <c r="V127" s="2879"/>
      <c r="W127" s="2879"/>
      <c r="X127" s="2879"/>
      <c r="Y127" s="2879"/>
      <c r="Z127" s="2879"/>
      <c r="AA127" s="2879"/>
      <c r="AB127" s="2879"/>
      <c r="AC127" s="2879"/>
      <c r="AD127" s="2879"/>
      <c r="AE127" s="2879"/>
      <c r="AF127" s="2879"/>
      <c r="AG127" s="2879"/>
      <c r="AH127" s="2879"/>
      <c r="AI127" s="2879"/>
      <c r="AJ127" s="2827"/>
      <c r="AK127" s="2099"/>
      <c r="AL127" s="2104"/>
    </row>
    <row r="128" spans="1:38" ht="11.45" customHeight="1" x14ac:dyDescent="0.2">
      <c r="A128" s="2721"/>
      <c r="B128" s="2679"/>
      <c r="C128" s="2120"/>
      <c r="D128" s="2879"/>
      <c r="E128" s="2879"/>
      <c r="F128" s="2879"/>
      <c r="G128" s="2879"/>
      <c r="H128" s="2879"/>
      <c r="I128" s="2879"/>
      <c r="J128" s="2879"/>
      <c r="K128" s="2879"/>
      <c r="L128" s="2879"/>
      <c r="M128" s="2879"/>
      <c r="N128" s="2879"/>
      <c r="O128" s="2879"/>
      <c r="P128" s="2879"/>
      <c r="Q128" s="2879"/>
      <c r="R128" s="2879"/>
      <c r="S128" s="2879"/>
      <c r="T128" s="2879"/>
      <c r="U128" s="2879"/>
      <c r="V128" s="2879"/>
      <c r="W128" s="2879"/>
      <c r="X128" s="2879"/>
      <c r="Y128" s="2879"/>
      <c r="Z128" s="2879"/>
      <c r="AA128" s="2879"/>
      <c r="AB128" s="2879"/>
      <c r="AC128" s="2879"/>
      <c r="AD128" s="2879"/>
      <c r="AE128" s="2879"/>
      <c r="AF128" s="2879"/>
      <c r="AG128" s="2879"/>
      <c r="AH128" s="2879"/>
      <c r="AI128" s="2879"/>
      <c r="AJ128" s="2827"/>
      <c r="AK128" s="2099"/>
      <c r="AL128" s="2104"/>
    </row>
    <row r="129" spans="1:38" ht="11.45" customHeight="1" x14ac:dyDescent="0.2">
      <c r="A129" s="2720"/>
      <c r="B129" s="2687"/>
      <c r="C129" s="2824"/>
      <c r="D129" s="2879"/>
      <c r="E129" s="2879"/>
      <c r="F129" s="2879"/>
      <c r="G129" s="2879"/>
      <c r="H129" s="2879"/>
      <c r="I129" s="2879"/>
      <c r="J129" s="2879"/>
      <c r="K129" s="2879"/>
      <c r="L129" s="2879"/>
      <c r="M129" s="2879"/>
      <c r="N129" s="2879"/>
      <c r="O129" s="2879"/>
      <c r="P129" s="2879"/>
      <c r="Q129" s="2879"/>
      <c r="R129" s="2879"/>
      <c r="S129" s="2879"/>
      <c r="T129" s="2879"/>
      <c r="U129" s="2879"/>
      <c r="V129" s="2879"/>
      <c r="W129" s="2879"/>
      <c r="X129" s="2879"/>
      <c r="Y129" s="2879"/>
      <c r="Z129" s="2879"/>
      <c r="AA129" s="2879"/>
      <c r="AB129" s="2879"/>
      <c r="AC129" s="2879"/>
      <c r="AD129" s="2879"/>
      <c r="AE129" s="2879"/>
      <c r="AF129" s="2879"/>
      <c r="AG129" s="2879"/>
      <c r="AH129" s="2879"/>
      <c r="AI129" s="2879"/>
      <c r="AJ129" s="2825"/>
      <c r="AK129" s="1579"/>
      <c r="AL129" s="1076"/>
    </row>
    <row r="130" spans="1:38" ht="11.45" customHeight="1" x14ac:dyDescent="0.2">
      <c r="A130" s="2721"/>
      <c r="B130" s="2679"/>
      <c r="C130" s="2115"/>
      <c r="D130" s="2879"/>
      <c r="E130" s="2879"/>
      <c r="F130" s="2879"/>
      <c r="G130" s="2879"/>
      <c r="H130" s="2879"/>
      <c r="I130" s="2879"/>
      <c r="J130" s="2879"/>
      <c r="K130" s="2879"/>
      <c r="L130" s="2879"/>
      <c r="M130" s="2879"/>
      <c r="N130" s="2879"/>
      <c r="O130" s="2879"/>
      <c r="P130" s="2879"/>
      <c r="Q130" s="2879"/>
      <c r="R130" s="2879"/>
      <c r="S130" s="2879"/>
      <c r="T130" s="2879"/>
      <c r="U130" s="2879"/>
      <c r="V130" s="2879"/>
      <c r="W130" s="2879"/>
      <c r="X130" s="2879"/>
      <c r="Y130" s="2879"/>
      <c r="Z130" s="2879"/>
      <c r="AA130" s="2879"/>
      <c r="AB130" s="2879"/>
      <c r="AC130" s="2879"/>
      <c r="AD130" s="2879"/>
      <c r="AE130" s="2879"/>
      <c r="AF130" s="2879"/>
      <c r="AG130" s="2879"/>
      <c r="AH130" s="2879"/>
      <c r="AI130" s="2879"/>
      <c r="AJ130" s="2827"/>
      <c r="AK130" s="2099"/>
      <c r="AL130" s="2104"/>
    </row>
    <row r="131" spans="1:38" ht="11.45" customHeight="1" x14ac:dyDescent="0.2">
      <c r="A131" s="2721"/>
      <c r="B131" s="2679"/>
      <c r="C131" s="2115"/>
      <c r="D131" s="2879"/>
      <c r="E131" s="2879"/>
      <c r="F131" s="2879"/>
      <c r="G131" s="2879"/>
      <c r="H131" s="2879"/>
      <c r="I131" s="2879"/>
      <c r="J131" s="2879"/>
      <c r="K131" s="2879"/>
      <c r="L131" s="2879"/>
      <c r="M131" s="2879"/>
      <c r="N131" s="2879"/>
      <c r="O131" s="2879"/>
      <c r="P131" s="2879"/>
      <c r="Q131" s="2879"/>
      <c r="R131" s="2879"/>
      <c r="S131" s="2879"/>
      <c r="T131" s="2879"/>
      <c r="U131" s="2879"/>
      <c r="V131" s="2879"/>
      <c r="W131" s="2879"/>
      <c r="X131" s="2879"/>
      <c r="Y131" s="2879"/>
      <c r="Z131" s="2879"/>
      <c r="AA131" s="2879"/>
      <c r="AB131" s="2879"/>
      <c r="AC131" s="2879"/>
      <c r="AD131" s="2879"/>
      <c r="AE131" s="2879"/>
      <c r="AF131" s="2879"/>
      <c r="AG131" s="2879"/>
      <c r="AH131" s="2879"/>
      <c r="AI131" s="2879"/>
      <c r="AJ131" s="2827"/>
      <c r="AK131" s="2099"/>
      <c r="AL131" s="2104"/>
    </row>
    <row r="132" spans="1:38" ht="11.45" customHeight="1" x14ac:dyDescent="0.2">
      <c r="A132" s="2720"/>
      <c r="B132" s="2687"/>
      <c r="C132" s="2824"/>
      <c r="D132" s="2879"/>
      <c r="E132" s="2879"/>
      <c r="F132" s="2879"/>
      <c r="G132" s="2879"/>
      <c r="H132" s="2879"/>
      <c r="I132" s="2879"/>
      <c r="J132" s="2879"/>
      <c r="K132" s="2879"/>
      <c r="L132" s="2879"/>
      <c r="M132" s="2879"/>
      <c r="N132" s="2879"/>
      <c r="O132" s="2879"/>
      <c r="P132" s="2879"/>
      <c r="Q132" s="2879"/>
      <c r="R132" s="2879"/>
      <c r="S132" s="2879"/>
      <c r="T132" s="2879"/>
      <c r="U132" s="2879"/>
      <c r="V132" s="2879"/>
      <c r="W132" s="2879"/>
      <c r="X132" s="2879"/>
      <c r="Y132" s="2879"/>
      <c r="Z132" s="2879"/>
      <c r="AA132" s="2879"/>
      <c r="AB132" s="2879"/>
      <c r="AC132" s="2879"/>
      <c r="AD132" s="2879"/>
      <c r="AE132" s="2879"/>
      <c r="AF132" s="2879"/>
      <c r="AG132" s="2879"/>
      <c r="AH132" s="2879"/>
      <c r="AI132" s="2879"/>
      <c r="AJ132" s="2825"/>
      <c r="AK132" s="1579"/>
      <c r="AL132" s="1076"/>
    </row>
    <row r="133" spans="1:38" ht="11.45" customHeight="1" x14ac:dyDescent="0.2">
      <c r="A133" s="2721"/>
      <c r="B133" s="2679"/>
      <c r="C133" s="2115"/>
      <c r="D133" s="2879"/>
      <c r="E133" s="2879"/>
      <c r="F133" s="2879"/>
      <c r="G133" s="2879"/>
      <c r="H133" s="2879"/>
      <c r="I133" s="2879"/>
      <c r="J133" s="2879"/>
      <c r="K133" s="2879"/>
      <c r="L133" s="2879"/>
      <c r="M133" s="2879"/>
      <c r="N133" s="2879"/>
      <c r="O133" s="2879"/>
      <c r="P133" s="2879"/>
      <c r="Q133" s="2879"/>
      <c r="R133" s="2879"/>
      <c r="S133" s="2879"/>
      <c r="T133" s="2879"/>
      <c r="U133" s="2879"/>
      <c r="V133" s="2879"/>
      <c r="W133" s="2879"/>
      <c r="X133" s="2879"/>
      <c r="Y133" s="2879"/>
      <c r="Z133" s="2879"/>
      <c r="AA133" s="2879"/>
      <c r="AB133" s="2879"/>
      <c r="AC133" s="2879"/>
      <c r="AD133" s="2879"/>
      <c r="AE133" s="2879"/>
      <c r="AF133" s="2879"/>
      <c r="AG133" s="2879"/>
      <c r="AH133" s="2879"/>
      <c r="AI133" s="2879"/>
      <c r="AJ133" s="2826"/>
      <c r="AK133" s="2099"/>
      <c r="AL133" s="2104"/>
    </row>
    <row r="134" spans="1:38" ht="11.45" customHeight="1" x14ac:dyDescent="0.2">
      <c r="A134" s="2721"/>
      <c r="B134" s="2679"/>
      <c r="C134" s="2115"/>
      <c r="D134" s="2879"/>
      <c r="E134" s="2879"/>
      <c r="F134" s="2879"/>
      <c r="G134" s="2879"/>
      <c r="H134" s="2879"/>
      <c r="I134" s="2879"/>
      <c r="J134" s="2879"/>
      <c r="K134" s="2879"/>
      <c r="L134" s="2879"/>
      <c r="M134" s="2879"/>
      <c r="N134" s="2879"/>
      <c r="O134" s="2879"/>
      <c r="P134" s="2879"/>
      <c r="Q134" s="2879"/>
      <c r="R134" s="2879"/>
      <c r="S134" s="2879"/>
      <c r="T134" s="2879"/>
      <c r="U134" s="2879"/>
      <c r="V134" s="2879"/>
      <c r="W134" s="2879"/>
      <c r="X134" s="2879"/>
      <c r="Y134" s="2879"/>
      <c r="Z134" s="2879"/>
      <c r="AA134" s="2879"/>
      <c r="AB134" s="2879"/>
      <c r="AC134" s="2879"/>
      <c r="AD134" s="2879"/>
      <c r="AE134" s="2879"/>
      <c r="AF134" s="2879"/>
      <c r="AG134" s="2879"/>
      <c r="AH134" s="2879"/>
      <c r="AI134" s="2879"/>
      <c r="AJ134" s="2826"/>
      <c r="AK134" s="2099"/>
      <c r="AL134" s="2104"/>
    </row>
    <row r="135" spans="1:38" ht="11.45" customHeight="1" x14ac:dyDescent="0.2">
      <c r="A135" s="2720"/>
      <c r="B135" s="2687"/>
      <c r="C135" s="2824"/>
      <c r="D135" s="2879"/>
      <c r="E135" s="2879"/>
      <c r="F135" s="2879"/>
      <c r="G135" s="2879"/>
      <c r="H135" s="2879"/>
      <c r="I135" s="2879"/>
      <c r="J135" s="2879"/>
      <c r="K135" s="2879"/>
      <c r="L135" s="2879"/>
      <c r="M135" s="2879"/>
      <c r="N135" s="2879"/>
      <c r="O135" s="2879"/>
      <c r="P135" s="2879"/>
      <c r="Q135" s="2879"/>
      <c r="R135" s="2879"/>
      <c r="S135" s="2879"/>
      <c r="T135" s="2879"/>
      <c r="U135" s="2879"/>
      <c r="V135" s="2879"/>
      <c r="W135" s="2879"/>
      <c r="X135" s="2879"/>
      <c r="Y135" s="2879"/>
      <c r="Z135" s="2879"/>
      <c r="AA135" s="2879"/>
      <c r="AB135" s="2879"/>
      <c r="AC135" s="2879"/>
      <c r="AD135" s="2879"/>
      <c r="AE135" s="2879"/>
      <c r="AF135" s="2879"/>
      <c r="AG135" s="2879"/>
      <c r="AH135" s="2879"/>
      <c r="AI135" s="2879"/>
      <c r="AJ135" s="2825"/>
      <c r="AK135" s="1579"/>
      <c r="AL135" s="1076"/>
    </row>
    <row r="136" spans="1:38" ht="11.45" customHeight="1" x14ac:dyDescent="0.2">
      <c r="A136" s="2721"/>
      <c r="B136" s="2679"/>
      <c r="C136" s="2115"/>
      <c r="D136" s="2879"/>
      <c r="E136" s="2879"/>
      <c r="F136" s="2879"/>
      <c r="G136" s="2879"/>
      <c r="H136" s="2879"/>
      <c r="I136" s="2879"/>
      <c r="J136" s="2879"/>
      <c r="K136" s="2879"/>
      <c r="L136" s="2879"/>
      <c r="M136" s="2879"/>
      <c r="N136" s="2879"/>
      <c r="O136" s="2879"/>
      <c r="P136" s="2879"/>
      <c r="Q136" s="2879"/>
      <c r="R136" s="2879"/>
      <c r="S136" s="2879"/>
      <c r="T136" s="2879"/>
      <c r="U136" s="2879"/>
      <c r="V136" s="2879"/>
      <c r="W136" s="2879"/>
      <c r="X136" s="2879"/>
      <c r="Y136" s="2879"/>
      <c r="Z136" s="2879"/>
      <c r="AA136" s="2879"/>
      <c r="AB136" s="2879"/>
      <c r="AC136" s="2879"/>
      <c r="AD136" s="2879"/>
      <c r="AE136" s="2879"/>
      <c r="AF136" s="2879"/>
      <c r="AG136" s="2879"/>
      <c r="AH136" s="2879"/>
      <c r="AI136" s="2879"/>
      <c r="AJ136" s="2828"/>
      <c r="AK136" s="2099"/>
      <c r="AL136" s="2104"/>
    </row>
    <row r="137" spans="1:38" ht="11.45" customHeight="1" x14ac:dyDescent="0.2">
      <c r="A137" s="2721"/>
      <c r="B137" s="2679"/>
      <c r="C137" s="2115"/>
      <c r="D137" s="2879"/>
      <c r="E137" s="2879"/>
      <c r="F137" s="2879"/>
      <c r="G137" s="2879"/>
      <c r="H137" s="2879"/>
      <c r="I137" s="2879"/>
      <c r="J137" s="2879"/>
      <c r="K137" s="2879"/>
      <c r="L137" s="2879"/>
      <c r="M137" s="2879"/>
      <c r="N137" s="2879"/>
      <c r="O137" s="2879"/>
      <c r="P137" s="2879"/>
      <c r="Q137" s="2879"/>
      <c r="R137" s="2879"/>
      <c r="S137" s="2879"/>
      <c r="T137" s="2879"/>
      <c r="U137" s="2879"/>
      <c r="V137" s="2879"/>
      <c r="W137" s="2879"/>
      <c r="X137" s="2879"/>
      <c r="Y137" s="2879"/>
      <c r="Z137" s="2879"/>
      <c r="AA137" s="2879"/>
      <c r="AB137" s="2879"/>
      <c r="AC137" s="2879"/>
      <c r="AD137" s="2879"/>
      <c r="AE137" s="2879"/>
      <c r="AF137" s="2879"/>
      <c r="AG137" s="2879"/>
      <c r="AH137" s="2879"/>
      <c r="AI137" s="2879"/>
      <c r="AJ137" s="2823"/>
      <c r="AK137" s="2099"/>
      <c r="AL137" s="2104"/>
    </row>
    <row r="138" spans="1:38" ht="11.45" customHeight="1" x14ac:dyDescent="0.2">
      <c r="A138" s="2721"/>
      <c r="B138" s="2679"/>
      <c r="C138" s="2115"/>
      <c r="D138" s="2879"/>
      <c r="E138" s="2879"/>
      <c r="F138" s="2879"/>
      <c r="G138" s="2879"/>
      <c r="H138" s="2879"/>
      <c r="I138" s="2879"/>
      <c r="J138" s="2879"/>
      <c r="K138" s="2879"/>
      <c r="L138" s="2879"/>
      <c r="M138" s="2879"/>
      <c r="N138" s="2879"/>
      <c r="O138" s="2879"/>
      <c r="P138" s="2879"/>
      <c r="Q138" s="2879"/>
      <c r="R138" s="2879"/>
      <c r="S138" s="2879"/>
      <c r="T138" s="2879"/>
      <c r="U138" s="2879"/>
      <c r="V138" s="2879"/>
      <c r="W138" s="2879"/>
      <c r="X138" s="2879"/>
      <c r="Y138" s="2879"/>
      <c r="Z138" s="2879"/>
      <c r="AA138" s="2879"/>
      <c r="AB138" s="2879"/>
      <c r="AC138" s="2879"/>
      <c r="AD138" s="2879"/>
      <c r="AE138" s="2879"/>
      <c r="AF138" s="2879"/>
      <c r="AG138" s="2879"/>
      <c r="AH138" s="2879"/>
      <c r="AI138" s="2879"/>
      <c r="AJ138" s="2823"/>
      <c r="AK138" s="2099"/>
      <c r="AL138" s="2104"/>
    </row>
    <row r="139" spans="1:38" ht="11.45" customHeight="1" x14ac:dyDescent="0.2">
      <c r="A139" s="2720"/>
      <c r="B139" s="2687"/>
      <c r="C139" s="2824"/>
      <c r="D139" s="2879"/>
      <c r="E139" s="2879"/>
      <c r="F139" s="2879"/>
      <c r="G139" s="2879"/>
      <c r="H139" s="2879"/>
      <c r="I139" s="2879"/>
      <c r="J139" s="2879"/>
      <c r="K139" s="2879"/>
      <c r="L139" s="2879"/>
      <c r="M139" s="2879"/>
      <c r="N139" s="2879"/>
      <c r="O139" s="2879"/>
      <c r="P139" s="2879"/>
      <c r="Q139" s="2879"/>
      <c r="R139" s="2879"/>
      <c r="S139" s="2879"/>
      <c r="T139" s="2879"/>
      <c r="U139" s="2879"/>
      <c r="V139" s="2879"/>
      <c r="W139" s="2879"/>
      <c r="X139" s="2879"/>
      <c r="Y139" s="2879"/>
      <c r="Z139" s="2879"/>
      <c r="AA139" s="2879"/>
      <c r="AB139" s="2879"/>
      <c r="AC139" s="2879"/>
      <c r="AD139" s="2879"/>
      <c r="AE139" s="2879"/>
      <c r="AF139" s="2879"/>
      <c r="AG139" s="2879"/>
      <c r="AH139" s="2879"/>
      <c r="AI139" s="2879"/>
      <c r="AJ139" s="2825"/>
      <c r="AK139" s="1579"/>
      <c r="AL139" s="1076"/>
    </row>
    <row r="140" spans="1:38" ht="11.45" customHeight="1" x14ac:dyDescent="0.2">
      <c r="A140" s="2721"/>
      <c r="B140" s="2679"/>
      <c r="C140" s="2126"/>
      <c r="D140" s="2879"/>
      <c r="E140" s="2879"/>
      <c r="F140" s="2879"/>
      <c r="G140" s="2879"/>
      <c r="H140" s="2879"/>
      <c r="I140" s="2879"/>
      <c r="J140" s="2879"/>
      <c r="K140" s="2879"/>
      <c r="L140" s="2879"/>
      <c r="M140" s="2879"/>
      <c r="N140" s="2879"/>
      <c r="O140" s="2879"/>
      <c r="P140" s="2879"/>
      <c r="Q140" s="2879"/>
      <c r="R140" s="2879"/>
      <c r="S140" s="2879"/>
      <c r="T140" s="2879"/>
      <c r="U140" s="2879"/>
      <c r="V140" s="2879"/>
      <c r="W140" s="2879"/>
      <c r="X140" s="2879"/>
      <c r="Y140" s="2879"/>
      <c r="Z140" s="2879"/>
      <c r="AA140" s="2879"/>
      <c r="AB140" s="2879"/>
      <c r="AC140" s="2879"/>
      <c r="AD140" s="2879"/>
      <c r="AE140" s="2879"/>
      <c r="AF140" s="2879"/>
      <c r="AG140" s="2879"/>
      <c r="AH140" s="2879"/>
      <c r="AI140" s="2879"/>
      <c r="AJ140" s="2828"/>
      <c r="AK140" s="2099"/>
      <c r="AL140" s="2104"/>
    </row>
    <row r="141" spans="1:38" ht="11.45" customHeight="1" x14ac:dyDescent="0.2">
      <c r="A141" s="2720"/>
      <c r="B141" s="2687"/>
      <c r="C141" s="2824"/>
      <c r="D141" s="2879"/>
      <c r="E141" s="2879"/>
      <c r="F141" s="2879"/>
      <c r="G141" s="2879"/>
      <c r="H141" s="2879"/>
      <c r="I141" s="2879"/>
      <c r="J141" s="2879"/>
      <c r="K141" s="2879"/>
      <c r="L141" s="2879"/>
      <c r="M141" s="2879"/>
      <c r="N141" s="2879"/>
      <c r="O141" s="2879"/>
      <c r="P141" s="2879"/>
      <c r="Q141" s="2879"/>
      <c r="R141" s="2879"/>
      <c r="S141" s="2879"/>
      <c r="T141" s="2879"/>
      <c r="U141" s="2879"/>
      <c r="V141" s="2879"/>
      <c r="W141" s="2879"/>
      <c r="X141" s="2879"/>
      <c r="Y141" s="2879"/>
      <c r="Z141" s="2879"/>
      <c r="AA141" s="2879"/>
      <c r="AB141" s="2879"/>
      <c r="AC141" s="2879"/>
      <c r="AD141" s="2879"/>
      <c r="AE141" s="2879"/>
      <c r="AF141" s="2879"/>
      <c r="AG141" s="2879"/>
      <c r="AH141" s="2879"/>
      <c r="AI141" s="2879"/>
      <c r="AJ141" s="2825"/>
      <c r="AK141" s="1579"/>
      <c r="AL141" s="1076"/>
    </row>
    <row r="142" spans="1:38" ht="11.45" customHeight="1" x14ac:dyDescent="0.2">
      <c r="A142" s="2721"/>
      <c r="B142" s="2679"/>
      <c r="C142" s="2127"/>
      <c r="D142" s="2879"/>
      <c r="E142" s="2879"/>
      <c r="F142" s="2879"/>
      <c r="G142" s="2879"/>
      <c r="H142" s="2879"/>
      <c r="I142" s="2879"/>
      <c r="J142" s="2879"/>
      <c r="K142" s="2879"/>
      <c r="L142" s="2879"/>
      <c r="M142" s="2879"/>
      <c r="N142" s="2879"/>
      <c r="O142" s="2879"/>
      <c r="P142" s="2879"/>
      <c r="Q142" s="2879"/>
      <c r="R142" s="2879"/>
      <c r="S142" s="2879"/>
      <c r="T142" s="2879"/>
      <c r="U142" s="2879"/>
      <c r="V142" s="2879"/>
      <c r="W142" s="2879"/>
      <c r="X142" s="2879"/>
      <c r="Y142" s="2879"/>
      <c r="Z142" s="2879"/>
      <c r="AA142" s="2879"/>
      <c r="AB142" s="2879"/>
      <c r="AC142" s="2879"/>
      <c r="AD142" s="2879"/>
      <c r="AE142" s="2879"/>
      <c r="AF142" s="2879"/>
      <c r="AG142" s="2879"/>
      <c r="AH142" s="2879"/>
      <c r="AI142" s="2879"/>
      <c r="AJ142" s="2828"/>
      <c r="AK142" s="2099"/>
      <c r="AL142" s="2104"/>
    </row>
    <row r="143" spans="1:38" ht="11.45" customHeight="1" x14ac:dyDescent="0.2">
      <c r="A143" s="2720"/>
      <c r="B143" s="2687"/>
      <c r="C143" s="2824"/>
      <c r="D143" s="2879"/>
      <c r="E143" s="2879"/>
      <c r="F143" s="2879"/>
      <c r="G143" s="2879"/>
      <c r="H143" s="2879"/>
      <c r="I143" s="2879"/>
      <c r="J143" s="2879"/>
      <c r="K143" s="2879"/>
      <c r="L143" s="2879"/>
      <c r="M143" s="2879"/>
      <c r="N143" s="2879"/>
      <c r="O143" s="2879"/>
      <c r="P143" s="2879"/>
      <c r="Q143" s="2879"/>
      <c r="R143" s="2879"/>
      <c r="S143" s="2879"/>
      <c r="T143" s="2879"/>
      <c r="U143" s="2879"/>
      <c r="V143" s="2879"/>
      <c r="W143" s="2879"/>
      <c r="X143" s="2879"/>
      <c r="Y143" s="2879"/>
      <c r="Z143" s="2879"/>
      <c r="AA143" s="2879"/>
      <c r="AB143" s="2879"/>
      <c r="AC143" s="2879"/>
      <c r="AD143" s="2879"/>
      <c r="AE143" s="2879"/>
      <c r="AF143" s="2879"/>
      <c r="AG143" s="2879"/>
      <c r="AH143" s="2879"/>
      <c r="AI143" s="2879"/>
      <c r="AJ143" s="2825"/>
      <c r="AK143" s="1579"/>
      <c r="AL143" s="1076"/>
    </row>
    <row r="144" spans="1:38" ht="11.45" customHeight="1" x14ac:dyDescent="0.2">
      <c r="A144" s="2721"/>
      <c r="B144" s="2679"/>
      <c r="C144" s="2127"/>
      <c r="D144" s="2879"/>
      <c r="E144" s="2879"/>
      <c r="F144" s="2879"/>
      <c r="G144" s="2879"/>
      <c r="H144" s="2879"/>
      <c r="I144" s="2879"/>
      <c r="J144" s="2879"/>
      <c r="K144" s="2879"/>
      <c r="L144" s="2879"/>
      <c r="M144" s="2879"/>
      <c r="N144" s="2879"/>
      <c r="O144" s="2879"/>
      <c r="P144" s="2879"/>
      <c r="Q144" s="2879"/>
      <c r="R144" s="2879"/>
      <c r="S144" s="2879"/>
      <c r="T144" s="2879"/>
      <c r="U144" s="2879"/>
      <c r="V144" s="2879"/>
      <c r="W144" s="2879"/>
      <c r="X144" s="2879"/>
      <c r="Y144" s="2879"/>
      <c r="Z144" s="2879"/>
      <c r="AA144" s="2879"/>
      <c r="AB144" s="2879"/>
      <c r="AC144" s="2879"/>
      <c r="AD144" s="2879"/>
      <c r="AE144" s="2879"/>
      <c r="AF144" s="2879"/>
      <c r="AG144" s="2879"/>
      <c r="AH144" s="2879"/>
      <c r="AI144" s="2879"/>
      <c r="AJ144" s="2829"/>
      <c r="AK144" s="2099"/>
      <c r="AL144" s="2104"/>
    </row>
    <row r="145" spans="1:38" ht="11.45" customHeight="1" x14ac:dyDescent="0.2">
      <c r="A145" s="2721"/>
      <c r="B145" s="2679"/>
      <c r="C145" s="2127"/>
      <c r="D145" s="2879"/>
      <c r="E145" s="2879"/>
      <c r="F145" s="2879"/>
      <c r="G145" s="2879"/>
      <c r="H145" s="2879"/>
      <c r="I145" s="2879"/>
      <c r="J145" s="2879"/>
      <c r="K145" s="2879"/>
      <c r="L145" s="2879"/>
      <c r="M145" s="2879"/>
      <c r="N145" s="2879"/>
      <c r="O145" s="2879"/>
      <c r="P145" s="2879"/>
      <c r="Q145" s="2879"/>
      <c r="R145" s="2879"/>
      <c r="S145" s="2879"/>
      <c r="T145" s="2879"/>
      <c r="U145" s="2879"/>
      <c r="V145" s="2879"/>
      <c r="W145" s="2879"/>
      <c r="X145" s="2879"/>
      <c r="Y145" s="2879"/>
      <c r="Z145" s="2879"/>
      <c r="AA145" s="2879"/>
      <c r="AB145" s="2879"/>
      <c r="AC145" s="2879"/>
      <c r="AD145" s="2879"/>
      <c r="AE145" s="2879"/>
      <c r="AF145" s="2879"/>
      <c r="AG145" s="2879"/>
      <c r="AH145" s="2879"/>
      <c r="AI145" s="2879"/>
      <c r="AJ145" s="2829"/>
      <c r="AK145" s="2099"/>
      <c r="AL145" s="2389"/>
    </row>
    <row r="146" spans="1:38" ht="11.45" customHeight="1" x14ac:dyDescent="0.2">
      <c r="A146" s="2721"/>
      <c r="B146" s="2679"/>
      <c r="C146" s="2127"/>
      <c r="D146" s="2879"/>
      <c r="E146" s="2879"/>
      <c r="F146" s="2879"/>
      <c r="G146" s="2879"/>
      <c r="H146" s="2879"/>
      <c r="I146" s="2879"/>
      <c r="J146" s="2879"/>
      <c r="K146" s="2879"/>
      <c r="L146" s="2879"/>
      <c r="M146" s="2879"/>
      <c r="N146" s="2879"/>
      <c r="O146" s="2879"/>
      <c r="P146" s="2879"/>
      <c r="Q146" s="2879"/>
      <c r="R146" s="2879"/>
      <c r="S146" s="2879"/>
      <c r="T146" s="2879"/>
      <c r="U146" s="2879"/>
      <c r="V146" s="2879"/>
      <c r="W146" s="2879"/>
      <c r="X146" s="2879"/>
      <c r="Y146" s="2879"/>
      <c r="Z146" s="2879"/>
      <c r="AA146" s="2879"/>
      <c r="AB146" s="2879"/>
      <c r="AC146" s="2879"/>
      <c r="AD146" s="2879"/>
      <c r="AE146" s="2879"/>
      <c r="AF146" s="2879"/>
      <c r="AG146" s="2879"/>
      <c r="AH146" s="2879"/>
      <c r="AI146" s="2879"/>
      <c r="AJ146" s="2829"/>
      <c r="AK146" s="2099"/>
      <c r="AL146" s="2389"/>
    </row>
    <row r="147" spans="1:38" ht="11.45" customHeight="1" x14ac:dyDescent="0.2">
      <c r="A147" s="2720"/>
      <c r="B147" s="2687"/>
      <c r="C147" s="2824"/>
      <c r="D147" s="2879"/>
      <c r="E147" s="2879"/>
      <c r="F147" s="2879"/>
      <c r="G147" s="2879"/>
      <c r="H147" s="2879"/>
      <c r="I147" s="2879"/>
      <c r="J147" s="2879"/>
      <c r="K147" s="2879"/>
      <c r="L147" s="2879"/>
      <c r="M147" s="2879"/>
      <c r="N147" s="2879"/>
      <c r="O147" s="2879"/>
      <c r="P147" s="2879"/>
      <c r="Q147" s="2879"/>
      <c r="R147" s="2879"/>
      <c r="S147" s="2879"/>
      <c r="T147" s="2879"/>
      <c r="U147" s="2879"/>
      <c r="V147" s="2879"/>
      <c r="W147" s="2879"/>
      <c r="X147" s="2879"/>
      <c r="Y147" s="2879"/>
      <c r="Z147" s="2879"/>
      <c r="AA147" s="2879"/>
      <c r="AB147" s="2879"/>
      <c r="AC147" s="2879"/>
      <c r="AD147" s="2879"/>
      <c r="AE147" s="2879"/>
      <c r="AF147" s="2879"/>
      <c r="AG147" s="2879"/>
      <c r="AH147" s="2879"/>
      <c r="AI147" s="2879"/>
      <c r="AJ147" s="2825"/>
      <c r="AK147" s="1579"/>
      <c r="AL147" s="1076"/>
    </row>
    <row r="148" spans="1:38" ht="11.45" customHeight="1" x14ac:dyDescent="0.2">
      <c r="A148" s="2721"/>
      <c r="B148" s="2679"/>
      <c r="C148" s="2127"/>
      <c r="D148" s="2879"/>
      <c r="E148" s="2879"/>
      <c r="F148" s="2879"/>
      <c r="G148" s="2879"/>
      <c r="H148" s="2879"/>
      <c r="I148" s="2879"/>
      <c r="J148" s="2879"/>
      <c r="K148" s="2879"/>
      <c r="L148" s="2879"/>
      <c r="M148" s="2879"/>
      <c r="N148" s="2879"/>
      <c r="O148" s="2879"/>
      <c r="P148" s="2879"/>
      <c r="Q148" s="2879"/>
      <c r="R148" s="2879"/>
      <c r="S148" s="2879"/>
      <c r="T148" s="2879"/>
      <c r="U148" s="2879"/>
      <c r="V148" s="2879"/>
      <c r="W148" s="2879"/>
      <c r="X148" s="2879"/>
      <c r="Y148" s="2879"/>
      <c r="Z148" s="2879"/>
      <c r="AA148" s="2879"/>
      <c r="AB148" s="2879"/>
      <c r="AC148" s="2879"/>
      <c r="AD148" s="2879"/>
      <c r="AE148" s="2879"/>
      <c r="AF148" s="2879"/>
      <c r="AG148" s="2879"/>
      <c r="AH148" s="2879"/>
      <c r="AI148" s="2879"/>
      <c r="AJ148" s="2829"/>
      <c r="AK148" s="2099"/>
      <c r="AL148" s="2389"/>
    </row>
    <row r="149" spans="1:38" ht="11.45" customHeight="1" x14ac:dyDescent="0.2">
      <c r="A149" s="2721"/>
      <c r="B149" s="2679"/>
      <c r="C149" s="2127"/>
      <c r="D149" s="2879"/>
      <c r="E149" s="2879"/>
      <c r="F149" s="2879"/>
      <c r="G149" s="2879"/>
      <c r="H149" s="2879"/>
      <c r="I149" s="2879"/>
      <c r="J149" s="2879"/>
      <c r="K149" s="2879"/>
      <c r="L149" s="2879"/>
      <c r="M149" s="2879"/>
      <c r="N149" s="2879"/>
      <c r="O149" s="2879"/>
      <c r="P149" s="2879"/>
      <c r="Q149" s="2879"/>
      <c r="R149" s="2879"/>
      <c r="S149" s="2879"/>
      <c r="T149" s="2879"/>
      <c r="U149" s="2879"/>
      <c r="V149" s="2879"/>
      <c r="W149" s="2879"/>
      <c r="X149" s="2879"/>
      <c r="Y149" s="2879"/>
      <c r="Z149" s="2879"/>
      <c r="AA149" s="2879"/>
      <c r="AB149" s="2879"/>
      <c r="AC149" s="2879"/>
      <c r="AD149" s="2879"/>
      <c r="AE149" s="2879"/>
      <c r="AF149" s="2879"/>
      <c r="AG149" s="2879"/>
      <c r="AH149" s="2879"/>
      <c r="AI149" s="2879"/>
      <c r="AJ149" s="2829"/>
      <c r="AK149" s="2099"/>
      <c r="AL149" s="2389"/>
    </row>
    <row r="150" spans="1:38" ht="11.45" customHeight="1" x14ac:dyDescent="0.2">
      <c r="A150" s="2721"/>
      <c r="B150" s="2679"/>
      <c r="C150" s="2127"/>
      <c r="D150" s="2879"/>
      <c r="E150" s="2879"/>
      <c r="F150" s="2879"/>
      <c r="G150" s="2879"/>
      <c r="H150" s="2879"/>
      <c r="I150" s="2879"/>
      <c r="J150" s="2879"/>
      <c r="K150" s="2879"/>
      <c r="L150" s="2879"/>
      <c r="M150" s="2879"/>
      <c r="N150" s="2879"/>
      <c r="O150" s="2879"/>
      <c r="P150" s="2879"/>
      <c r="Q150" s="2879"/>
      <c r="R150" s="2879"/>
      <c r="S150" s="2879"/>
      <c r="T150" s="2879"/>
      <c r="U150" s="2879"/>
      <c r="V150" s="2879"/>
      <c r="W150" s="2879"/>
      <c r="X150" s="2879"/>
      <c r="Y150" s="2879"/>
      <c r="Z150" s="2879"/>
      <c r="AA150" s="2879"/>
      <c r="AB150" s="2879"/>
      <c r="AC150" s="2879"/>
      <c r="AD150" s="2879"/>
      <c r="AE150" s="2879"/>
      <c r="AF150" s="2879"/>
      <c r="AG150" s="2879"/>
      <c r="AH150" s="2879"/>
      <c r="AI150" s="2879"/>
      <c r="AJ150" s="2829"/>
      <c r="AK150" s="2099"/>
      <c r="AL150" s="2389"/>
    </row>
    <row r="151" spans="1:38" ht="11.45" customHeight="1" x14ac:dyDescent="0.2">
      <c r="A151" s="2721"/>
      <c r="B151" s="2679"/>
      <c r="C151" s="2127"/>
      <c r="D151" s="2879"/>
      <c r="E151" s="2879"/>
      <c r="F151" s="2879"/>
      <c r="G151" s="2879"/>
      <c r="H151" s="2879"/>
      <c r="I151" s="2879"/>
      <c r="J151" s="2879"/>
      <c r="K151" s="2879"/>
      <c r="L151" s="2879"/>
      <c r="M151" s="2879"/>
      <c r="N151" s="2879"/>
      <c r="O151" s="2879"/>
      <c r="P151" s="2879"/>
      <c r="Q151" s="2879"/>
      <c r="R151" s="2879"/>
      <c r="S151" s="2879"/>
      <c r="T151" s="2879"/>
      <c r="U151" s="2879"/>
      <c r="V151" s="2879"/>
      <c r="W151" s="2879"/>
      <c r="X151" s="2879"/>
      <c r="Y151" s="2879"/>
      <c r="Z151" s="2879"/>
      <c r="AA151" s="2879"/>
      <c r="AB151" s="2879"/>
      <c r="AC151" s="2879"/>
      <c r="AD151" s="2879"/>
      <c r="AE151" s="2879"/>
      <c r="AF151" s="2879"/>
      <c r="AG151" s="2879"/>
      <c r="AH151" s="2879"/>
      <c r="AI151" s="2879"/>
      <c r="AJ151" s="2829"/>
      <c r="AK151" s="2099"/>
      <c r="AL151" s="2389"/>
    </row>
    <row r="152" spans="1:38" ht="11.45" customHeight="1" x14ac:dyDescent="0.2">
      <c r="A152" s="2720"/>
      <c r="B152" s="2687"/>
      <c r="C152" s="2824"/>
      <c r="D152" s="2879"/>
      <c r="E152" s="2879"/>
      <c r="F152" s="2879"/>
      <c r="G152" s="2879"/>
      <c r="H152" s="2879"/>
      <c r="I152" s="2879"/>
      <c r="J152" s="2879"/>
      <c r="K152" s="2879"/>
      <c r="L152" s="2879"/>
      <c r="M152" s="2879"/>
      <c r="N152" s="2879"/>
      <c r="O152" s="2879"/>
      <c r="P152" s="2879"/>
      <c r="Q152" s="2879"/>
      <c r="R152" s="2879"/>
      <c r="S152" s="2879"/>
      <c r="T152" s="2879"/>
      <c r="U152" s="2879"/>
      <c r="V152" s="2879"/>
      <c r="W152" s="2879"/>
      <c r="X152" s="2879"/>
      <c r="Y152" s="2879"/>
      <c r="Z152" s="2879"/>
      <c r="AA152" s="2879"/>
      <c r="AB152" s="2879"/>
      <c r="AC152" s="2879"/>
      <c r="AD152" s="2879"/>
      <c r="AE152" s="2879"/>
      <c r="AF152" s="2879"/>
      <c r="AG152" s="2879"/>
      <c r="AH152" s="2879"/>
      <c r="AI152" s="2879"/>
      <c r="AJ152" s="2825"/>
      <c r="AK152" s="1579"/>
      <c r="AL152" s="1076"/>
    </row>
    <row r="153" spans="1:38" ht="11.45" customHeight="1" x14ac:dyDescent="0.2">
      <c r="A153" s="2721"/>
      <c r="B153" s="2679"/>
      <c r="C153" s="2127"/>
      <c r="D153" s="2879"/>
      <c r="E153" s="2879"/>
      <c r="F153" s="2879"/>
      <c r="G153" s="2879"/>
      <c r="H153" s="2879"/>
      <c r="I153" s="2879"/>
      <c r="J153" s="2879"/>
      <c r="K153" s="2879"/>
      <c r="L153" s="2879"/>
      <c r="M153" s="2879"/>
      <c r="N153" s="2879"/>
      <c r="O153" s="2879"/>
      <c r="P153" s="2879"/>
      <c r="Q153" s="2879"/>
      <c r="R153" s="2879"/>
      <c r="S153" s="2879"/>
      <c r="T153" s="2879"/>
      <c r="U153" s="2879"/>
      <c r="V153" s="2879"/>
      <c r="W153" s="2879"/>
      <c r="X153" s="2879"/>
      <c r="Y153" s="2879"/>
      <c r="Z153" s="2879"/>
      <c r="AA153" s="2879"/>
      <c r="AB153" s="2879"/>
      <c r="AC153" s="2879"/>
      <c r="AD153" s="2879"/>
      <c r="AE153" s="2879"/>
      <c r="AF153" s="2879"/>
      <c r="AG153" s="2879"/>
      <c r="AH153" s="2879"/>
      <c r="AI153" s="2879"/>
      <c r="AJ153" s="2823"/>
      <c r="AK153" s="2099"/>
      <c r="AL153" s="2389"/>
    </row>
    <row r="154" spans="1:38" ht="11.45" customHeight="1" x14ac:dyDescent="0.2">
      <c r="A154" s="2720"/>
      <c r="B154" s="2687"/>
      <c r="C154" s="2824"/>
      <c r="D154" s="2879"/>
      <c r="E154" s="2879"/>
      <c r="F154" s="2879"/>
      <c r="G154" s="2879"/>
      <c r="H154" s="2879"/>
      <c r="I154" s="2879"/>
      <c r="J154" s="2879"/>
      <c r="K154" s="2879"/>
      <c r="L154" s="2879"/>
      <c r="M154" s="2879"/>
      <c r="N154" s="2879"/>
      <c r="O154" s="2879"/>
      <c r="P154" s="2879"/>
      <c r="Q154" s="2879"/>
      <c r="R154" s="2879"/>
      <c r="S154" s="2879"/>
      <c r="T154" s="2879"/>
      <c r="U154" s="2879"/>
      <c r="V154" s="2879"/>
      <c r="W154" s="2879"/>
      <c r="X154" s="2879"/>
      <c r="Y154" s="2879"/>
      <c r="Z154" s="2879"/>
      <c r="AA154" s="2879"/>
      <c r="AB154" s="2879"/>
      <c r="AC154" s="2879"/>
      <c r="AD154" s="2879"/>
      <c r="AE154" s="2879"/>
      <c r="AF154" s="2879"/>
      <c r="AG154" s="2879"/>
      <c r="AH154" s="2879"/>
      <c r="AI154" s="2879"/>
      <c r="AJ154" s="2825"/>
      <c r="AK154" s="1579"/>
      <c r="AL154" s="1076"/>
    </row>
    <row r="155" spans="1:38" ht="11.45" customHeight="1" x14ac:dyDescent="0.2">
      <c r="A155" s="2721"/>
      <c r="B155" s="2679"/>
      <c r="C155" s="2129"/>
      <c r="D155" s="2879"/>
      <c r="E155" s="2879"/>
      <c r="F155" s="2879"/>
      <c r="G155" s="2879"/>
      <c r="H155" s="2879"/>
      <c r="I155" s="2879"/>
      <c r="J155" s="2879"/>
      <c r="K155" s="2879"/>
      <c r="L155" s="2879"/>
      <c r="M155" s="2879"/>
      <c r="N155" s="2879"/>
      <c r="O155" s="2879"/>
      <c r="P155" s="2879"/>
      <c r="Q155" s="2879"/>
      <c r="R155" s="2879"/>
      <c r="S155" s="2879"/>
      <c r="T155" s="2879"/>
      <c r="U155" s="2879"/>
      <c r="V155" s="2879"/>
      <c r="W155" s="2879"/>
      <c r="X155" s="2879"/>
      <c r="Y155" s="2879"/>
      <c r="Z155" s="2879"/>
      <c r="AA155" s="2879"/>
      <c r="AB155" s="2879"/>
      <c r="AC155" s="2879"/>
      <c r="AD155" s="2879"/>
      <c r="AE155" s="2879"/>
      <c r="AF155" s="2879"/>
      <c r="AG155" s="2879"/>
      <c r="AH155" s="2879"/>
      <c r="AI155" s="2879"/>
      <c r="AJ155" s="2823"/>
      <c r="AK155" s="2099"/>
      <c r="AL155" s="2389"/>
    </row>
    <row r="156" spans="1:38" ht="11.45" customHeight="1" x14ac:dyDescent="0.2">
      <c r="A156" s="2720"/>
      <c r="B156" s="2687"/>
      <c r="C156" s="2824"/>
      <c r="D156" s="2879"/>
      <c r="E156" s="2879"/>
      <c r="F156" s="2879"/>
      <c r="G156" s="2879"/>
      <c r="H156" s="2879"/>
      <c r="I156" s="2879"/>
      <c r="J156" s="2879"/>
      <c r="K156" s="2879"/>
      <c r="L156" s="2879"/>
      <c r="M156" s="2879"/>
      <c r="N156" s="2879"/>
      <c r="O156" s="2879"/>
      <c r="P156" s="2879"/>
      <c r="Q156" s="2879"/>
      <c r="R156" s="2879"/>
      <c r="S156" s="2879"/>
      <c r="T156" s="2879"/>
      <c r="U156" s="2879"/>
      <c r="V156" s="2879"/>
      <c r="W156" s="2879"/>
      <c r="X156" s="2879"/>
      <c r="Y156" s="2879"/>
      <c r="Z156" s="2879"/>
      <c r="AA156" s="2879"/>
      <c r="AB156" s="2879"/>
      <c r="AC156" s="2879"/>
      <c r="AD156" s="2879"/>
      <c r="AE156" s="2879"/>
      <c r="AF156" s="2879"/>
      <c r="AG156" s="2879"/>
      <c r="AH156" s="2879"/>
      <c r="AI156" s="2879"/>
      <c r="AJ156" s="2825"/>
      <c r="AK156" s="1579"/>
      <c r="AL156" s="1076"/>
    </row>
    <row r="157" spans="1:38" ht="11.45" customHeight="1" x14ac:dyDescent="0.2">
      <c r="A157" s="2721"/>
      <c r="B157" s="2679"/>
      <c r="C157" s="2129"/>
      <c r="D157" s="2879"/>
      <c r="E157" s="2879"/>
      <c r="F157" s="2879"/>
      <c r="G157" s="2879"/>
      <c r="H157" s="2879"/>
      <c r="I157" s="2879"/>
      <c r="J157" s="2879"/>
      <c r="K157" s="2879"/>
      <c r="L157" s="2879"/>
      <c r="M157" s="2879"/>
      <c r="N157" s="2879"/>
      <c r="O157" s="2879"/>
      <c r="P157" s="2879"/>
      <c r="Q157" s="2879"/>
      <c r="R157" s="2879"/>
      <c r="S157" s="2879"/>
      <c r="T157" s="2879"/>
      <c r="U157" s="2879"/>
      <c r="V157" s="2879"/>
      <c r="W157" s="2879"/>
      <c r="X157" s="2879"/>
      <c r="Y157" s="2879"/>
      <c r="Z157" s="2879"/>
      <c r="AA157" s="2879"/>
      <c r="AB157" s="2879"/>
      <c r="AC157" s="2879"/>
      <c r="AD157" s="2879"/>
      <c r="AE157" s="2879"/>
      <c r="AF157" s="2879"/>
      <c r="AG157" s="2879"/>
      <c r="AH157" s="2879"/>
      <c r="AI157" s="2879"/>
      <c r="AJ157" s="2828"/>
      <c r="AK157" s="2099"/>
      <c r="AL157" s="2389"/>
    </row>
    <row r="158" spans="1:38" ht="11.45" customHeight="1" x14ac:dyDescent="0.2">
      <c r="A158" s="2720"/>
      <c r="B158" s="2687"/>
      <c r="C158" s="2824"/>
      <c r="D158" s="2879"/>
      <c r="E158" s="2879"/>
      <c r="F158" s="2879"/>
      <c r="G158" s="2879"/>
      <c r="H158" s="2879"/>
      <c r="I158" s="2879"/>
      <c r="J158" s="2879"/>
      <c r="K158" s="2879"/>
      <c r="L158" s="2879"/>
      <c r="M158" s="2879"/>
      <c r="N158" s="2879"/>
      <c r="O158" s="2879"/>
      <c r="P158" s="2879"/>
      <c r="Q158" s="2879"/>
      <c r="R158" s="2879"/>
      <c r="S158" s="2879"/>
      <c r="T158" s="2879"/>
      <c r="U158" s="2879"/>
      <c r="V158" s="2879"/>
      <c r="W158" s="2879"/>
      <c r="X158" s="2879"/>
      <c r="Y158" s="2879"/>
      <c r="Z158" s="2879"/>
      <c r="AA158" s="2879"/>
      <c r="AB158" s="2879"/>
      <c r="AC158" s="2879"/>
      <c r="AD158" s="2879"/>
      <c r="AE158" s="2879"/>
      <c r="AF158" s="2879"/>
      <c r="AG158" s="2879"/>
      <c r="AH158" s="2879"/>
      <c r="AI158" s="2879"/>
      <c r="AJ158" s="2825"/>
      <c r="AK158" s="1579"/>
      <c r="AL158" s="1076"/>
    </row>
    <row r="159" spans="1:38" ht="11.45" customHeight="1" x14ac:dyDescent="0.2">
      <c r="A159" s="2721"/>
      <c r="B159" s="2679"/>
      <c r="C159" s="2129"/>
      <c r="D159" s="2879"/>
      <c r="E159" s="2879"/>
      <c r="F159" s="2879"/>
      <c r="G159" s="2879"/>
      <c r="H159" s="2879"/>
      <c r="I159" s="2879"/>
      <c r="J159" s="2879"/>
      <c r="K159" s="2879"/>
      <c r="L159" s="2879"/>
      <c r="M159" s="2879"/>
      <c r="N159" s="2879"/>
      <c r="O159" s="2879"/>
      <c r="P159" s="2879"/>
      <c r="Q159" s="2879"/>
      <c r="R159" s="2879"/>
      <c r="S159" s="2879"/>
      <c r="T159" s="2879"/>
      <c r="U159" s="2879"/>
      <c r="V159" s="2879"/>
      <c r="W159" s="2879"/>
      <c r="X159" s="2879"/>
      <c r="Y159" s="2879"/>
      <c r="Z159" s="2879"/>
      <c r="AA159" s="2879"/>
      <c r="AB159" s="2879"/>
      <c r="AC159" s="2879"/>
      <c r="AD159" s="2879"/>
      <c r="AE159" s="2879"/>
      <c r="AF159" s="2879"/>
      <c r="AG159" s="2879"/>
      <c r="AH159" s="2879"/>
      <c r="AI159" s="2879"/>
      <c r="AJ159" s="2829"/>
      <c r="AK159" s="2099"/>
      <c r="AL159" s="2389"/>
    </row>
    <row r="160" spans="1:38" ht="11.45" customHeight="1" x14ac:dyDescent="0.2">
      <c r="A160" s="2721"/>
      <c r="B160" s="2679"/>
      <c r="C160" s="2129"/>
      <c r="D160" s="2879"/>
      <c r="E160" s="2879"/>
      <c r="F160" s="2879"/>
      <c r="G160" s="2879"/>
      <c r="H160" s="2879"/>
      <c r="I160" s="2879"/>
      <c r="J160" s="2879"/>
      <c r="K160" s="2879"/>
      <c r="L160" s="2879"/>
      <c r="M160" s="2879"/>
      <c r="N160" s="2879"/>
      <c r="O160" s="2879"/>
      <c r="P160" s="2879"/>
      <c r="Q160" s="2879"/>
      <c r="R160" s="2879"/>
      <c r="S160" s="2879"/>
      <c r="T160" s="2879"/>
      <c r="U160" s="2879"/>
      <c r="V160" s="2879"/>
      <c r="W160" s="2879"/>
      <c r="X160" s="2879"/>
      <c r="Y160" s="2879"/>
      <c r="Z160" s="2879"/>
      <c r="AA160" s="2879"/>
      <c r="AB160" s="2879"/>
      <c r="AC160" s="2879"/>
      <c r="AD160" s="2879"/>
      <c r="AE160" s="2879"/>
      <c r="AF160" s="2879"/>
      <c r="AG160" s="2879"/>
      <c r="AH160" s="2879"/>
      <c r="AI160" s="2879"/>
      <c r="AJ160" s="2829"/>
      <c r="AK160" s="2099"/>
      <c r="AL160" s="2389"/>
    </row>
    <row r="161" spans="1:38" ht="11.45" customHeight="1" x14ac:dyDescent="0.2">
      <c r="A161" s="2721"/>
      <c r="B161" s="2679"/>
      <c r="C161" s="2126"/>
      <c r="D161" s="2879"/>
      <c r="E161" s="2879"/>
      <c r="F161" s="2879"/>
      <c r="G161" s="2879"/>
      <c r="H161" s="2879"/>
      <c r="I161" s="2879"/>
      <c r="J161" s="2879"/>
      <c r="K161" s="2879"/>
      <c r="L161" s="2879"/>
      <c r="M161" s="2879"/>
      <c r="N161" s="2879"/>
      <c r="O161" s="2879"/>
      <c r="P161" s="2879"/>
      <c r="Q161" s="2879"/>
      <c r="R161" s="2879"/>
      <c r="S161" s="2879"/>
      <c r="T161" s="2879"/>
      <c r="U161" s="2879"/>
      <c r="V161" s="2879"/>
      <c r="W161" s="2879"/>
      <c r="X161" s="2879"/>
      <c r="Y161" s="2879"/>
      <c r="Z161" s="2879"/>
      <c r="AA161" s="2879"/>
      <c r="AB161" s="2879"/>
      <c r="AC161" s="2879"/>
      <c r="AD161" s="2879"/>
      <c r="AE161" s="2879"/>
      <c r="AF161" s="2879"/>
      <c r="AG161" s="2879"/>
      <c r="AH161" s="2879"/>
      <c r="AI161" s="2879"/>
      <c r="AJ161" s="2829"/>
      <c r="AK161" s="2099"/>
      <c r="AL161" s="2389"/>
    </row>
    <row r="162" spans="1:38" ht="11.45" customHeight="1" x14ac:dyDescent="0.2">
      <c r="A162" s="2721"/>
      <c r="B162" s="2679"/>
      <c r="C162" s="2126"/>
      <c r="D162" s="2879"/>
      <c r="E162" s="2879"/>
      <c r="F162" s="2879"/>
      <c r="G162" s="2879"/>
      <c r="H162" s="2879"/>
      <c r="I162" s="2879"/>
      <c r="J162" s="2879"/>
      <c r="K162" s="2879"/>
      <c r="L162" s="2879"/>
      <c r="M162" s="2879"/>
      <c r="N162" s="2879"/>
      <c r="O162" s="2879"/>
      <c r="P162" s="2879"/>
      <c r="Q162" s="2879"/>
      <c r="R162" s="2879"/>
      <c r="S162" s="2879"/>
      <c r="T162" s="2879"/>
      <c r="U162" s="2879"/>
      <c r="V162" s="2879"/>
      <c r="W162" s="2879"/>
      <c r="X162" s="2879"/>
      <c r="Y162" s="2879"/>
      <c r="Z162" s="2879"/>
      <c r="AA162" s="2879"/>
      <c r="AB162" s="2879"/>
      <c r="AC162" s="2879"/>
      <c r="AD162" s="2879"/>
      <c r="AE162" s="2879"/>
      <c r="AF162" s="2879"/>
      <c r="AG162" s="2879"/>
      <c r="AH162" s="2879"/>
      <c r="AI162" s="2879"/>
      <c r="AJ162" s="2829"/>
      <c r="AK162" s="2099"/>
      <c r="AL162" s="2389"/>
    </row>
    <row r="163" spans="1:38" ht="11.45" customHeight="1" x14ac:dyDescent="0.2">
      <c r="A163" s="2721"/>
      <c r="B163" s="2679"/>
      <c r="C163" s="2126"/>
      <c r="D163" s="2879"/>
      <c r="E163" s="2879"/>
      <c r="F163" s="2879"/>
      <c r="G163" s="2879"/>
      <c r="H163" s="2879"/>
      <c r="I163" s="2879"/>
      <c r="J163" s="2879"/>
      <c r="K163" s="2879"/>
      <c r="L163" s="2879"/>
      <c r="M163" s="2879"/>
      <c r="N163" s="2879"/>
      <c r="O163" s="2879"/>
      <c r="P163" s="2879"/>
      <c r="Q163" s="2879"/>
      <c r="R163" s="2879"/>
      <c r="S163" s="2879"/>
      <c r="T163" s="2879"/>
      <c r="U163" s="2879"/>
      <c r="V163" s="2879"/>
      <c r="W163" s="2879"/>
      <c r="X163" s="2879"/>
      <c r="Y163" s="2879"/>
      <c r="Z163" s="2879"/>
      <c r="AA163" s="2879"/>
      <c r="AB163" s="2879"/>
      <c r="AC163" s="2879"/>
      <c r="AD163" s="2879"/>
      <c r="AE163" s="2879"/>
      <c r="AF163" s="2879"/>
      <c r="AG163" s="2879"/>
      <c r="AH163" s="2879"/>
      <c r="AI163" s="2879"/>
      <c r="AJ163" s="2829"/>
      <c r="AK163" s="2099"/>
      <c r="AL163" s="2389"/>
    </row>
    <row r="164" spans="1:38" ht="11.45" customHeight="1" x14ac:dyDescent="0.2">
      <c r="A164" s="2720"/>
      <c r="B164" s="2687"/>
      <c r="C164" s="2824"/>
      <c r="D164" s="2879"/>
      <c r="E164" s="2879"/>
      <c r="F164" s="2879"/>
      <c r="G164" s="2879"/>
      <c r="H164" s="2879"/>
      <c r="I164" s="2879"/>
      <c r="J164" s="2879"/>
      <c r="K164" s="2879"/>
      <c r="L164" s="2879"/>
      <c r="M164" s="2879"/>
      <c r="N164" s="2879"/>
      <c r="O164" s="2879"/>
      <c r="P164" s="2879"/>
      <c r="Q164" s="2879"/>
      <c r="R164" s="2879"/>
      <c r="S164" s="2879"/>
      <c r="T164" s="2879"/>
      <c r="U164" s="2879"/>
      <c r="V164" s="2879"/>
      <c r="W164" s="2879"/>
      <c r="X164" s="2879"/>
      <c r="Y164" s="2879"/>
      <c r="Z164" s="2879"/>
      <c r="AA164" s="2879"/>
      <c r="AB164" s="2879"/>
      <c r="AC164" s="2879"/>
      <c r="AD164" s="2879"/>
      <c r="AE164" s="2879"/>
      <c r="AF164" s="2879"/>
      <c r="AG164" s="2879"/>
      <c r="AH164" s="2879"/>
      <c r="AI164" s="2879"/>
      <c r="AJ164" s="2825"/>
      <c r="AK164" s="1579"/>
      <c r="AL164" s="1076"/>
    </row>
    <row r="165" spans="1:38" ht="11.45" customHeight="1" x14ac:dyDescent="0.2">
      <c r="A165" s="2721"/>
      <c r="B165" s="2679"/>
      <c r="C165" s="2129"/>
      <c r="D165" s="2879"/>
      <c r="E165" s="2879"/>
      <c r="F165" s="2879"/>
      <c r="G165" s="2879"/>
      <c r="H165" s="2879"/>
      <c r="I165" s="2879"/>
      <c r="J165" s="2879"/>
      <c r="K165" s="2879"/>
      <c r="L165" s="2879"/>
      <c r="M165" s="2879"/>
      <c r="N165" s="2879"/>
      <c r="O165" s="2879"/>
      <c r="P165" s="2879"/>
      <c r="Q165" s="2879"/>
      <c r="R165" s="2879"/>
      <c r="S165" s="2879"/>
      <c r="T165" s="2879"/>
      <c r="U165" s="2879"/>
      <c r="V165" s="2879"/>
      <c r="W165" s="2879"/>
      <c r="X165" s="2879"/>
      <c r="Y165" s="2879"/>
      <c r="Z165" s="2879"/>
      <c r="AA165" s="2879"/>
      <c r="AB165" s="2879"/>
      <c r="AC165" s="2879"/>
      <c r="AD165" s="2879"/>
      <c r="AE165" s="2879"/>
      <c r="AF165" s="2879"/>
      <c r="AG165" s="2879"/>
      <c r="AH165" s="2879"/>
      <c r="AI165" s="2879"/>
      <c r="AJ165" s="2823"/>
      <c r="AK165" s="2099"/>
      <c r="AL165" s="2389"/>
    </row>
    <row r="166" spans="1:38" ht="11.45" customHeight="1" x14ac:dyDescent="0.2">
      <c r="A166" s="2720"/>
      <c r="B166" s="2687"/>
      <c r="C166" s="2824"/>
      <c r="D166" s="2879"/>
      <c r="E166" s="2879"/>
      <c r="F166" s="2879"/>
      <c r="G166" s="2879"/>
      <c r="H166" s="2879"/>
      <c r="I166" s="2879"/>
      <c r="J166" s="2879"/>
      <c r="K166" s="2879"/>
      <c r="L166" s="2879"/>
      <c r="M166" s="2879"/>
      <c r="N166" s="2879"/>
      <c r="O166" s="2879"/>
      <c r="P166" s="2879"/>
      <c r="Q166" s="2879"/>
      <c r="R166" s="2879"/>
      <c r="S166" s="2879"/>
      <c r="T166" s="2879"/>
      <c r="U166" s="2879"/>
      <c r="V166" s="2879"/>
      <c r="W166" s="2879"/>
      <c r="X166" s="2879"/>
      <c r="Y166" s="2879"/>
      <c r="Z166" s="2879"/>
      <c r="AA166" s="2879"/>
      <c r="AB166" s="2879"/>
      <c r="AC166" s="2879"/>
      <c r="AD166" s="2879"/>
      <c r="AE166" s="2879"/>
      <c r="AF166" s="2879"/>
      <c r="AG166" s="2879"/>
      <c r="AH166" s="2879"/>
      <c r="AI166" s="2879"/>
      <c r="AJ166" s="2825"/>
      <c r="AK166" s="1579"/>
      <c r="AL166" s="1076"/>
    </row>
    <row r="167" spans="1:38" ht="11.45" customHeight="1" x14ac:dyDescent="0.2">
      <c r="A167" s="2721"/>
      <c r="B167" s="2679"/>
      <c r="C167" s="2129"/>
      <c r="D167" s="2879"/>
      <c r="E167" s="2879"/>
      <c r="F167" s="2879"/>
      <c r="G167" s="2879"/>
      <c r="H167" s="2879"/>
      <c r="I167" s="2879"/>
      <c r="J167" s="2879"/>
      <c r="K167" s="2879"/>
      <c r="L167" s="2879"/>
      <c r="M167" s="2879"/>
      <c r="N167" s="2879"/>
      <c r="O167" s="2879"/>
      <c r="P167" s="2879"/>
      <c r="Q167" s="2879"/>
      <c r="R167" s="2879"/>
      <c r="S167" s="2879"/>
      <c r="T167" s="2879"/>
      <c r="U167" s="2879"/>
      <c r="V167" s="2879"/>
      <c r="W167" s="2879"/>
      <c r="X167" s="2879"/>
      <c r="Y167" s="2879"/>
      <c r="Z167" s="2879"/>
      <c r="AA167" s="2879"/>
      <c r="AB167" s="2879"/>
      <c r="AC167" s="2879"/>
      <c r="AD167" s="2879"/>
      <c r="AE167" s="2879"/>
      <c r="AF167" s="2879"/>
      <c r="AG167" s="2879"/>
      <c r="AH167" s="2879"/>
      <c r="AI167" s="2879"/>
      <c r="AJ167" s="2823"/>
      <c r="AK167" s="2099"/>
      <c r="AL167" s="2389"/>
    </row>
    <row r="168" spans="1:38" ht="11.45" customHeight="1" x14ac:dyDescent="0.2">
      <c r="A168" s="2720"/>
      <c r="B168" s="2687"/>
      <c r="C168" s="2824"/>
      <c r="D168" s="2879"/>
      <c r="E168" s="2879"/>
      <c r="F168" s="2879"/>
      <c r="G168" s="2879"/>
      <c r="H168" s="2879"/>
      <c r="I168" s="2879"/>
      <c r="J168" s="2879"/>
      <c r="K168" s="2879"/>
      <c r="L168" s="2879"/>
      <c r="M168" s="2879"/>
      <c r="N168" s="2879"/>
      <c r="O168" s="2879"/>
      <c r="P168" s="2879"/>
      <c r="Q168" s="2879"/>
      <c r="R168" s="2879"/>
      <c r="S168" s="2879"/>
      <c r="T168" s="2879"/>
      <c r="U168" s="2879"/>
      <c r="V168" s="2879"/>
      <c r="W168" s="2879"/>
      <c r="X168" s="2879"/>
      <c r="Y168" s="2879"/>
      <c r="Z168" s="2879"/>
      <c r="AA168" s="2879"/>
      <c r="AB168" s="2879"/>
      <c r="AC168" s="2879"/>
      <c r="AD168" s="2879"/>
      <c r="AE168" s="2879"/>
      <c r="AF168" s="2879"/>
      <c r="AG168" s="2879"/>
      <c r="AH168" s="2879"/>
      <c r="AI168" s="2879"/>
      <c r="AJ168" s="2825"/>
      <c r="AK168" s="1579"/>
      <c r="AL168" s="1076"/>
    </row>
    <row r="169" spans="1:38" ht="11.45" customHeight="1" x14ac:dyDescent="0.2">
      <c r="A169" s="2721"/>
      <c r="B169" s="2679"/>
      <c r="C169" s="2129"/>
      <c r="D169" s="2879"/>
      <c r="E169" s="2879"/>
      <c r="F169" s="2879"/>
      <c r="G169" s="2879"/>
      <c r="H169" s="2879"/>
      <c r="I169" s="2879"/>
      <c r="J169" s="2879"/>
      <c r="K169" s="2879"/>
      <c r="L169" s="2879"/>
      <c r="M169" s="2879"/>
      <c r="N169" s="2879"/>
      <c r="O169" s="2879"/>
      <c r="P169" s="2879"/>
      <c r="Q169" s="2879"/>
      <c r="R169" s="2879"/>
      <c r="S169" s="2879"/>
      <c r="T169" s="2879"/>
      <c r="U169" s="2879"/>
      <c r="V169" s="2879"/>
      <c r="W169" s="2879"/>
      <c r="X169" s="2879"/>
      <c r="Y169" s="2879"/>
      <c r="Z169" s="2879"/>
      <c r="AA169" s="2879"/>
      <c r="AB169" s="2879"/>
      <c r="AC169" s="2879"/>
      <c r="AD169" s="2879"/>
      <c r="AE169" s="2879"/>
      <c r="AF169" s="2879"/>
      <c r="AG169" s="2879"/>
      <c r="AH169" s="2879"/>
      <c r="AI169" s="2879"/>
      <c r="AJ169" s="2829"/>
      <c r="AK169" s="2099"/>
      <c r="AL169" s="2389"/>
    </row>
    <row r="170" spans="1:38" ht="11.45" customHeight="1" x14ac:dyDescent="0.2">
      <c r="A170" s="2720"/>
      <c r="B170" s="2687"/>
      <c r="C170" s="2824"/>
      <c r="D170" s="2879"/>
      <c r="E170" s="2879"/>
      <c r="F170" s="2879"/>
      <c r="G170" s="2879"/>
      <c r="H170" s="2879"/>
      <c r="I170" s="2879"/>
      <c r="J170" s="2879"/>
      <c r="K170" s="2879"/>
      <c r="L170" s="2879"/>
      <c r="M170" s="2879"/>
      <c r="N170" s="2879"/>
      <c r="O170" s="2879"/>
      <c r="P170" s="2879"/>
      <c r="Q170" s="2879"/>
      <c r="R170" s="2879"/>
      <c r="S170" s="2879"/>
      <c r="T170" s="2879"/>
      <c r="U170" s="2879"/>
      <c r="V170" s="2879"/>
      <c r="W170" s="2879"/>
      <c r="X170" s="2879"/>
      <c r="Y170" s="2879"/>
      <c r="Z170" s="2879"/>
      <c r="AA170" s="2879"/>
      <c r="AB170" s="2879"/>
      <c r="AC170" s="2879"/>
      <c r="AD170" s="2879"/>
      <c r="AE170" s="2879"/>
      <c r="AF170" s="2879"/>
      <c r="AG170" s="2879"/>
      <c r="AH170" s="2879"/>
      <c r="AI170" s="2879"/>
      <c r="AJ170" s="2825"/>
      <c r="AK170" s="1579"/>
      <c r="AL170" s="1076"/>
    </row>
    <row r="171" spans="1:38" ht="11.45" customHeight="1" x14ac:dyDescent="0.2">
      <c r="A171" s="2721"/>
      <c r="B171" s="2679"/>
      <c r="C171" s="2129"/>
      <c r="D171" s="2879"/>
      <c r="E171" s="2879"/>
      <c r="F171" s="2879"/>
      <c r="G171" s="2879"/>
      <c r="H171" s="2879"/>
      <c r="I171" s="2879"/>
      <c r="J171" s="2879"/>
      <c r="K171" s="2879"/>
      <c r="L171" s="2879"/>
      <c r="M171" s="2879"/>
      <c r="N171" s="2879"/>
      <c r="O171" s="2879"/>
      <c r="P171" s="2879"/>
      <c r="Q171" s="2879"/>
      <c r="R171" s="2879"/>
      <c r="S171" s="2879"/>
      <c r="T171" s="2879"/>
      <c r="U171" s="2879"/>
      <c r="V171" s="2879"/>
      <c r="W171" s="2879"/>
      <c r="X171" s="2879"/>
      <c r="Y171" s="2879"/>
      <c r="Z171" s="2879"/>
      <c r="AA171" s="2879"/>
      <c r="AB171" s="2879"/>
      <c r="AC171" s="2879"/>
      <c r="AD171" s="2879"/>
      <c r="AE171" s="2879"/>
      <c r="AF171" s="2879"/>
      <c r="AG171" s="2879"/>
      <c r="AH171" s="2879"/>
      <c r="AI171" s="2879"/>
      <c r="AJ171" s="2829"/>
      <c r="AK171" s="2099"/>
      <c r="AL171" s="2389"/>
    </row>
    <row r="172" spans="1:38" ht="11.45" customHeight="1" x14ac:dyDescent="0.2">
      <c r="A172" s="2720"/>
      <c r="B172" s="2687"/>
      <c r="C172" s="2824"/>
      <c r="D172" s="2879"/>
      <c r="E172" s="2879"/>
      <c r="F172" s="2879"/>
      <c r="G172" s="2879"/>
      <c r="H172" s="2879"/>
      <c r="I172" s="2879"/>
      <c r="J172" s="2879"/>
      <c r="K172" s="2879"/>
      <c r="L172" s="2879"/>
      <c r="M172" s="2879"/>
      <c r="N172" s="2879"/>
      <c r="O172" s="2879"/>
      <c r="P172" s="2879"/>
      <c r="Q172" s="2879"/>
      <c r="R172" s="2879"/>
      <c r="S172" s="2879"/>
      <c r="T172" s="2879"/>
      <c r="U172" s="2879"/>
      <c r="V172" s="2879"/>
      <c r="W172" s="2879"/>
      <c r="X172" s="2879"/>
      <c r="Y172" s="2879"/>
      <c r="Z172" s="2879"/>
      <c r="AA172" s="2879"/>
      <c r="AB172" s="2879"/>
      <c r="AC172" s="2879"/>
      <c r="AD172" s="2879"/>
      <c r="AE172" s="2879"/>
      <c r="AF172" s="2879"/>
      <c r="AG172" s="2879"/>
      <c r="AH172" s="2879"/>
      <c r="AI172" s="2879"/>
      <c r="AJ172" s="2825"/>
      <c r="AK172" s="1579"/>
      <c r="AL172" s="1076"/>
    </row>
    <row r="173" spans="1:38" ht="11.45" customHeight="1" x14ac:dyDescent="0.2">
      <c r="A173" s="2721"/>
      <c r="B173" s="2679"/>
      <c r="C173" s="2115"/>
      <c r="D173" s="2879"/>
      <c r="E173" s="2879"/>
      <c r="F173" s="2879"/>
      <c r="G173" s="2879"/>
      <c r="H173" s="2879"/>
      <c r="I173" s="2879"/>
      <c r="J173" s="2879"/>
      <c r="K173" s="2879"/>
      <c r="L173" s="2879"/>
      <c r="M173" s="2879"/>
      <c r="N173" s="2879"/>
      <c r="O173" s="2879"/>
      <c r="P173" s="2879"/>
      <c r="Q173" s="2879"/>
      <c r="R173" s="2879"/>
      <c r="S173" s="2879"/>
      <c r="T173" s="2879"/>
      <c r="U173" s="2879"/>
      <c r="V173" s="2879"/>
      <c r="W173" s="2879"/>
      <c r="X173" s="2879"/>
      <c r="Y173" s="2879"/>
      <c r="Z173" s="2879"/>
      <c r="AA173" s="2879"/>
      <c r="AB173" s="2879"/>
      <c r="AC173" s="2879"/>
      <c r="AD173" s="2879"/>
      <c r="AE173" s="2879"/>
      <c r="AF173" s="2879"/>
      <c r="AG173" s="2879"/>
      <c r="AH173" s="2879"/>
      <c r="AI173" s="2879"/>
      <c r="AJ173" s="2826"/>
      <c r="AK173" s="2099"/>
      <c r="AL173" s="2389"/>
    </row>
    <row r="174" spans="1:38" ht="11.45" customHeight="1" x14ac:dyDescent="0.2">
      <c r="A174" s="2721"/>
      <c r="B174" s="2679"/>
      <c r="C174" s="2115"/>
      <c r="D174" s="2879"/>
      <c r="E174" s="2879"/>
      <c r="F174" s="2879"/>
      <c r="G174" s="2879"/>
      <c r="H174" s="2879"/>
      <c r="I174" s="2879"/>
      <c r="J174" s="2879"/>
      <c r="K174" s="2879"/>
      <c r="L174" s="2879"/>
      <c r="M174" s="2879"/>
      <c r="N174" s="2879"/>
      <c r="O174" s="2879"/>
      <c r="P174" s="2879"/>
      <c r="Q174" s="2879"/>
      <c r="R174" s="2879"/>
      <c r="S174" s="2879"/>
      <c r="T174" s="2879"/>
      <c r="U174" s="2879"/>
      <c r="V174" s="2879"/>
      <c r="W174" s="2879"/>
      <c r="X174" s="2879"/>
      <c r="Y174" s="2879"/>
      <c r="Z174" s="2879"/>
      <c r="AA174" s="2879"/>
      <c r="AB174" s="2879"/>
      <c r="AC174" s="2879"/>
      <c r="AD174" s="2879"/>
      <c r="AE174" s="2879"/>
      <c r="AF174" s="2879"/>
      <c r="AG174" s="2879"/>
      <c r="AH174" s="2879"/>
      <c r="AI174" s="2879"/>
      <c r="AJ174" s="2829"/>
      <c r="AK174" s="2099"/>
      <c r="AL174" s="2389"/>
    </row>
    <row r="175" spans="1:38" ht="11.45" customHeight="1" x14ac:dyDescent="0.2">
      <c r="A175" s="2721"/>
      <c r="B175" s="2679"/>
      <c r="C175" s="2115"/>
      <c r="D175" s="2879"/>
      <c r="E175" s="2879"/>
      <c r="F175" s="2879"/>
      <c r="G175" s="2879"/>
      <c r="H175" s="2879"/>
      <c r="I175" s="2879"/>
      <c r="J175" s="2879"/>
      <c r="K175" s="2879"/>
      <c r="L175" s="2879"/>
      <c r="M175" s="2879"/>
      <c r="N175" s="2879"/>
      <c r="O175" s="2879"/>
      <c r="P175" s="2879"/>
      <c r="Q175" s="2879"/>
      <c r="R175" s="2879"/>
      <c r="S175" s="2879"/>
      <c r="T175" s="2879"/>
      <c r="U175" s="2879"/>
      <c r="V175" s="2879"/>
      <c r="W175" s="2879"/>
      <c r="X175" s="2879"/>
      <c r="Y175" s="2879"/>
      <c r="Z175" s="2879"/>
      <c r="AA175" s="2879"/>
      <c r="AB175" s="2879"/>
      <c r="AC175" s="2879"/>
      <c r="AD175" s="2879"/>
      <c r="AE175" s="2879"/>
      <c r="AF175" s="2879"/>
      <c r="AG175" s="2879"/>
      <c r="AH175" s="2879"/>
      <c r="AI175" s="2879"/>
      <c r="AJ175" s="2823"/>
      <c r="AK175" s="2099"/>
      <c r="AL175" s="2389"/>
    </row>
    <row r="176" spans="1:38" ht="11.45" customHeight="1" x14ac:dyDescent="0.2">
      <c r="A176" s="2721"/>
      <c r="B176" s="2679"/>
      <c r="C176" s="2115"/>
      <c r="D176" s="2879"/>
      <c r="E176" s="2879"/>
      <c r="F176" s="2879"/>
      <c r="G176" s="2879"/>
      <c r="H176" s="2879"/>
      <c r="I176" s="2879"/>
      <c r="J176" s="2879"/>
      <c r="K176" s="2879"/>
      <c r="L176" s="2879"/>
      <c r="M176" s="2879"/>
      <c r="N176" s="2879"/>
      <c r="O176" s="2879"/>
      <c r="P176" s="2879"/>
      <c r="Q176" s="2879"/>
      <c r="R176" s="2879"/>
      <c r="S176" s="2879"/>
      <c r="T176" s="2879"/>
      <c r="U176" s="2879"/>
      <c r="V176" s="2879"/>
      <c r="W176" s="2879"/>
      <c r="X176" s="2879"/>
      <c r="Y176" s="2879"/>
      <c r="Z176" s="2879"/>
      <c r="AA176" s="2879"/>
      <c r="AB176" s="2879"/>
      <c r="AC176" s="2879"/>
      <c r="AD176" s="2879"/>
      <c r="AE176" s="2879"/>
      <c r="AF176" s="2879"/>
      <c r="AG176" s="2879"/>
      <c r="AH176" s="2879"/>
      <c r="AI176" s="2879"/>
      <c r="AJ176" s="2823"/>
      <c r="AK176" s="2099"/>
      <c r="AL176" s="2389"/>
    </row>
    <row r="177" spans="1:38" ht="11.45" customHeight="1" x14ac:dyDescent="0.2">
      <c r="A177" s="2720"/>
      <c r="B177" s="2687"/>
      <c r="C177" s="2824"/>
      <c r="D177" s="2879"/>
      <c r="E177" s="2879"/>
      <c r="F177" s="2879"/>
      <c r="G177" s="2879"/>
      <c r="H177" s="2879"/>
      <c r="I177" s="2879"/>
      <c r="J177" s="2879"/>
      <c r="K177" s="2879"/>
      <c r="L177" s="2879"/>
      <c r="M177" s="2879"/>
      <c r="N177" s="2879"/>
      <c r="O177" s="2879"/>
      <c r="P177" s="2879"/>
      <c r="Q177" s="2879"/>
      <c r="R177" s="2879"/>
      <c r="S177" s="2879"/>
      <c r="T177" s="2879"/>
      <c r="U177" s="2879"/>
      <c r="V177" s="2879"/>
      <c r="W177" s="2879"/>
      <c r="X177" s="2879"/>
      <c r="Y177" s="2879"/>
      <c r="Z177" s="2879"/>
      <c r="AA177" s="2879"/>
      <c r="AB177" s="2879"/>
      <c r="AC177" s="2879"/>
      <c r="AD177" s="2879"/>
      <c r="AE177" s="2879"/>
      <c r="AF177" s="2879"/>
      <c r="AG177" s="2879"/>
      <c r="AH177" s="2879"/>
      <c r="AI177" s="2879"/>
      <c r="AJ177" s="2825"/>
      <c r="AK177" s="1579"/>
      <c r="AL177" s="1076"/>
    </row>
    <row r="178" spans="1:38" ht="11.45" customHeight="1" x14ac:dyDescent="0.2">
      <c r="A178" s="2721"/>
      <c r="B178" s="2679"/>
      <c r="C178" s="2115"/>
      <c r="D178" s="2879"/>
      <c r="E178" s="2879"/>
      <c r="F178" s="2879"/>
      <c r="G178" s="2879"/>
      <c r="H178" s="2879"/>
      <c r="I178" s="2879"/>
      <c r="J178" s="2879"/>
      <c r="K178" s="2879"/>
      <c r="L178" s="2879"/>
      <c r="M178" s="2879"/>
      <c r="N178" s="2879"/>
      <c r="O178" s="2879"/>
      <c r="P178" s="2879"/>
      <c r="Q178" s="2879"/>
      <c r="R178" s="2879"/>
      <c r="S178" s="2879"/>
      <c r="T178" s="2879"/>
      <c r="U178" s="2879"/>
      <c r="V178" s="2879"/>
      <c r="W178" s="2879"/>
      <c r="X178" s="2879"/>
      <c r="Y178" s="2879"/>
      <c r="Z178" s="2879"/>
      <c r="AA178" s="2879"/>
      <c r="AB178" s="2879"/>
      <c r="AC178" s="2879"/>
      <c r="AD178" s="2879"/>
      <c r="AE178" s="2879"/>
      <c r="AF178" s="2879"/>
      <c r="AG178" s="2879"/>
      <c r="AH178" s="2879"/>
      <c r="AI178" s="2879"/>
      <c r="AJ178" s="2829"/>
      <c r="AK178" s="2099"/>
      <c r="AL178" s="2389"/>
    </row>
    <row r="179" spans="1:38" ht="11.45" customHeight="1" x14ac:dyDescent="0.2">
      <c r="A179" s="2721"/>
      <c r="B179" s="2679"/>
      <c r="C179" s="2115"/>
      <c r="D179" s="2879"/>
      <c r="E179" s="2879"/>
      <c r="F179" s="2879"/>
      <c r="G179" s="2879"/>
      <c r="H179" s="2879"/>
      <c r="I179" s="2879"/>
      <c r="J179" s="2879"/>
      <c r="K179" s="2879"/>
      <c r="L179" s="2879"/>
      <c r="M179" s="2879"/>
      <c r="N179" s="2879"/>
      <c r="O179" s="2879"/>
      <c r="P179" s="2879"/>
      <c r="Q179" s="2879"/>
      <c r="R179" s="2879"/>
      <c r="S179" s="2879"/>
      <c r="T179" s="2879"/>
      <c r="U179" s="2879"/>
      <c r="V179" s="2879"/>
      <c r="W179" s="2879"/>
      <c r="X179" s="2879"/>
      <c r="Y179" s="2879"/>
      <c r="Z179" s="2879"/>
      <c r="AA179" s="2879"/>
      <c r="AB179" s="2879"/>
      <c r="AC179" s="2879"/>
      <c r="AD179" s="2879"/>
      <c r="AE179" s="2879"/>
      <c r="AF179" s="2879"/>
      <c r="AG179" s="2879"/>
      <c r="AH179" s="2879"/>
      <c r="AI179" s="2879"/>
      <c r="AJ179" s="2829"/>
      <c r="AK179" s="2099"/>
      <c r="AL179" s="2389"/>
    </row>
    <row r="180" spans="1:38" ht="11.45" customHeight="1" x14ac:dyDescent="0.2">
      <c r="A180" s="2720"/>
      <c r="B180" s="2687"/>
      <c r="C180" s="2824"/>
      <c r="D180" s="2879"/>
      <c r="E180" s="2879"/>
      <c r="F180" s="2879"/>
      <c r="G180" s="2879"/>
      <c r="H180" s="2879"/>
      <c r="I180" s="2879"/>
      <c r="J180" s="2879"/>
      <c r="K180" s="2879"/>
      <c r="L180" s="2879"/>
      <c r="M180" s="2879"/>
      <c r="N180" s="2879"/>
      <c r="O180" s="2879"/>
      <c r="P180" s="2879"/>
      <c r="Q180" s="2879"/>
      <c r="R180" s="2879"/>
      <c r="S180" s="2879"/>
      <c r="T180" s="2879"/>
      <c r="U180" s="2879"/>
      <c r="V180" s="2879"/>
      <c r="W180" s="2879"/>
      <c r="X180" s="2879"/>
      <c r="Y180" s="2879"/>
      <c r="Z180" s="2879"/>
      <c r="AA180" s="2879"/>
      <c r="AB180" s="2879"/>
      <c r="AC180" s="2879"/>
      <c r="AD180" s="2879"/>
      <c r="AE180" s="2879"/>
      <c r="AF180" s="2879"/>
      <c r="AG180" s="2879"/>
      <c r="AH180" s="2879"/>
      <c r="AI180" s="2879"/>
      <c r="AJ180" s="2825"/>
      <c r="AK180" s="1579"/>
      <c r="AL180" s="1076"/>
    </row>
    <row r="181" spans="1:38" ht="11.45" customHeight="1" x14ac:dyDescent="0.2">
      <c r="A181" s="2721"/>
      <c r="B181" s="2679"/>
      <c r="C181" s="2115"/>
      <c r="D181" s="2879"/>
      <c r="E181" s="2879"/>
      <c r="F181" s="2879"/>
      <c r="G181" s="2879"/>
      <c r="H181" s="2879"/>
      <c r="I181" s="2879"/>
      <c r="J181" s="2879"/>
      <c r="K181" s="2879"/>
      <c r="L181" s="2879"/>
      <c r="M181" s="2879"/>
      <c r="N181" s="2879"/>
      <c r="O181" s="2879"/>
      <c r="P181" s="2879"/>
      <c r="Q181" s="2879"/>
      <c r="R181" s="2879"/>
      <c r="S181" s="2879"/>
      <c r="T181" s="2879"/>
      <c r="U181" s="2879"/>
      <c r="V181" s="2879"/>
      <c r="W181" s="2879"/>
      <c r="X181" s="2879"/>
      <c r="Y181" s="2879"/>
      <c r="Z181" s="2879"/>
      <c r="AA181" s="2879"/>
      <c r="AB181" s="2879"/>
      <c r="AC181" s="2879"/>
      <c r="AD181" s="2879"/>
      <c r="AE181" s="2879"/>
      <c r="AF181" s="2879"/>
      <c r="AG181" s="2879"/>
      <c r="AH181" s="2879"/>
      <c r="AI181" s="2879"/>
      <c r="AJ181" s="2829"/>
      <c r="AK181" s="2099"/>
      <c r="AL181" s="2389"/>
    </row>
    <row r="182" spans="1:38" ht="11.45" customHeight="1" x14ac:dyDescent="0.2">
      <c r="A182" s="2721"/>
      <c r="B182" s="2679"/>
      <c r="C182" s="2115"/>
      <c r="D182" s="2879"/>
      <c r="E182" s="2879"/>
      <c r="F182" s="2879"/>
      <c r="G182" s="2879"/>
      <c r="H182" s="2879"/>
      <c r="I182" s="2879"/>
      <c r="J182" s="2879"/>
      <c r="K182" s="2879"/>
      <c r="L182" s="2879"/>
      <c r="M182" s="2879"/>
      <c r="N182" s="2879"/>
      <c r="O182" s="2879"/>
      <c r="P182" s="2879"/>
      <c r="Q182" s="2879"/>
      <c r="R182" s="2879"/>
      <c r="S182" s="2879"/>
      <c r="T182" s="2879"/>
      <c r="U182" s="2879"/>
      <c r="V182" s="2879"/>
      <c r="W182" s="2879"/>
      <c r="X182" s="2879"/>
      <c r="Y182" s="2879"/>
      <c r="Z182" s="2879"/>
      <c r="AA182" s="2879"/>
      <c r="AB182" s="2879"/>
      <c r="AC182" s="2879"/>
      <c r="AD182" s="2879"/>
      <c r="AE182" s="2879"/>
      <c r="AF182" s="2879"/>
      <c r="AG182" s="2879"/>
      <c r="AH182" s="2879"/>
      <c r="AI182" s="2879"/>
      <c r="AJ182" s="2829"/>
      <c r="AK182" s="2099"/>
      <c r="AL182" s="2389"/>
    </row>
    <row r="183" spans="1:38" ht="11.45" customHeight="1" x14ac:dyDescent="0.2">
      <c r="A183" s="2720"/>
      <c r="B183" s="2687"/>
      <c r="C183" s="2824"/>
      <c r="D183" s="2879"/>
      <c r="E183" s="2879"/>
      <c r="F183" s="2879"/>
      <c r="G183" s="2879"/>
      <c r="H183" s="2879"/>
      <c r="I183" s="2879"/>
      <c r="J183" s="2879"/>
      <c r="K183" s="2879"/>
      <c r="L183" s="2879"/>
      <c r="M183" s="2879"/>
      <c r="N183" s="2879"/>
      <c r="O183" s="2879"/>
      <c r="P183" s="2879"/>
      <c r="Q183" s="2879"/>
      <c r="R183" s="2879"/>
      <c r="S183" s="2879"/>
      <c r="T183" s="2879"/>
      <c r="U183" s="2879"/>
      <c r="V183" s="2879"/>
      <c r="W183" s="2879"/>
      <c r="X183" s="2879"/>
      <c r="Y183" s="2879"/>
      <c r="Z183" s="2879"/>
      <c r="AA183" s="2879"/>
      <c r="AB183" s="2879"/>
      <c r="AC183" s="2879"/>
      <c r="AD183" s="2879"/>
      <c r="AE183" s="2879"/>
      <c r="AF183" s="2879"/>
      <c r="AG183" s="2879"/>
      <c r="AH183" s="2879"/>
      <c r="AI183" s="2879"/>
      <c r="AJ183" s="2825"/>
      <c r="AK183" s="1579"/>
      <c r="AL183" s="1076"/>
    </row>
    <row r="184" spans="1:38" ht="11.45" customHeight="1" x14ac:dyDescent="0.2">
      <c r="A184" s="2721"/>
      <c r="B184" s="2679"/>
      <c r="C184" s="2115"/>
      <c r="D184" s="2879"/>
      <c r="E184" s="2879"/>
      <c r="F184" s="2879"/>
      <c r="G184" s="2879"/>
      <c r="H184" s="2879"/>
      <c r="I184" s="2879"/>
      <c r="J184" s="2879"/>
      <c r="K184" s="2879"/>
      <c r="L184" s="2879"/>
      <c r="M184" s="2879"/>
      <c r="N184" s="2879"/>
      <c r="O184" s="2879"/>
      <c r="P184" s="2879"/>
      <c r="Q184" s="2879"/>
      <c r="R184" s="2879"/>
      <c r="S184" s="2879"/>
      <c r="T184" s="2879"/>
      <c r="U184" s="2879"/>
      <c r="V184" s="2879"/>
      <c r="W184" s="2879"/>
      <c r="X184" s="2879"/>
      <c r="Y184" s="2879"/>
      <c r="Z184" s="2879"/>
      <c r="AA184" s="2879"/>
      <c r="AB184" s="2879"/>
      <c r="AC184" s="2879"/>
      <c r="AD184" s="2879"/>
      <c r="AE184" s="2879"/>
      <c r="AF184" s="2879"/>
      <c r="AG184" s="2879"/>
      <c r="AH184" s="2879"/>
      <c r="AI184" s="2879"/>
      <c r="AJ184" s="2829"/>
      <c r="AK184" s="2099"/>
      <c r="AL184" s="2389"/>
    </row>
    <row r="185" spans="1:38" ht="11.45" customHeight="1" x14ac:dyDescent="0.2">
      <c r="A185" s="2720"/>
      <c r="B185" s="2687"/>
      <c r="C185" s="2824"/>
      <c r="D185" s="2879"/>
      <c r="E185" s="2879"/>
      <c r="F185" s="2879"/>
      <c r="G185" s="2879"/>
      <c r="H185" s="2879"/>
      <c r="I185" s="2879"/>
      <c r="J185" s="2879"/>
      <c r="K185" s="2879"/>
      <c r="L185" s="2879"/>
      <c r="M185" s="2879"/>
      <c r="N185" s="2879"/>
      <c r="O185" s="2879"/>
      <c r="P185" s="2879"/>
      <c r="Q185" s="2879"/>
      <c r="R185" s="2879"/>
      <c r="S185" s="2879"/>
      <c r="T185" s="2879"/>
      <c r="U185" s="2879"/>
      <c r="V185" s="2879"/>
      <c r="W185" s="2879"/>
      <c r="X185" s="2879"/>
      <c r="Y185" s="2879"/>
      <c r="Z185" s="2879"/>
      <c r="AA185" s="2879"/>
      <c r="AB185" s="2879"/>
      <c r="AC185" s="2879"/>
      <c r="AD185" s="2879"/>
      <c r="AE185" s="2879"/>
      <c r="AF185" s="2879"/>
      <c r="AG185" s="2879"/>
      <c r="AH185" s="2879"/>
      <c r="AI185" s="2879"/>
      <c r="AJ185" s="2825"/>
      <c r="AK185" s="1579"/>
      <c r="AL185" s="1076"/>
    </row>
    <row r="186" spans="1:38" ht="4.5" customHeight="1" x14ac:dyDescent="0.2">
      <c r="A186" s="2721"/>
      <c r="B186" s="2679"/>
      <c r="C186" s="2830"/>
      <c r="D186" s="2831"/>
      <c r="E186" s="2831"/>
      <c r="F186" s="2831"/>
      <c r="G186" s="2831"/>
      <c r="H186" s="2831"/>
      <c r="I186" s="2831"/>
      <c r="J186" s="2831"/>
      <c r="K186" s="2831"/>
      <c r="L186" s="2831"/>
      <c r="M186" s="2831"/>
      <c r="N186" s="2831"/>
      <c r="O186" s="2831"/>
      <c r="P186" s="2831"/>
      <c r="Q186" s="2831"/>
      <c r="R186" s="2831"/>
      <c r="S186" s="2831"/>
      <c r="T186" s="2831"/>
      <c r="U186" s="2831"/>
      <c r="V186" s="2831"/>
      <c r="W186" s="2831"/>
      <c r="X186" s="2831"/>
      <c r="Y186" s="2831"/>
      <c r="Z186" s="2831"/>
      <c r="AA186" s="2831"/>
      <c r="AB186" s="2831"/>
      <c r="AC186" s="2831"/>
      <c r="AD186" s="2831"/>
      <c r="AE186" s="2831"/>
      <c r="AF186" s="2831"/>
      <c r="AG186" s="2831"/>
      <c r="AH186" s="2831"/>
      <c r="AI186" s="2831"/>
      <c r="AJ186" s="2832"/>
      <c r="AK186" s="2099"/>
      <c r="AL186" s="2389"/>
    </row>
    <row r="187" spans="1:38" ht="12.75" customHeight="1" thickBot="1" x14ac:dyDescent="0.25">
      <c r="A187" s="2721"/>
      <c r="B187" s="2680"/>
      <c r="C187" s="2484"/>
      <c r="D187" s="2484"/>
      <c r="E187" s="2484"/>
      <c r="F187" s="2484"/>
      <c r="G187" s="2484"/>
      <c r="H187" s="2484"/>
      <c r="I187" s="2484"/>
      <c r="J187" s="2484"/>
      <c r="K187" s="2484"/>
      <c r="L187" s="2484"/>
      <c r="M187" s="2484"/>
      <c r="N187" s="2484"/>
      <c r="O187" s="2484"/>
      <c r="P187" s="2484"/>
      <c r="Q187" s="2484"/>
      <c r="R187" s="2484"/>
      <c r="S187" s="2484"/>
      <c r="T187" s="2484"/>
      <c r="U187" s="2484"/>
      <c r="V187" s="2484"/>
      <c r="W187" s="2484"/>
      <c r="X187" s="2484"/>
      <c r="Y187" s="2484"/>
      <c r="Z187" s="2484"/>
      <c r="AA187" s="2484"/>
      <c r="AB187" s="2484"/>
      <c r="AC187" s="2484"/>
      <c r="AD187" s="2484"/>
      <c r="AE187" s="2484"/>
      <c r="AF187" s="2484"/>
      <c r="AG187" s="2484"/>
      <c r="AH187" s="2484"/>
      <c r="AI187" s="2503"/>
      <c r="AJ187" s="2503"/>
      <c r="AK187" s="2501"/>
      <c r="AL187" s="2722"/>
    </row>
    <row r="188" spans="1:38"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3"/>
      <c r="AJ188" s="2323"/>
      <c r="AK188" s="2323" t="str">
        <f>Resumen!$AK$105</f>
        <v>Ficha Excel. Versión 8.3.3</v>
      </c>
      <c r="AL188" s="2389"/>
    </row>
  </sheetData>
  <sheetProtection formatRows="0" selectLockedCells="1"/>
  <mergeCells count="103">
    <mergeCell ref="Q37:R37"/>
    <mergeCell ref="U37:V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AN99:AP100"/>
    <mergeCell ref="AN97:AP98"/>
    <mergeCell ref="S93:AI93"/>
    <mergeCell ref="L92:R93"/>
    <mergeCell ref="D98:AI103"/>
    <mergeCell ref="D111:AI185"/>
    <mergeCell ref="AN111:AP111"/>
    <mergeCell ref="H95:K95"/>
    <mergeCell ref="E109:AH110"/>
    <mergeCell ref="J39:AI41"/>
    <mergeCell ref="Y37:Z37"/>
    <mergeCell ref="AC37:AD37"/>
    <mergeCell ref="D37:J37"/>
    <mergeCell ref="D38:I39"/>
    <mergeCell ref="M37:N37"/>
    <mergeCell ref="L94:P95"/>
    <mergeCell ref="Q95:Z95"/>
    <mergeCell ref="H60:K60"/>
    <mergeCell ref="O60:Q60"/>
    <mergeCell ref="Y48:AA48"/>
    <mergeCell ref="F50:I50"/>
    <mergeCell ref="F48:U48"/>
    <mergeCell ref="D81:G81"/>
    <mergeCell ref="H81:AI81"/>
    <mergeCell ref="H79:AI79"/>
    <mergeCell ref="D79:G79"/>
    <mergeCell ref="D83:J84"/>
    <mergeCell ref="K84:AI85"/>
    <mergeCell ref="D42:F43"/>
    <mergeCell ref="K76:AI77"/>
    <mergeCell ref="D86:F87"/>
    <mergeCell ref="D53:H54"/>
    <mergeCell ref="AG37:AH37"/>
    <mergeCell ref="AN2:AP3"/>
    <mergeCell ref="L12:W12"/>
    <mergeCell ref="Y3:AJ3"/>
    <mergeCell ref="R16:S16"/>
    <mergeCell ref="H19:AI21"/>
    <mergeCell ref="H25:AI27"/>
    <mergeCell ref="H28:AI30"/>
    <mergeCell ref="Y35:Z35"/>
    <mergeCell ref="AC35:AD35"/>
    <mergeCell ref="AG35:AH35"/>
    <mergeCell ref="Q35:R35"/>
    <mergeCell ref="U35:V35"/>
    <mergeCell ref="J13:K13"/>
    <mergeCell ref="J14:K14"/>
    <mergeCell ref="N13:O13"/>
    <mergeCell ref="V16:W16"/>
    <mergeCell ref="F11:I11"/>
    <mergeCell ref="E12:G12"/>
    <mergeCell ref="I35:J35"/>
    <mergeCell ref="M35:N35"/>
    <mergeCell ref="F14:G14"/>
    <mergeCell ref="F16:G16"/>
    <mergeCell ref="AN22:AP24"/>
    <mergeCell ref="AN25:AP26"/>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D92:F93"/>
    <mergeCell ref="G43:AI45"/>
    <mergeCell ref="Y50:AA50"/>
    <mergeCell ref="G87:AI90"/>
    <mergeCell ref="D72:J73"/>
    <mergeCell ref="K73:AI74"/>
    <mergeCell ref="N50:T50"/>
    <mergeCell ref="D75:J76"/>
  </mergeCells>
  <phoneticPr fontId="9" type="noConversion"/>
  <conditionalFormatting sqref="A106:AL110 A186:AL188 A111:D111 A112:C185 AJ111:AL185">
    <cfRule type="expression" dxfId="1250"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X37" sqref="X37:Z38"/>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291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55" t="s">
        <v>9024</v>
      </c>
    </row>
    <row r="2" spans="1:41" s="722" customFormat="1" ht="12" customHeight="1" thickBot="1" x14ac:dyDescent="0.25">
      <c r="A2" s="2917"/>
      <c r="B2" s="717" t="s">
        <v>6731</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2756"/>
    </row>
    <row r="3" spans="1:41" ht="12" customHeight="1" thickBot="1" x14ac:dyDescent="0.25">
      <c r="A3" s="2917"/>
      <c r="B3" s="712"/>
      <c r="C3" s="5"/>
      <c r="D3" s="5"/>
      <c r="E3" s="5"/>
      <c r="F3" s="2100"/>
      <c r="G3" s="5"/>
      <c r="H3" s="5"/>
      <c r="I3" s="5"/>
      <c r="J3" s="5"/>
      <c r="K3" s="5"/>
      <c r="L3" s="5"/>
      <c r="T3" s="713"/>
      <c r="U3" s="3"/>
      <c r="V3" s="4"/>
      <c r="W3" s="6"/>
      <c r="X3" s="3023"/>
      <c r="Y3" s="3023"/>
      <c r="Z3" s="3023"/>
      <c r="AA3" s="3023"/>
      <c r="AB3" s="3023"/>
      <c r="AC3" s="3023"/>
      <c r="AD3" s="7"/>
      <c r="AE3" s="2606"/>
      <c r="AF3" s="2606"/>
      <c r="AG3" s="2606"/>
      <c r="AH3" s="2606"/>
      <c r="AI3" s="2606"/>
      <c r="AJ3" s="2606"/>
      <c r="AK3" s="2606"/>
      <c r="AL3" s="8"/>
      <c r="AM3" s="9"/>
      <c r="AN3" s="4"/>
      <c r="AO3" s="2756"/>
    </row>
    <row r="4" spans="1:41" ht="12" customHeight="1" thickBot="1" x14ac:dyDescent="0.25">
      <c r="A4" s="2917"/>
      <c r="B4" s="712"/>
      <c r="L4" s="1861"/>
      <c r="M4" s="2944" t="s">
        <v>9003</v>
      </c>
      <c r="N4" s="2945"/>
      <c r="O4" s="2945"/>
      <c r="P4" s="2945"/>
      <c r="Q4" s="2945"/>
      <c r="R4" s="2945"/>
      <c r="S4" s="2946"/>
      <c r="T4" s="713"/>
      <c r="U4" s="3"/>
      <c r="V4" s="4"/>
      <c r="W4" s="6"/>
      <c r="X4" s="3023"/>
      <c r="Y4" s="3023"/>
      <c r="Z4" s="3023"/>
      <c r="AA4" s="3023"/>
      <c r="AB4" s="3023"/>
      <c r="AC4" s="3023"/>
      <c r="AD4" s="10"/>
      <c r="AE4" s="3024" t="s">
        <v>1331</v>
      </c>
      <c r="AF4" s="3024"/>
      <c r="AG4" s="3025" t="str">
        <f>IF(OR(General!$F$22="",General!$F$22=0),"",General!$F$22)</f>
        <v/>
      </c>
      <c r="AH4" s="3025"/>
      <c r="AI4" s="3025"/>
      <c r="AJ4" s="3025"/>
      <c r="AK4" s="3025"/>
      <c r="AL4" s="11"/>
      <c r="AM4" s="9"/>
      <c r="AN4" s="4"/>
      <c r="AO4" s="2756"/>
    </row>
    <row r="5" spans="1:41" ht="12" customHeight="1" thickBot="1" x14ac:dyDescent="0.25">
      <c r="A5" s="2917"/>
      <c r="B5" s="712"/>
      <c r="L5" s="1861"/>
      <c r="M5" s="2947"/>
      <c r="N5" s="2948"/>
      <c r="O5" s="2948"/>
      <c r="P5" s="2948"/>
      <c r="Q5" s="2948"/>
      <c r="R5" s="2948"/>
      <c r="S5" s="2949"/>
      <c r="T5" s="713"/>
      <c r="U5" s="3"/>
      <c r="V5" s="4"/>
      <c r="W5" s="6"/>
      <c r="X5" s="3023"/>
      <c r="Y5" s="3023"/>
      <c r="Z5" s="3023"/>
      <c r="AA5" s="3023"/>
      <c r="AB5" s="3023"/>
      <c r="AC5" s="3023"/>
      <c r="AD5" s="10"/>
      <c r="AE5" s="3017" t="s">
        <v>1332</v>
      </c>
      <c r="AF5" s="3017"/>
      <c r="AG5" s="2838" t="str">
        <f>Principal!$K$5</f>
        <v>Novel</v>
      </c>
      <c r="AH5" s="2838"/>
      <c r="AI5" s="2838"/>
      <c r="AJ5" s="2605" t="s">
        <v>1333</v>
      </c>
      <c r="AK5" s="2593" t="str">
        <f>Principal!$O$6</f>
        <v>1</v>
      </c>
      <c r="AL5" s="12"/>
      <c r="AM5" s="9"/>
      <c r="AN5" s="4"/>
      <c r="AO5" s="2756"/>
    </row>
    <row r="6" spans="1:41" ht="12" customHeight="1" thickBot="1" x14ac:dyDescent="0.25">
      <c r="A6" s="2917"/>
      <c r="B6" s="712"/>
      <c r="C6" s="1862"/>
      <c r="D6" s="1863"/>
      <c r="E6" s="1863"/>
      <c r="F6" s="1863"/>
      <c r="G6" s="1863"/>
      <c r="H6" s="1863"/>
      <c r="I6" s="1863"/>
      <c r="J6" s="1863"/>
      <c r="K6" s="1864"/>
      <c r="L6" s="1861"/>
      <c r="M6" s="2947"/>
      <c r="N6" s="2948"/>
      <c r="O6" s="2948"/>
      <c r="P6" s="2948"/>
      <c r="Q6" s="2948"/>
      <c r="R6" s="2948"/>
      <c r="S6" s="2949"/>
      <c r="T6" s="713"/>
      <c r="U6" s="3"/>
      <c r="V6" s="4"/>
      <c r="W6" s="6"/>
      <c r="X6" s="3023"/>
      <c r="Y6" s="3023"/>
      <c r="Z6" s="3023"/>
      <c r="AA6" s="3023"/>
      <c r="AB6" s="3023"/>
      <c r="AC6" s="3023"/>
      <c r="AD6" s="10"/>
      <c r="AE6" s="3018" t="s">
        <v>1334</v>
      </c>
      <c r="AF6" s="3018"/>
      <c r="AG6" s="3018"/>
      <c r="AH6" s="3018"/>
      <c r="AI6" s="3018"/>
      <c r="AJ6" s="3018"/>
      <c r="AK6" s="3018"/>
      <c r="AL6" s="12"/>
      <c r="AM6" s="9"/>
      <c r="AN6" s="4"/>
      <c r="AO6" s="2756"/>
    </row>
    <row r="7" spans="1:41" ht="12" customHeight="1" thickBot="1" x14ac:dyDescent="0.25">
      <c r="A7" s="2917"/>
      <c r="B7" s="712"/>
      <c r="C7" s="1865"/>
      <c r="D7" s="789"/>
      <c r="E7" s="789"/>
      <c r="F7" s="789"/>
      <c r="G7" s="789"/>
      <c r="H7" s="789"/>
      <c r="I7" s="789"/>
      <c r="J7" s="789"/>
      <c r="K7" s="1866"/>
      <c r="L7" s="1861"/>
      <c r="M7" s="2947"/>
      <c r="N7" s="2948"/>
      <c r="O7" s="2948"/>
      <c r="P7" s="2948"/>
      <c r="Q7" s="2948"/>
      <c r="R7" s="2948"/>
      <c r="S7" s="2949"/>
      <c r="T7" s="713"/>
      <c r="U7" s="3"/>
      <c r="V7" s="4"/>
      <c r="W7" s="6"/>
      <c r="X7" s="3023"/>
      <c r="Y7" s="3023"/>
      <c r="Z7" s="3023"/>
      <c r="AA7" s="3023"/>
      <c r="AB7" s="3023"/>
      <c r="AC7" s="3023"/>
      <c r="AD7" s="10"/>
      <c r="AE7" s="3018"/>
      <c r="AF7" s="3018"/>
      <c r="AG7" s="3018"/>
      <c r="AH7" s="3018"/>
      <c r="AI7" s="3018"/>
      <c r="AJ7" s="3018"/>
      <c r="AK7" s="3018"/>
      <c r="AL7" s="12"/>
      <c r="AM7" s="9"/>
      <c r="AN7" s="4"/>
      <c r="AO7" s="2756"/>
    </row>
    <row r="8" spans="1:41" ht="12" customHeight="1" thickBot="1" x14ac:dyDescent="0.25">
      <c r="A8" s="2917"/>
      <c r="B8" s="712"/>
      <c r="C8" s="1865"/>
      <c r="D8" s="789"/>
      <c r="E8" s="789"/>
      <c r="F8" s="789"/>
      <c r="G8" s="789"/>
      <c r="H8" s="789"/>
      <c r="I8" s="789"/>
      <c r="J8" s="789"/>
      <c r="K8" s="1866"/>
      <c r="L8" s="1861"/>
      <c r="M8" s="2947"/>
      <c r="N8" s="2948"/>
      <c r="O8" s="2948"/>
      <c r="P8" s="2948"/>
      <c r="Q8" s="2948"/>
      <c r="R8" s="2948"/>
      <c r="S8" s="2949"/>
      <c r="T8" s="713"/>
      <c r="U8" s="3"/>
      <c r="V8" s="4"/>
      <c r="W8" s="6"/>
      <c r="X8" s="3023"/>
      <c r="Y8" s="3023"/>
      <c r="Z8" s="3023"/>
      <c r="AA8" s="3023"/>
      <c r="AB8" s="3023"/>
      <c r="AC8" s="3023"/>
      <c r="AD8" s="13"/>
      <c r="AE8" s="13"/>
      <c r="AF8" s="13"/>
      <c r="AG8" s="13"/>
      <c r="AH8" s="13"/>
      <c r="AI8" s="13"/>
      <c r="AJ8" s="13"/>
      <c r="AK8" s="13"/>
      <c r="AL8" s="14"/>
      <c r="AM8" s="9"/>
      <c r="AN8" s="4"/>
      <c r="AO8" s="2756"/>
    </row>
    <row r="9" spans="1:41" ht="12" customHeight="1" thickBot="1" x14ac:dyDescent="0.25">
      <c r="A9" s="2917"/>
      <c r="B9" s="712"/>
      <c r="C9" s="1865"/>
      <c r="D9" s="789"/>
      <c r="E9" s="789"/>
      <c r="F9" s="789"/>
      <c r="G9" s="789"/>
      <c r="H9" s="789"/>
      <c r="I9" s="789"/>
      <c r="J9" s="789"/>
      <c r="K9" s="1866"/>
      <c r="L9" s="1861"/>
      <c r="M9" s="2947"/>
      <c r="N9" s="2948"/>
      <c r="O9" s="2948"/>
      <c r="P9" s="2948"/>
      <c r="Q9" s="2948"/>
      <c r="R9" s="2948"/>
      <c r="S9" s="2949"/>
      <c r="T9" s="713"/>
      <c r="U9" s="3"/>
      <c r="V9" s="4"/>
      <c r="W9" s="6"/>
      <c r="X9" s="926"/>
      <c r="Y9" s="15"/>
      <c r="Z9" s="15"/>
      <c r="AA9" s="15"/>
      <c r="AB9" s="15"/>
      <c r="AC9" s="15"/>
      <c r="AD9" s="926"/>
      <c r="AE9" s="15"/>
      <c r="AF9" s="15"/>
      <c r="AG9" s="15"/>
      <c r="AH9" s="15"/>
      <c r="AI9" s="15"/>
      <c r="AJ9" s="15"/>
      <c r="AK9" s="15"/>
      <c r="AL9" s="15"/>
      <c r="AM9" s="9"/>
      <c r="AN9" s="4"/>
      <c r="AO9" s="2756"/>
    </row>
    <row r="10" spans="1:41" ht="12" customHeight="1" thickBot="1" x14ac:dyDescent="0.25">
      <c r="A10" s="2917"/>
      <c r="B10" s="714"/>
      <c r="C10" s="1865"/>
      <c r="D10" s="789"/>
      <c r="E10" s="789"/>
      <c r="F10" s="789"/>
      <c r="G10" s="789"/>
      <c r="H10" s="789"/>
      <c r="I10" s="789"/>
      <c r="J10" s="789"/>
      <c r="K10" s="1866"/>
      <c r="L10" s="1861"/>
      <c r="M10" s="2947"/>
      <c r="N10" s="2948"/>
      <c r="O10" s="2948"/>
      <c r="P10" s="2948"/>
      <c r="Q10" s="2948"/>
      <c r="R10" s="2948"/>
      <c r="S10" s="2949"/>
      <c r="T10" s="713"/>
      <c r="U10" s="3"/>
      <c r="V10" s="4"/>
      <c r="W10" s="6"/>
      <c r="X10" s="3026" t="s">
        <v>7321</v>
      </c>
      <c r="Y10" s="3027"/>
      <c r="Z10" s="3027"/>
      <c r="AA10" s="3027"/>
      <c r="AB10" s="3027"/>
      <c r="AC10" s="3027"/>
      <c r="AD10" s="3028"/>
      <c r="AE10" s="927"/>
      <c r="AF10" s="2992" t="s">
        <v>1338</v>
      </c>
      <c r="AG10" s="2993"/>
      <c r="AH10" s="2993"/>
      <c r="AI10" s="2993"/>
      <c r="AJ10" s="3019" t="s">
        <v>1336</v>
      </c>
      <c r="AK10" s="3019"/>
      <c r="AL10" s="1765" t="s">
        <v>1337</v>
      </c>
      <c r="AM10" s="9"/>
      <c r="AN10" s="4"/>
      <c r="AO10" s="2756"/>
    </row>
    <row r="11" spans="1:41" ht="12" customHeight="1" x14ac:dyDescent="0.2">
      <c r="A11" s="2917"/>
      <c r="B11" s="714"/>
      <c r="C11" s="1865"/>
      <c r="D11" s="789"/>
      <c r="E11" s="789"/>
      <c r="F11" s="789"/>
      <c r="G11" s="789"/>
      <c r="H11" s="789"/>
      <c r="I11" s="789"/>
      <c r="J11" s="789"/>
      <c r="K11" s="1866"/>
      <c r="L11" s="1861"/>
      <c r="M11" s="2947"/>
      <c r="N11" s="2948"/>
      <c r="O11" s="2948"/>
      <c r="P11" s="2948"/>
      <c r="Q11" s="2948"/>
      <c r="R11" s="2948"/>
      <c r="S11" s="2949"/>
      <c r="T11" s="713"/>
      <c r="U11" s="3"/>
      <c r="V11" s="4"/>
      <c r="W11" s="6"/>
      <c r="X11" s="3032" t="s">
        <v>7445</v>
      </c>
      <c r="Y11" s="3033"/>
      <c r="Z11" s="3033"/>
      <c r="AA11" s="3031" t="s">
        <v>1357</v>
      </c>
      <c r="AB11" s="3031"/>
      <c r="AC11" s="3029" t="s">
        <v>7409</v>
      </c>
      <c r="AD11" s="3030"/>
      <c r="AF11" s="3020"/>
      <c r="AG11" s="3021"/>
      <c r="AH11" s="3021"/>
      <c r="AI11" s="3022"/>
      <c r="AJ11" s="3000"/>
      <c r="AK11" s="3001"/>
      <c r="AL11" s="1766"/>
      <c r="AM11" s="9"/>
      <c r="AN11" s="4"/>
      <c r="AO11" s="2756"/>
    </row>
    <row r="12" spans="1:41" ht="12" customHeight="1" x14ac:dyDescent="0.2">
      <c r="A12" s="2917"/>
      <c r="B12" s="712"/>
      <c r="C12" s="1865"/>
      <c r="D12" s="789"/>
      <c r="E12" s="789"/>
      <c r="F12" s="789"/>
      <c r="G12" s="789"/>
      <c r="H12" s="789"/>
      <c r="I12" s="789"/>
      <c r="J12" s="789"/>
      <c r="K12" s="1866"/>
      <c r="L12" s="1861"/>
      <c r="M12" s="2947"/>
      <c r="N12" s="2948"/>
      <c r="O12" s="2948"/>
      <c r="P12" s="2948"/>
      <c r="Q12" s="2948"/>
      <c r="R12" s="2948"/>
      <c r="S12" s="2949"/>
      <c r="T12" s="713"/>
      <c r="U12" s="3"/>
      <c r="V12" s="4"/>
      <c r="W12" s="6"/>
      <c r="X12" s="3004"/>
      <c r="Y12" s="3005"/>
      <c r="Z12" s="3006"/>
      <c r="AA12" s="3010">
        <f>VLOOKUP(Nivel_Total,Tabla_ExpTotal,AjusteNivel+2,FALSE)+X12</f>
        <v>0</v>
      </c>
      <c r="AB12" s="3014"/>
      <c r="AC12" s="3010">
        <f>VLOOKUP(Nivel_Total+1,Tabla_ExpTotal,AjusteNivel+2,FALSE)</f>
        <v>100</v>
      </c>
      <c r="AD12" s="3011"/>
      <c r="AF12" s="2975"/>
      <c r="AG12" s="2976"/>
      <c r="AH12" s="2976"/>
      <c r="AI12" s="2977"/>
      <c r="AJ12" s="2998"/>
      <c r="AK12" s="2999"/>
      <c r="AL12" s="1759"/>
      <c r="AM12" s="9"/>
      <c r="AN12" s="4"/>
      <c r="AO12" s="2756"/>
    </row>
    <row r="13" spans="1:41" ht="12" customHeight="1" thickBot="1" x14ac:dyDescent="0.25">
      <c r="A13" s="2917"/>
      <c r="B13" s="712"/>
      <c r="C13" s="1865"/>
      <c r="D13" s="789"/>
      <c r="E13" s="789"/>
      <c r="F13" s="789"/>
      <c r="G13" s="789"/>
      <c r="H13" s="789"/>
      <c r="I13" s="789"/>
      <c r="J13" s="789"/>
      <c r="K13" s="1866"/>
      <c r="L13" s="1861"/>
      <c r="M13" s="2947"/>
      <c r="N13" s="2948"/>
      <c r="O13" s="2948"/>
      <c r="P13" s="2948"/>
      <c r="Q13" s="2948"/>
      <c r="R13" s="2948"/>
      <c r="S13" s="2949"/>
      <c r="T13" s="713"/>
      <c r="U13" s="3"/>
      <c r="V13" s="4"/>
      <c r="W13" s="6"/>
      <c r="X13" s="3007"/>
      <c r="Y13" s="3008"/>
      <c r="Z13" s="3009"/>
      <c r="AA13" s="3012"/>
      <c r="AB13" s="3015"/>
      <c r="AC13" s="3012"/>
      <c r="AD13" s="3013"/>
      <c r="AE13" s="1001"/>
      <c r="AF13" s="2975"/>
      <c r="AG13" s="2976"/>
      <c r="AH13" s="2976"/>
      <c r="AI13" s="2977"/>
      <c r="AJ13" s="2998"/>
      <c r="AK13" s="2999"/>
      <c r="AL13" s="1759"/>
      <c r="AM13" s="9"/>
      <c r="AN13" s="4"/>
      <c r="AO13" s="2756"/>
    </row>
    <row r="14" spans="1:41" ht="12" customHeight="1" thickBot="1" x14ac:dyDescent="0.25">
      <c r="A14" s="2917"/>
      <c r="B14" s="712"/>
      <c r="C14" s="1865"/>
      <c r="D14" s="789"/>
      <c r="E14" s="789"/>
      <c r="F14" s="789"/>
      <c r="G14" s="789"/>
      <c r="H14" s="789"/>
      <c r="I14" s="789"/>
      <c r="J14" s="789"/>
      <c r="K14" s="1866"/>
      <c r="L14" s="1861"/>
      <c r="M14" s="2947"/>
      <c r="N14" s="2948"/>
      <c r="O14" s="2948"/>
      <c r="P14" s="2948"/>
      <c r="Q14" s="2948"/>
      <c r="R14" s="2948"/>
      <c r="S14" s="2949"/>
      <c r="T14" s="713"/>
      <c r="U14" s="3"/>
      <c r="V14" s="4"/>
      <c r="W14" s="6"/>
      <c r="X14" s="3016" t="str">
        <f>IF(AND(General!X12="",OR(Tablas!G472&gt;0,Tablas!G473&gt;0,Tablas!G474&gt;0)),"Suma experiencia de Curtido (50 por PC empleado)","")</f>
        <v/>
      </c>
      <c r="Y14" s="3016"/>
      <c r="Z14" s="3016"/>
      <c r="AA14" s="3016"/>
      <c r="AB14" s="3016"/>
      <c r="AC14" s="3016"/>
      <c r="AD14" s="3016"/>
      <c r="AF14" s="2975"/>
      <c r="AG14" s="2976"/>
      <c r="AH14" s="2976"/>
      <c r="AI14" s="2977"/>
      <c r="AJ14" s="2998"/>
      <c r="AK14" s="2999"/>
      <c r="AL14" s="1759"/>
      <c r="AM14" s="9"/>
      <c r="AN14" s="4"/>
      <c r="AO14" s="2756"/>
    </row>
    <row r="15" spans="1:41" ht="12" customHeight="1" thickBot="1" x14ac:dyDescent="0.25">
      <c r="A15" s="2917"/>
      <c r="B15" s="712"/>
      <c r="C15" s="1867"/>
      <c r="D15" s="1868"/>
      <c r="E15" s="1868"/>
      <c r="F15" s="1868"/>
      <c r="G15" s="1868"/>
      <c r="H15" s="1868"/>
      <c r="I15" s="1868"/>
      <c r="J15" s="1868"/>
      <c r="K15" s="1869"/>
      <c r="L15" s="1870"/>
      <c r="M15" s="2947"/>
      <c r="N15" s="2948"/>
      <c r="O15" s="2948"/>
      <c r="P15" s="2948"/>
      <c r="Q15" s="2948"/>
      <c r="R15" s="2948"/>
      <c r="S15" s="2949"/>
      <c r="T15" s="713"/>
      <c r="U15" s="3"/>
      <c r="V15" s="4"/>
      <c r="W15" s="6"/>
      <c r="X15" s="2992" t="s">
        <v>1335</v>
      </c>
      <c r="Y15" s="2993"/>
      <c r="Z15" s="2993"/>
      <c r="AA15" s="2993"/>
      <c r="AB15" s="3002" t="s">
        <v>1336</v>
      </c>
      <c r="AC15" s="3003"/>
      <c r="AD15" s="1772" t="s">
        <v>1337</v>
      </c>
      <c r="AF15" s="2975"/>
      <c r="AG15" s="2976"/>
      <c r="AH15" s="2976"/>
      <c r="AI15" s="2977"/>
      <c r="AJ15" s="2998"/>
      <c r="AK15" s="2999"/>
      <c r="AL15" s="1759"/>
      <c r="AM15" s="9"/>
      <c r="AN15" s="4"/>
      <c r="AO15" s="2756"/>
    </row>
    <row r="16" spans="1:41" ht="12" customHeight="1" thickBot="1" x14ac:dyDescent="0.25">
      <c r="A16" s="2917"/>
      <c r="B16" s="712"/>
      <c r="C16" s="1870"/>
      <c r="D16" s="1870"/>
      <c r="E16" s="1870"/>
      <c r="F16" s="1871"/>
      <c r="G16" s="1871"/>
      <c r="H16" s="1871"/>
      <c r="I16" s="1871"/>
      <c r="J16" s="1871"/>
      <c r="K16" s="1871"/>
      <c r="L16" s="1871"/>
      <c r="M16" s="2950"/>
      <c r="N16" s="2951"/>
      <c r="O16" s="2951"/>
      <c r="P16" s="2951"/>
      <c r="Q16" s="2951"/>
      <c r="R16" s="2951"/>
      <c r="S16" s="2952"/>
      <c r="T16" s="713"/>
      <c r="U16" s="3"/>
      <c r="V16" s="4"/>
      <c r="W16" s="6"/>
      <c r="X16" s="2975"/>
      <c r="Y16" s="2976"/>
      <c r="Z16" s="2976"/>
      <c r="AA16" s="2977"/>
      <c r="AB16" s="3000"/>
      <c r="AC16" s="3001"/>
      <c r="AD16" s="1758"/>
      <c r="AF16" s="2975"/>
      <c r="AG16" s="2976"/>
      <c r="AH16" s="2976"/>
      <c r="AI16" s="2977"/>
      <c r="AJ16" s="2998"/>
      <c r="AK16" s="2999"/>
      <c r="AL16" s="1759"/>
      <c r="AM16" s="9"/>
      <c r="AN16" s="4"/>
      <c r="AO16" s="2756"/>
    </row>
    <row r="17" spans="1:41" ht="12" customHeight="1" x14ac:dyDescent="0.2">
      <c r="A17" s="2917"/>
      <c r="B17" s="712"/>
      <c r="C17" s="1870"/>
      <c r="D17" s="1870"/>
      <c r="E17" s="1870"/>
      <c r="F17" s="1870"/>
      <c r="G17" s="1870"/>
      <c r="H17" s="1870"/>
      <c r="I17" s="1870"/>
      <c r="J17" s="1871"/>
      <c r="K17" s="1871"/>
      <c r="T17" s="713"/>
      <c r="U17" s="3"/>
      <c r="V17" s="4"/>
      <c r="W17" s="6"/>
      <c r="X17" s="2975"/>
      <c r="Y17" s="2976"/>
      <c r="Z17" s="2976"/>
      <c r="AA17" s="2977"/>
      <c r="AB17" s="2998"/>
      <c r="AC17" s="2999"/>
      <c r="AD17" s="1759"/>
      <c r="AF17" s="2975"/>
      <c r="AG17" s="2976"/>
      <c r="AH17" s="2976"/>
      <c r="AI17" s="2977"/>
      <c r="AJ17" s="2998"/>
      <c r="AK17" s="2999"/>
      <c r="AL17" s="1759"/>
      <c r="AM17" s="9"/>
      <c r="AN17" s="4"/>
      <c r="AO17" s="2756"/>
    </row>
    <row r="18" spans="1:41" ht="12" customHeight="1" thickBot="1" x14ac:dyDescent="0.25">
      <c r="A18" s="2917"/>
      <c r="B18" s="712"/>
      <c r="C18" s="5"/>
      <c r="S18" s="5"/>
      <c r="T18" s="713"/>
      <c r="U18" s="3"/>
      <c r="V18" s="4"/>
      <c r="W18" s="6"/>
      <c r="X18" s="2975"/>
      <c r="Y18" s="2976"/>
      <c r="Z18" s="2976"/>
      <c r="AA18" s="2977"/>
      <c r="AB18" s="2998"/>
      <c r="AC18" s="2999"/>
      <c r="AD18" s="1759"/>
      <c r="AE18" s="15"/>
      <c r="AF18" s="2975"/>
      <c r="AG18" s="2976"/>
      <c r="AH18" s="2976"/>
      <c r="AI18" s="2977"/>
      <c r="AJ18" s="2998"/>
      <c r="AK18" s="2999"/>
      <c r="AL18" s="1759"/>
      <c r="AM18" s="9"/>
      <c r="AN18" s="4"/>
      <c r="AO18" s="2756"/>
    </row>
    <row r="19" spans="1:41" ht="12" customHeight="1" x14ac:dyDescent="0.2">
      <c r="A19" s="2917"/>
      <c r="B19" s="712"/>
      <c r="C19" s="2935" t="s">
        <v>1339</v>
      </c>
      <c r="D19" s="2936"/>
      <c r="E19" s="2936"/>
      <c r="F19" s="2936"/>
      <c r="G19" s="2936"/>
      <c r="H19" s="2936"/>
      <c r="I19" s="2936"/>
      <c r="J19" s="2936"/>
      <c r="K19" s="2936"/>
      <c r="L19" s="2936"/>
      <c r="M19" s="2936"/>
      <c r="N19" s="2936"/>
      <c r="O19" s="2936"/>
      <c r="P19" s="2936"/>
      <c r="Q19" s="2936"/>
      <c r="R19" s="2936"/>
      <c r="S19" s="2937"/>
      <c r="T19" s="713"/>
      <c r="U19" s="3"/>
      <c r="V19" s="4"/>
      <c r="W19" s="6"/>
      <c r="X19" s="2975"/>
      <c r="Y19" s="2976"/>
      <c r="Z19" s="2976"/>
      <c r="AA19" s="2977"/>
      <c r="AB19" s="2998"/>
      <c r="AC19" s="2999"/>
      <c r="AD19" s="1759"/>
      <c r="AE19" s="15"/>
      <c r="AF19" s="2975"/>
      <c r="AG19" s="2976"/>
      <c r="AH19" s="2976"/>
      <c r="AI19" s="2977"/>
      <c r="AJ19" s="2998"/>
      <c r="AK19" s="2999"/>
      <c r="AL19" s="1759"/>
      <c r="AM19" s="9"/>
      <c r="AN19" s="4"/>
      <c r="AO19" s="2756"/>
    </row>
    <row r="20" spans="1:41" ht="12" customHeight="1" thickBot="1" x14ac:dyDescent="0.25">
      <c r="A20" s="2917"/>
      <c r="B20" s="712"/>
      <c r="C20" s="2938"/>
      <c r="D20" s="2939"/>
      <c r="E20" s="2939"/>
      <c r="F20" s="2939"/>
      <c r="G20" s="2939"/>
      <c r="H20" s="2939"/>
      <c r="I20" s="2939"/>
      <c r="J20" s="2939"/>
      <c r="K20" s="2939"/>
      <c r="L20" s="2939"/>
      <c r="M20" s="2939"/>
      <c r="N20" s="2939"/>
      <c r="O20" s="2939"/>
      <c r="P20" s="2939"/>
      <c r="Q20" s="2939"/>
      <c r="R20" s="2939"/>
      <c r="S20" s="2940"/>
      <c r="T20" s="713"/>
      <c r="U20" s="3"/>
      <c r="V20" s="4"/>
      <c r="W20" s="6"/>
      <c r="X20" s="2975"/>
      <c r="Y20" s="2976"/>
      <c r="Z20" s="2976"/>
      <c r="AA20" s="2977"/>
      <c r="AB20" s="2998"/>
      <c r="AC20" s="2999"/>
      <c r="AD20" s="1759"/>
      <c r="AE20" s="15"/>
      <c r="AF20" s="2975"/>
      <c r="AG20" s="2976"/>
      <c r="AH20" s="2976"/>
      <c r="AI20" s="2977"/>
      <c r="AJ20" s="2998"/>
      <c r="AK20" s="2999"/>
      <c r="AL20" s="1759"/>
      <c r="AM20" s="9"/>
      <c r="AN20" s="4"/>
      <c r="AO20" s="2756"/>
    </row>
    <row r="21" spans="1:41" ht="12" customHeight="1" x14ac:dyDescent="0.2">
      <c r="A21" s="2917"/>
      <c r="B21" s="712"/>
      <c r="C21" s="1752"/>
      <c r="D21" s="1739"/>
      <c r="E21" s="1739"/>
      <c r="F21" s="1739"/>
      <c r="G21" s="1739"/>
      <c r="H21" s="1739"/>
      <c r="I21" s="1739"/>
      <c r="J21" s="1739"/>
      <c r="K21" s="1739"/>
      <c r="L21" s="1739"/>
      <c r="M21" s="1739"/>
      <c r="N21" s="1739"/>
      <c r="O21" s="1739"/>
      <c r="P21" s="1739"/>
      <c r="Q21" s="1739"/>
      <c r="R21" s="1739"/>
      <c r="S21" s="1753"/>
      <c r="T21" s="713"/>
      <c r="U21" s="3"/>
      <c r="V21" s="4"/>
      <c r="W21" s="6"/>
      <c r="X21" s="2975"/>
      <c r="Y21" s="2976"/>
      <c r="Z21" s="2976"/>
      <c r="AA21" s="2977"/>
      <c r="AB21" s="2998"/>
      <c r="AC21" s="2999"/>
      <c r="AD21" s="1759"/>
      <c r="AE21" s="15"/>
      <c r="AF21" s="2975"/>
      <c r="AG21" s="2976"/>
      <c r="AH21" s="2976"/>
      <c r="AI21" s="2977"/>
      <c r="AJ21" s="2998"/>
      <c r="AK21" s="2999"/>
      <c r="AL21" s="1759"/>
      <c r="AM21" s="9"/>
      <c r="AN21" s="4"/>
      <c r="AO21" s="2756"/>
    </row>
    <row r="22" spans="1:41" ht="12" customHeight="1" x14ac:dyDescent="0.2">
      <c r="A22" s="2917"/>
      <c r="B22" s="712"/>
      <c r="C22" s="1752"/>
      <c r="D22" s="2941" t="s">
        <v>1331</v>
      </c>
      <c r="E22" s="2942"/>
      <c r="F22" s="2913"/>
      <c r="G22" s="2914"/>
      <c r="H22" s="2915"/>
      <c r="I22" s="2915"/>
      <c r="J22" s="2915"/>
      <c r="K22" s="2915"/>
      <c r="L22" s="2915"/>
      <c r="M22" s="2915"/>
      <c r="N22" s="2915"/>
      <c r="O22" s="2915"/>
      <c r="P22" s="2915"/>
      <c r="Q22" s="2915"/>
      <c r="R22" s="2916"/>
      <c r="S22" s="1753"/>
      <c r="T22" s="713"/>
      <c r="U22" s="3"/>
      <c r="V22" s="4"/>
      <c r="W22" s="6"/>
      <c r="X22" s="2975"/>
      <c r="Y22" s="2976"/>
      <c r="Z22" s="2976"/>
      <c r="AA22" s="2977"/>
      <c r="AB22" s="2998"/>
      <c r="AC22" s="2999"/>
      <c r="AD22" s="1759"/>
      <c r="AE22" s="15"/>
      <c r="AF22" s="2975"/>
      <c r="AG22" s="2976"/>
      <c r="AH22" s="2976"/>
      <c r="AI22" s="2977"/>
      <c r="AJ22" s="2998"/>
      <c r="AK22" s="2999"/>
      <c r="AL22" s="1759"/>
      <c r="AM22" s="9"/>
      <c r="AN22" s="4"/>
      <c r="AO22" s="2756"/>
    </row>
    <row r="23" spans="1:41" ht="12" customHeight="1" thickBot="1" x14ac:dyDescent="0.25">
      <c r="A23" s="2917"/>
      <c r="B23" s="712"/>
      <c r="C23" s="1752"/>
      <c r="D23" s="2943" t="s">
        <v>1340</v>
      </c>
      <c r="E23" s="2943"/>
      <c r="F23" s="2919"/>
      <c r="G23" s="2920"/>
      <c r="H23" s="1852"/>
      <c r="I23" s="1855" t="s">
        <v>7322</v>
      </c>
      <c r="J23" s="2954"/>
      <c r="K23" s="2955"/>
      <c r="L23" s="2955"/>
      <c r="M23" s="2956"/>
      <c r="N23" s="2900" t="s">
        <v>9000</v>
      </c>
      <c r="O23" s="2901"/>
      <c r="P23" s="2901"/>
      <c r="Q23" s="2953" t="s">
        <v>7172</v>
      </c>
      <c r="R23" s="2953"/>
      <c r="S23" s="1753"/>
      <c r="T23" s="713"/>
      <c r="U23" s="3"/>
      <c r="V23" s="4"/>
      <c r="W23" s="6"/>
      <c r="X23" s="3038"/>
      <c r="Y23" s="2990"/>
      <c r="Z23" s="2990"/>
      <c r="AA23" s="3039"/>
      <c r="AB23" s="3040"/>
      <c r="AC23" s="3041"/>
      <c r="AD23" s="1760"/>
      <c r="AE23" s="15"/>
      <c r="AF23" s="2975"/>
      <c r="AG23" s="2976"/>
      <c r="AH23" s="2976"/>
      <c r="AI23" s="2977"/>
      <c r="AJ23" s="2998"/>
      <c r="AK23" s="2999"/>
      <c r="AL23" s="1759"/>
      <c r="AM23" s="9"/>
      <c r="AN23" s="4"/>
      <c r="AO23" s="2756"/>
    </row>
    <row r="24" spans="1:41" ht="12" customHeight="1" thickBot="1" x14ac:dyDescent="0.25">
      <c r="A24" s="2917"/>
      <c r="B24" s="712"/>
      <c r="C24" s="1752"/>
      <c r="D24" s="2943" t="s">
        <v>1341</v>
      </c>
      <c r="E24" s="2943"/>
      <c r="F24" s="3068"/>
      <c r="G24" s="3069"/>
      <c r="H24" s="1855" t="s">
        <v>1343</v>
      </c>
      <c r="I24" s="1857"/>
      <c r="J24" s="1856" t="s">
        <v>8733</v>
      </c>
      <c r="K24" s="1858" t="s">
        <v>1347</v>
      </c>
      <c r="L24" s="1859"/>
      <c r="M24" s="1856" t="s">
        <v>8734</v>
      </c>
      <c r="N24" s="2918" t="s">
        <v>1346</v>
      </c>
      <c r="O24" s="2918"/>
      <c r="P24" s="2909"/>
      <c r="Q24" s="2910"/>
      <c r="R24" s="2911"/>
      <c r="S24" s="1753"/>
      <c r="T24" s="713"/>
      <c r="U24" s="3"/>
      <c r="V24" s="4"/>
      <c r="W24" s="6"/>
      <c r="AE24" s="15"/>
      <c r="AF24" s="2975"/>
      <c r="AG24" s="2976"/>
      <c r="AH24" s="2976"/>
      <c r="AI24" s="2977"/>
      <c r="AJ24" s="2998"/>
      <c r="AK24" s="2999"/>
      <c r="AL24" s="1759"/>
      <c r="AM24" s="9"/>
      <c r="AN24" s="4"/>
      <c r="AO24" s="2756"/>
    </row>
    <row r="25" spans="1:41" ht="12" customHeight="1" x14ac:dyDescent="0.2">
      <c r="A25" s="2917"/>
      <c r="B25" s="712"/>
      <c r="C25" s="1752"/>
      <c r="D25" s="2943" t="s">
        <v>8996</v>
      </c>
      <c r="E25" s="2943"/>
      <c r="F25" s="2905"/>
      <c r="G25" s="2905"/>
      <c r="H25" s="1858" t="s">
        <v>1344</v>
      </c>
      <c r="I25" s="2909"/>
      <c r="J25" s="2910"/>
      <c r="K25" s="2910"/>
      <c r="L25" s="1853"/>
      <c r="M25" s="1855" t="s">
        <v>1348</v>
      </c>
      <c r="N25" s="2905"/>
      <c r="O25" s="2905"/>
      <c r="P25" s="2912"/>
      <c r="Q25" s="2912"/>
      <c r="R25" s="2912"/>
      <c r="S25" s="1753"/>
      <c r="T25" s="713"/>
      <c r="U25" s="3"/>
      <c r="V25" s="4"/>
      <c r="W25" s="6"/>
      <c r="X25" s="3036" t="s">
        <v>1345</v>
      </c>
      <c r="Y25" s="3037"/>
      <c r="Z25" s="3037"/>
      <c r="AA25" s="3037"/>
      <c r="AB25" s="3037"/>
      <c r="AC25" s="3037"/>
      <c r="AD25" s="1761" t="s">
        <v>1337</v>
      </c>
      <c r="AE25" s="15"/>
      <c r="AF25" s="2975"/>
      <c r="AG25" s="2976"/>
      <c r="AH25" s="2976"/>
      <c r="AI25" s="2977"/>
      <c r="AJ25" s="2998"/>
      <c r="AK25" s="2999"/>
      <c r="AL25" s="1759"/>
      <c r="AM25" s="9"/>
      <c r="AN25" s="4"/>
      <c r="AO25" s="2756"/>
    </row>
    <row r="26" spans="1:41" ht="12" customHeight="1" x14ac:dyDescent="0.2">
      <c r="A26" s="2917"/>
      <c r="B26" s="712"/>
      <c r="C26" s="1752"/>
      <c r="D26" s="2943" t="s">
        <v>1342</v>
      </c>
      <c r="E26" s="2943"/>
      <c r="F26" s="2909"/>
      <c r="G26" s="2911"/>
      <c r="H26" s="1855" t="s">
        <v>6516</v>
      </c>
      <c r="I26" s="2906"/>
      <c r="J26" s="2907"/>
      <c r="K26" s="2908"/>
      <c r="L26" s="1854"/>
      <c r="M26" s="1855" t="str">
        <f>IF(I26="","","Clase social:")</f>
        <v/>
      </c>
      <c r="N26" s="2909"/>
      <c r="O26" s="2910"/>
      <c r="P26" s="2910"/>
      <c r="Q26" s="2910"/>
      <c r="R26" s="2911"/>
      <c r="S26" s="1753"/>
      <c r="T26" s="713"/>
      <c r="U26" s="3"/>
      <c r="V26" s="4"/>
      <c r="W26" s="6"/>
      <c r="X26" s="3034"/>
      <c r="Y26" s="3035"/>
      <c r="Z26" s="3035"/>
      <c r="AA26" s="3035"/>
      <c r="AB26" s="3035"/>
      <c r="AC26" s="3035"/>
      <c r="AD26" s="1762"/>
      <c r="AE26" s="15"/>
      <c r="AF26" s="2975"/>
      <c r="AG26" s="2976"/>
      <c r="AH26" s="2976"/>
      <c r="AI26" s="2977"/>
      <c r="AJ26" s="2998"/>
      <c r="AK26" s="2999"/>
      <c r="AL26" s="1759"/>
      <c r="AM26" s="9"/>
      <c r="AN26" s="4"/>
      <c r="AO26" s="2756"/>
    </row>
    <row r="27" spans="1:41" ht="12" customHeight="1" thickBot="1" x14ac:dyDescent="0.25">
      <c r="A27" s="2917"/>
      <c r="B27" s="712"/>
      <c r="C27" s="1754"/>
      <c r="D27" s="1755"/>
      <c r="E27" s="1755"/>
      <c r="F27" s="1755"/>
      <c r="G27" s="1755"/>
      <c r="H27" s="1755"/>
      <c r="I27" s="1755"/>
      <c r="J27" s="1755"/>
      <c r="K27" s="1755"/>
      <c r="L27" s="1755"/>
      <c r="M27" s="1755"/>
      <c r="N27" s="1755"/>
      <c r="O27" s="1755"/>
      <c r="P27" s="1755"/>
      <c r="Q27" s="1755"/>
      <c r="R27" s="1755"/>
      <c r="S27" s="1756"/>
      <c r="T27" s="713"/>
      <c r="U27" s="3"/>
      <c r="V27" s="4"/>
      <c r="W27" s="6"/>
      <c r="X27" s="2975"/>
      <c r="Y27" s="2976"/>
      <c r="Z27" s="2976"/>
      <c r="AA27" s="2976"/>
      <c r="AB27" s="2976"/>
      <c r="AC27" s="2976"/>
      <c r="AD27" s="1763"/>
      <c r="AE27" s="15"/>
      <c r="AF27" s="2975"/>
      <c r="AG27" s="2976"/>
      <c r="AH27" s="2976"/>
      <c r="AI27" s="2977"/>
      <c r="AJ27" s="2998"/>
      <c r="AK27" s="2999"/>
      <c r="AL27" s="1759"/>
      <c r="AM27" s="9"/>
      <c r="AN27" s="4"/>
      <c r="AO27" s="2756"/>
    </row>
    <row r="28" spans="1:41" ht="12" customHeight="1" x14ac:dyDescent="0.2">
      <c r="A28" s="2917"/>
      <c r="B28" s="712"/>
      <c r="C28" s="5"/>
      <c r="D28" s="5"/>
      <c r="S28" s="5"/>
      <c r="T28" s="713"/>
      <c r="U28" s="3"/>
      <c r="V28" s="4"/>
      <c r="W28" s="6"/>
      <c r="X28" s="2975"/>
      <c r="Y28" s="2976"/>
      <c r="Z28" s="2976"/>
      <c r="AA28" s="2976"/>
      <c r="AB28" s="2976"/>
      <c r="AC28" s="2976"/>
      <c r="AD28" s="1763"/>
      <c r="AE28" s="15"/>
      <c r="AF28" s="2975"/>
      <c r="AG28" s="2976"/>
      <c r="AH28" s="2976"/>
      <c r="AI28" s="2977"/>
      <c r="AJ28" s="2998"/>
      <c r="AK28" s="2999"/>
      <c r="AL28" s="1759"/>
      <c r="AM28" s="9"/>
      <c r="AN28" s="4"/>
      <c r="AO28" s="2756"/>
    </row>
    <row r="29" spans="1:41" ht="12" customHeight="1" thickBot="1" x14ac:dyDescent="0.25">
      <c r="A29" s="2917"/>
      <c r="B29" s="712"/>
      <c r="C29" s="5"/>
      <c r="D29" s="5"/>
      <c r="E29" s="5"/>
      <c r="F29" s="5"/>
      <c r="G29" s="5"/>
      <c r="H29" s="5"/>
      <c r="I29" s="5"/>
      <c r="J29" s="5"/>
      <c r="K29" s="5"/>
      <c r="L29" s="5"/>
      <c r="M29" s="5"/>
      <c r="N29" s="5"/>
      <c r="O29" s="5"/>
      <c r="P29" s="5"/>
      <c r="Q29" s="5"/>
      <c r="R29" s="5"/>
      <c r="S29" s="5"/>
      <c r="T29" s="713"/>
      <c r="U29" s="3"/>
      <c r="V29" s="4"/>
      <c r="W29" s="6"/>
      <c r="X29" s="2975"/>
      <c r="Y29" s="2976"/>
      <c r="Z29" s="2976"/>
      <c r="AA29" s="2976"/>
      <c r="AB29" s="2976"/>
      <c r="AC29" s="2976"/>
      <c r="AD29" s="1763"/>
      <c r="AE29" s="15"/>
      <c r="AF29" s="2975"/>
      <c r="AG29" s="2976"/>
      <c r="AH29" s="2976"/>
      <c r="AI29" s="2977"/>
      <c r="AJ29" s="2998"/>
      <c r="AK29" s="2999"/>
      <c r="AL29" s="1759"/>
      <c r="AM29" s="9"/>
      <c r="AN29" s="4"/>
      <c r="AO29" s="2756"/>
    </row>
    <row r="30" spans="1:41" ht="12" customHeight="1" thickBot="1" x14ac:dyDescent="0.25">
      <c r="A30" s="2917"/>
      <c r="B30" s="712"/>
      <c r="C30" s="2902" t="s">
        <v>8808</v>
      </c>
      <c r="D30" s="2903"/>
      <c r="E30" s="2903"/>
      <c r="F30" s="2903"/>
      <c r="G30" s="2903"/>
      <c r="H30" s="2903"/>
      <c r="I30" s="2903"/>
      <c r="J30" s="2903"/>
      <c r="K30" s="2904"/>
      <c r="M30" s="2902" t="s">
        <v>9002</v>
      </c>
      <c r="N30" s="2903"/>
      <c r="O30" s="2903"/>
      <c r="P30" s="2903"/>
      <c r="Q30" s="2903"/>
      <c r="R30" s="2903"/>
      <c r="S30" s="2904"/>
      <c r="T30" s="713"/>
      <c r="U30" s="3"/>
      <c r="V30" s="4"/>
      <c r="W30" s="6"/>
      <c r="X30" s="2975"/>
      <c r="Y30" s="2976"/>
      <c r="Z30" s="2976"/>
      <c r="AA30" s="2976"/>
      <c r="AB30" s="2976"/>
      <c r="AC30" s="2976"/>
      <c r="AD30" s="1763"/>
      <c r="AE30" s="15"/>
      <c r="AF30" s="3048"/>
      <c r="AG30" s="3049"/>
      <c r="AH30" s="3049"/>
      <c r="AI30" s="3050"/>
      <c r="AJ30" s="3042"/>
      <c r="AK30" s="3043"/>
      <c r="AL30" s="2811"/>
      <c r="AM30" s="9"/>
      <c r="AN30" s="4"/>
      <c r="AO30" s="2756"/>
    </row>
    <row r="31" spans="1:41" ht="12" customHeight="1" x14ac:dyDescent="0.2">
      <c r="A31" s="2917"/>
      <c r="B31" s="712"/>
      <c r="C31" s="2966"/>
      <c r="D31" s="2967"/>
      <c r="E31" s="2967"/>
      <c r="F31" s="2967"/>
      <c r="G31" s="2967"/>
      <c r="H31" s="2967"/>
      <c r="I31" s="2967"/>
      <c r="J31" s="2967"/>
      <c r="K31" s="2968"/>
      <c r="L31" s="1860"/>
      <c r="M31" s="2957"/>
      <c r="N31" s="2958"/>
      <c r="O31" s="2958"/>
      <c r="P31" s="2958"/>
      <c r="Q31" s="2958"/>
      <c r="R31" s="2958"/>
      <c r="S31" s="2959"/>
      <c r="T31" s="713"/>
      <c r="U31" s="3"/>
      <c r="V31" s="4"/>
      <c r="W31" s="6"/>
      <c r="X31" s="2975"/>
      <c r="Y31" s="2976"/>
      <c r="Z31" s="2976"/>
      <c r="AA31" s="2976"/>
      <c r="AB31" s="2976"/>
      <c r="AC31" s="2976"/>
      <c r="AD31" s="1763"/>
      <c r="AE31" s="15"/>
      <c r="AF31" s="3051" t="s">
        <v>10238</v>
      </c>
      <c r="AG31" s="3052"/>
      <c r="AH31" s="3052"/>
      <c r="AI31" s="2817">
        <f>FUE+AM31</f>
        <v>5</v>
      </c>
      <c r="AJ31" s="3046" t="s">
        <v>1349</v>
      </c>
      <c r="AK31" s="3047"/>
      <c r="AL31" s="2818">
        <f>SUM(AD11:AD23,AD26:AD32,AL11:AL30)</f>
        <v>0</v>
      </c>
      <c r="AM31" s="1993">
        <f>TRUNC((IF(Combate!AD14&lt;0,Combate!AD14,0)+IF(Combate!AF14&lt;0,Combate!AF14,0))/20)</f>
        <v>0</v>
      </c>
      <c r="AN31" s="4"/>
      <c r="AO31" s="2756"/>
    </row>
    <row r="32" spans="1:41" ht="12" customHeight="1" thickBot="1" x14ac:dyDescent="0.25">
      <c r="A32" s="2917"/>
      <c r="B32" s="712"/>
      <c r="C32" s="2966"/>
      <c r="D32" s="2967"/>
      <c r="E32" s="2967"/>
      <c r="F32" s="2967"/>
      <c r="G32" s="2967"/>
      <c r="H32" s="2967"/>
      <c r="I32" s="2967"/>
      <c r="J32" s="2967"/>
      <c r="K32" s="2968"/>
      <c r="L32" s="1860"/>
      <c r="M32" s="2960"/>
      <c r="N32" s="2961"/>
      <c r="O32" s="2961"/>
      <c r="P32" s="2961"/>
      <c r="Q32" s="2961"/>
      <c r="R32" s="2961"/>
      <c r="S32" s="2962"/>
      <c r="T32" s="713"/>
      <c r="U32" s="3"/>
      <c r="V32" s="4"/>
      <c r="W32" s="6"/>
      <c r="X32" s="3038"/>
      <c r="Y32" s="2990"/>
      <c r="Z32" s="2990"/>
      <c r="AA32" s="2990"/>
      <c r="AB32" s="2990"/>
      <c r="AC32" s="2990"/>
      <c r="AD32" s="1764"/>
      <c r="AE32" s="15"/>
      <c r="AF32" s="2810" t="s">
        <v>1347</v>
      </c>
      <c r="AG32" s="2753" t="s">
        <v>1984</v>
      </c>
      <c r="AH32" s="3044" t="str">
        <f>IF(Principal!E14=0,0&amp;" kg",IF(Zen_IP,VLOOKUP(MIN(20,AI31),Tabla_Fuerza,3)&amp;" kg",IF(Inhumanidad_IP,VLOOKUP(MIN(13,AI31),Tabla_Fuerza,3)&amp;" kg",VLOOKUP(MIN(10,AI31),Tabla_Fuerza,3)&amp;" kg")))</f>
        <v>25 kg</v>
      </c>
      <c r="AI32" s="3045"/>
      <c r="AJ32" s="2754" t="s">
        <v>10248</v>
      </c>
      <c r="AK32" s="3045" t="str">
        <f>IF(Principal!E14=0,0&amp;" kg",IF(Zen_IP,VLOOKUP(MIN(20,AI31),Tabla_Fuerza,4)&amp;" kg",IF(Inhumanidad_IP,VLOOKUP(MIN(13,AI31),Tabla_Fuerza,4)&amp;" kg",VLOOKUP(MIN(10,AI31),Tabla_Fuerza,4)&amp;" kg")))</f>
        <v>60 kg</v>
      </c>
      <c r="AL32" s="3053"/>
      <c r="AM32" s="2809"/>
      <c r="AN32" s="4"/>
      <c r="AO32" s="2756"/>
    </row>
    <row r="33" spans="1:41" ht="12" customHeight="1" thickBot="1" x14ac:dyDescent="0.25">
      <c r="A33" s="2917"/>
      <c r="B33" s="712"/>
      <c r="C33" s="2969"/>
      <c r="D33" s="2970"/>
      <c r="E33" s="2970"/>
      <c r="F33" s="2970"/>
      <c r="G33" s="2970"/>
      <c r="H33" s="2970"/>
      <c r="I33" s="2970"/>
      <c r="J33" s="2970"/>
      <c r="K33" s="2971"/>
      <c r="L33" s="1860"/>
      <c r="M33" s="2960"/>
      <c r="N33" s="2961"/>
      <c r="O33" s="2961"/>
      <c r="P33" s="2961"/>
      <c r="Q33" s="2961"/>
      <c r="R33" s="2961"/>
      <c r="S33" s="2962"/>
      <c r="T33" s="713"/>
      <c r="U33" s="3"/>
      <c r="V33" s="4"/>
      <c r="W33" s="6"/>
      <c r="AM33" s="9"/>
      <c r="AN33" s="4"/>
      <c r="AO33" s="2756"/>
    </row>
    <row r="34" spans="1:41" ht="12" customHeight="1" thickBot="1" x14ac:dyDescent="0.25">
      <c r="A34" s="2917"/>
      <c r="B34" s="712"/>
      <c r="C34" s="5"/>
      <c r="D34" s="5"/>
      <c r="E34" s="5"/>
      <c r="F34" s="5"/>
      <c r="G34" s="5"/>
      <c r="H34" s="5"/>
      <c r="I34" s="5"/>
      <c r="J34" s="5"/>
      <c r="K34" s="19"/>
      <c r="L34" s="1860"/>
      <c r="M34" s="2960"/>
      <c r="N34" s="2961"/>
      <c r="O34" s="2961"/>
      <c r="P34" s="2961"/>
      <c r="Q34" s="2961"/>
      <c r="R34" s="2961"/>
      <c r="S34" s="2962"/>
      <c r="T34" s="713"/>
      <c r="U34" s="3"/>
      <c r="V34" s="4"/>
      <c r="W34" s="6"/>
      <c r="X34" s="2992" t="s">
        <v>1350</v>
      </c>
      <c r="Y34" s="2993"/>
      <c r="Z34" s="2993"/>
      <c r="AA34" s="2993"/>
      <c r="AB34" s="2993"/>
      <c r="AC34" s="2993"/>
      <c r="AD34" s="2993"/>
      <c r="AE34" s="2993"/>
      <c r="AF34" s="2993"/>
      <c r="AG34" s="2993"/>
      <c r="AH34" s="2993"/>
      <c r="AI34" s="2993"/>
      <c r="AJ34" s="2993"/>
      <c r="AK34" s="2993"/>
      <c r="AL34" s="2994"/>
      <c r="AM34" s="9"/>
      <c r="AN34" s="4"/>
      <c r="AO34" s="2756"/>
    </row>
    <row r="35" spans="1:41" ht="12" customHeight="1" thickBot="1" x14ac:dyDescent="0.25">
      <c r="A35" s="2917"/>
      <c r="B35" s="712"/>
      <c r="C35" s="2902" t="s">
        <v>8809</v>
      </c>
      <c r="D35" s="2903"/>
      <c r="E35" s="2903"/>
      <c r="F35" s="2903"/>
      <c r="G35" s="2903"/>
      <c r="H35" s="2903"/>
      <c r="I35" s="2903"/>
      <c r="J35" s="2903"/>
      <c r="K35" s="2904"/>
      <c r="L35" s="1860"/>
      <c r="M35" s="2960"/>
      <c r="N35" s="2961"/>
      <c r="O35" s="2961"/>
      <c r="P35" s="2961"/>
      <c r="Q35" s="2961"/>
      <c r="R35" s="2961"/>
      <c r="S35" s="2962"/>
      <c r="T35" s="713"/>
      <c r="U35" s="3"/>
      <c r="V35" s="4"/>
      <c r="W35" s="6"/>
      <c r="X35" s="2995" t="s">
        <v>10255</v>
      </c>
      <c r="Y35" s="2996"/>
      <c r="Z35" s="2997"/>
      <c r="AA35" s="2987"/>
      <c r="AB35" s="2976"/>
      <c r="AC35" s="2976"/>
      <c r="AD35" s="2976"/>
      <c r="AE35" s="2976"/>
      <c r="AF35" s="2976"/>
      <c r="AG35" s="2976"/>
      <c r="AH35" s="2976"/>
      <c r="AI35" s="2976"/>
      <c r="AJ35" s="2976"/>
      <c r="AK35" s="2976"/>
      <c r="AL35" s="2988"/>
      <c r="AM35" s="9"/>
      <c r="AN35" s="4"/>
      <c r="AO35" s="2756"/>
    </row>
    <row r="36" spans="1:41" ht="12" customHeight="1" x14ac:dyDescent="0.2">
      <c r="A36" s="2917"/>
      <c r="B36" s="712"/>
      <c r="C36" s="2966"/>
      <c r="D36" s="2967"/>
      <c r="E36" s="2967"/>
      <c r="F36" s="2967"/>
      <c r="G36" s="2967"/>
      <c r="H36" s="2967"/>
      <c r="I36" s="2967"/>
      <c r="J36" s="2967"/>
      <c r="K36" s="2968"/>
      <c r="L36" s="1860"/>
      <c r="M36" s="2960"/>
      <c r="N36" s="2961"/>
      <c r="O36" s="2961"/>
      <c r="P36" s="2961"/>
      <c r="Q36" s="2961"/>
      <c r="R36" s="2961"/>
      <c r="S36" s="2962"/>
      <c r="T36" s="713"/>
      <c r="U36" s="3"/>
      <c r="V36" s="4"/>
      <c r="W36" s="6"/>
      <c r="X36" s="2981"/>
      <c r="Y36" s="2982"/>
      <c r="Z36" s="2983"/>
      <c r="AA36" s="2987"/>
      <c r="AB36" s="2976"/>
      <c r="AC36" s="2976"/>
      <c r="AD36" s="2976"/>
      <c r="AE36" s="2976"/>
      <c r="AF36" s="2976"/>
      <c r="AG36" s="2976"/>
      <c r="AH36" s="2976"/>
      <c r="AI36" s="2976"/>
      <c r="AJ36" s="2976"/>
      <c r="AK36" s="2976"/>
      <c r="AL36" s="2988"/>
      <c r="AM36" s="9"/>
      <c r="AN36" s="4"/>
      <c r="AO36" s="2756"/>
    </row>
    <row r="37" spans="1:41" ht="12" customHeight="1" x14ac:dyDescent="0.2">
      <c r="A37" s="2917"/>
      <c r="B37" s="712"/>
      <c r="C37" s="2966"/>
      <c r="D37" s="2967"/>
      <c r="E37" s="2967"/>
      <c r="F37" s="2967"/>
      <c r="G37" s="2967"/>
      <c r="H37" s="2967"/>
      <c r="I37" s="2967"/>
      <c r="J37" s="2967"/>
      <c r="K37" s="2968"/>
      <c r="L37" s="1860"/>
      <c r="M37" s="2960"/>
      <c r="N37" s="2961"/>
      <c r="O37" s="2961"/>
      <c r="P37" s="2961"/>
      <c r="Q37" s="2961"/>
      <c r="R37" s="2961"/>
      <c r="S37" s="2962"/>
      <c r="T37" s="713"/>
      <c r="U37" s="3"/>
      <c r="V37" s="4"/>
      <c r="W37" s="6"/>
      <c r="X37" s="2981"/>
      <c r="Y37" s="2982"/>
      <c r="Z37" s="2983"/>
      <c r="AA37" s="2987"/>
      <c r="AB37" s="2976"/>
      <c r="AC37" s="2976"/>
      <c r="AD37" s="2976"/>
      <c r="AE37" s="2976"/>
      <c r="AF37" s="2976"/>
      <c r="AG37" s="2976"/>
      <c r="AH37" s="2976"/>
      <c r="AI37" s="2976"/>
      <c r="AJ37" s="2976"/>
      <c r="AK37" s="2976"/>
      <c r="AL37" s="2988"/>
      <c r="AM37" s="9"/>
      <c r="AN37" s="4"/>
      <c r="AO37" s="2756"/>
    </row>
    <row r="38" spans="1:41" ht="12" customHeight="1" x14ac:dyDescent="0.2">
      <c r="A38" s="2917"/>
      <c r="B38" s="712"/>
      <c r="C38" s="2966"/>
      <c r="D38" s="2967"/>
      <c r="E38" s="2967"/>
      <c r="F38" s="2967"/>
      <c r="G38" s="2967"/>
      <c r="H38" s="2967"/>
      <c r="I38" s="2967"/>
      <c r="J38" s="2967"/>
      <c r="K38" s="2968"/>
      <c r="L38" s="1860"/>
      <c r="M38" s="2960"/>
      <c r="N38" s="2961"/>
      <c r="O38" s="2961"/>
      <c r="P38" s="2961"/>
      <c r="Q38" s="2961"/>
      <c r="R38" s="2961"/>
      <c r="S38" s="2962"/>
      <c r="T38" s="713"/>
      <c r="U38" s="3"/>
      <c r="V38" s="4"/>
      <c r="W38" s="6"/>
      <c r="X38" s="2981"/>
      <c r="Y38" s="2982"/>
      <c r="Z38" s="2983"/>
      <c r="AA38" s="2987"/>
      <c r="AB38" s="2976"/>
      <c r="AC38" s="2976"/>
      <c r="AD38" s="2976"/>
      <c r="AE38" s="2976"/>
      <c r="AF38" s="2976"/>
      <c r="AG38" s="2976"/>
      <c r="AH38" s="2976"/>
      <c r="AI38" s="2976"/>
      <c r="AJ38" s="2976"/>
      <c r="AK38" s="2976"/>
      <c r="AL38" s="2988"/>
      <c r="AM38" s="9"/>
      <c r="AN38" s="4"/>
      <c r="AO38" s="2756"/>
    </row>
    <row r="39" spans="1:41" ht="12" customHeight="1" x14ac:dyDescent="0.2">
      <c r="A39" s="2917"/>
      <c r="B39" s="712"/>
      <c r="C39" s="2966"/>
      <c r="D39" s="2967"/>
      <c r="E39" s="2967"/>
      <c r="F39" s="2967"/>
      <c r="G39" s="2967"/>
      <c r="H39" s="2967"/>
      <c r="I39" s="2967"/>
      <c r="J39" s="2967"/>
      <c r="K39" s="2968"/>
      <c r="L39" s="1860"/>
      <c r="M39" s="2960"/>
      <c r="N39" s="2961"/>
      <c r="O39" s="2961"/>
      <c r="P39" s="2961"/>
      <c r="Q39" s="2961"/>
      <c r="R39" s="2961"/>
      <c r="S39" s="2962"/>
      <c r="T39" s="713"/>
      <c r="U39" s="3"/>
      <c r="V39" s="4"/>
      <c r="W39" s="6"/>
      <c r="X39" s="2981"/>
      <c r="Y39" s="2982"/>
      <c r="Z39" s="2983"/>
      <c r="AA39" s="2987"/>
      <c r="AB39" s="2976"/>
      <c r="AC39" s="2976"/>
      <c r="AD39" s="2976"/>
      <c r="AE39" s="2976"/>
      <c r="AF39" s="2976"/>
      <c r="AG39" s="2976"/>
      <c r="AH39" s="2976"/>
      <c r="AI39" s="2976"/>
      <c r="AJ39" s="2976"/>
      <c r="AK39" s="2976"/>
      <c r="AL39" s="2988"/>
      <c r="AM39" s="9"/>
      <c r="AN39" s="4"/>
      <c r="AO39" s="2756"/>
    </row>
    <row r="40" spans="1:41" ht="12" customHeight="1" x14ac:dyDescent="0.2">
      <c r="A40" s="2917"/>
      <c r="B40" s="712"/>
      <c r="C40" s="2966"/>
      <c r="D40" s="2967"/>
      <c r="E40" s="2967"/>
      <c r="F40" s="2967"/>
      <c r="G40" s="2967"/>
      <c r="H40" s="2967"/>
      <c r="I40" s="2967"/>
      <c r="J40" s="2967"/>
      <c r="K40" s="2968"/>
      <c r="L40" s="1860"/>
      <c r="M40" s="2960"/>
      <c r="N40" s="2961"/>
      <c r="O40" s="2961"/>
      <c r="P40" s="2961"/>
      <c r="Q40" s="2961"/>
      <c r="R40" s="2961"/>
      <c r="S40" s="2962"/>
      <c r="T40" s="713"/>
      <c r="U40" s="3"/>
      <c r="V40" s="4"/>
      <c r="W40" s="6"/>
      <c r="X40" s="2981"/>
      <c r="Y40" s="2982"/>
      <c r="Z40" s="2983"/>
      <c r="AA40" s="2987"/>
      <c r="AB40" s="2976"/>
      <c r="AC40" s="2976"/>
      <c r="AD40" s="2976"/>
      <c r="AE40" s="2976"/>
      <c r="AF40" s="2976"/>
      <c r="AG40" s="2976"/>
      <c r="AH40" s="2976"/>
      <c r="AI40" s="2976"/>
      <c r="AJ40" s="2976"/>
      <c r="AK40" s="2976"/>
      <c r="AL40" s="2988"/>
      <c r="AM40" s="9"/>
      <c r="AN40" s="4"/>
      <c r="AO40" s="2756"/>
    </row>
    <row r="41" spans="1:41" ht="12" customHeight="1" x14ac:dyDescent="0.2">
      <c r="A41" s="2917"/>
      <c r="B41" s="712"/>
      <c r="C41" s="2966"/>
      <c r="D41" s="2967"/>
      <c r="E41" s="2967"/>
      <c r="F41" s="2967"/>
      <c r="G41" s="2967"/>
      <c r="H41" s="2967"/>
      <c r="I41" s="2967"/>
      <c r="J41" s="2967"/>
      <c r="K41" s="2968"/>
      <c r="L41" s="1860"/>
      <c r="M41" s="2960"/>
      <c r="N41" s="2961"/>
      <c r="O41" s="2961"/>
      <c r="P41" s="2961"/>
      <c r="Q41" s="2961"/>
      <c r="R41" s="2961"/>
      <c r="S41" s="2962"/>
      <c r="T41" s="713"/>
      <c r="U41" s="3"/>
      <c r="V41" s="4"/>
      <c r="W41" s="6"/>
      <c r="X41" s="2981"/>
      <c r="Y41" s="2982"/>
      <c r="Z41" s="2983"/>
      <c r="AA41" s="2978"/>
      <c r="AB41" s="2979"/>
      <c r="AC41" s="2979"/>
      <c r="AD41" s="2979"/>
      <c r="AE41" s="2979"/>
      <c r="AF41" s="2979"/>
      <c r="AG41" s="2979"/>
      <c r="AH41" s="2979"/>
      <c r="AI41" s="2979"/>
      <c r="AJ41" s="2979"/>
      <c r="AK41" s="2979"/>
      <c r="AL41" s="2980"/>
      <c r="AM41" s="9"/>
      <c r="AN41" s="4"/>
      <c r="AO41" s="2756"/>
    </row>
    <row r="42" spans="1:41" ht="12" customHeight="1" x14ac:dyDescent="0.2">
      <c r="A42" s="2917"/>
      <c r="B42" s="712"/>
      <c r="C42" s="2966"/>
      <c r="D42" s="2967"/>
      <c r="E42" s="2967"/>
      <c r="F42" s="2967"/>
      <c r="G42" s="2967"/>
      <c r="H42" s="2967"/>
      <c r="I42" s="2967"/>
      <c r="J42" s="2967"/>
      <c r="K42" s="2968"/>
      <c r="L42" s="1860"/>
      <c r="M42" s="2960"/>
      <c r="N42" s="2961"/>
      <c r="O42" s="2961"/>
      <c r="P42" s="2961"/>
      <c r="Q42" s="2961"/>
      <c r="R42" s="2961"/>
      <c r="S42" s="2962"/>
      <c r="T42" s="713"/>
      <c r="U42" s="3"/>
      <c r="V42" s="4"/>
      <c r="W42" s="6"/>
      <c r="X42" s="2981"/>
      <c r="Y42" s="2982"/>
      <c r="Z42" s="2983"/>
      <c r="AA42" s="2978"/>
      <c r="AB42" s="2979"/>
      <c r="AC42" s="2979"/>
      <c r="AD42" s="2979"/>
      <c r="AE42" s="2979"/>
      <c r="AF42" s="2979"/>
      <c r="AG42" s="2979"/>
      <c r="AH42" s="2979"/>
      <c r="AI42" s="2979"/>
      <c r="AJ42" s="2979"/>
      <c r="AK42" s="2979"/>
      <c r="AL42" s="2980"/>
      <c r="AM42" s="9"/>
      <c r="AN42" s="4"/>
      <c r="AO42" s="2756"/>
    </row>
    <row r="43" spans="1:41" ht="12" customHeight="1" thickBot="1" x14ac:dyDescent="0.25">
      <c r="A43" s="2917"/>
      <c r="B43" s="712"/>
      <c r="C43" s="2969"/>
      <c r="D43" s="2970"/>
      <c r="E43" s="2970"/>
      <c r="F43" s="2970"/>
      <c r="G43" s="2970"/>
      <c r="H43" s="2970"/>
      <c r="I43" s="2970"/>
      <c r="J43" s="2970"/>
      <c r="K43" s="2971"/>
      <c r="L43" s="1860"/>
      <c r="M43" s="2960"/>
      <c r="N43" s="2961"/>
      <c r="O43" s="2961"/>
      <c r="P43" s="2961"/>
      <c r="Q43" s="2961"/>
      <c r="R43" s="2961"/>
      <c r="S43" s="2962"/>
      <c r="T43" s="713"/>
      <c r="U43" s="3"/>
      <c r="V43" s="4"/>
      <c r="W43" s="6"/>
      <c r="X43" s="2981"/>
      <c r="Y43" s="2982"/>
      <c r="Z43" s="2983"/>
      <c r="AA43" s="2987"/>
      <c r="AB43" s="2976"/>
      <c r="AC43" s="2976"/>
      <c r="AD43" s="2976"/>
      <c r="AE43" s="2976"/>
      <c r="AF43" s="2976"/>
      <c r="AG43" s="2976"/>
      <c r="AH43" s="2976"/>
      <c r="AI43" s="2976"/>
      <c r="AJ43" s="2976"/>
      <c r="AK43" s="2976"/>
      <c r="AL43" s="2988"/>
      <c r="AM43" s="9"/>
      <c r="AN43" s="4"/>
      <c r="AO43" s="2756"/>
    </row>
    <row r="44" spans="1:41" ht="12" customHeight="1" thickBot="1" x14ac:dyDescent="0.25">
      <c r="A44" s="2917"/>
      <c r="B44" s="712"/>
      <c r="C44" s="5"/>
      <c r="D44" s="5"/>
      <c r="E44" s="5"/>
      <c r="F44" s="5"/>
      <c r="G44" s="5"/>
      <c r="H44" s="5"/>
      <c r="I44" s="5"/>
      <c r="J44" s="5"/>
      <c r="K44" s="5"/>
      <c r="L44" s="1860"/>
      <c r="M44" s="2960"/>
      <c r="N44" s="2961"/>
      <c r="O44" s="2961"/>
      <c r="P44" s="2961"/>
      <c r="Q44" s="2961"/>
      <c r="R44" s="2961"/>
      <c r="S44" s="2962"/>
      <c r="T44" s="713"/>
      <c r="U44" s="3"/>
      <c r="V44" s="4"/>
      <c r="W44" s="6"/>
      <c r="X44" s="2984"/>
      <c r="Y44" s="2985"/>
      <c r="Z44" s="2986"/>
      <c r="AA44" s="2989"/>
      <c r="AB44" s="2990"/>
      <c r="AC44" s="2990"/>
      <c r="AD44" s="2990"/>
      <c r="AE44" s="2990"/>
      <c r="AF44" s="2990"/>
      <c r="AG44" s="2990"/>
      <c r="AH44" s="2990"/>
      <c r="AI44" s="2990"/>
      <c r="AJ44" s="2990"/>
      <c r="AK44" s="2990"/>
      <c r="AL44" s="2991"/>
      <c r="AM44" s="9"/>
      <c r="AN44" s="4"/>
      <c r="AO44" s="2756"/>
    </row>
    <row r="45" spans="1:41" ht="12" customHeight="1" thickBot="1" x14ac:dyDescent="0.25">
      <c r="A45" s="2917"/>
      <c r="B45" s="712"/>
      <c r="C45" s="2902" t="s">
        <v>8810</v>
      </c>
      <c r="D45" s="2903"/>
      <c r="E45" s="2903"/>
      <c r="F45" s="2903"/>
      <c r="G45" s="2903"/>
      <c r="H45" s="2903"/>
      <c r="I45" s="2903"/>
      <c r="J45" s="2903"/>
      <c r="K45" s="2904"/>
      <c r="L45" s="1860"/>
      <c r="M45" s="2960"/>
      <c r="N45" s="2961"/>
      <c r="O45" s="2961"/>
      <c r="P45" s="2961"/>
      <c r="Q45" s="2961"/>
      <c r="R45" s="2961"/>
      <c r="S45" s="2962"/>
      <c r="T45" s="713"/>
      <c r="U45" s="3"/>
      <c r="V45" s="4"/>
      <c r="W45" s="6"/>
      <c r="AM45" s="9"/>
      <c r="AN45" s="4"/>
      <c r="AO45" s="2756"/>
    </row>
    <row r="46" spans="1:41" ht="12" customHeight="1" x14ac:dyDescent="0.2">
      <c r="A46" s="2917"/>
      <c r="B46" s="712"/>
      <c r="C46" s="2972"/>
      <c r="D46" s="2973"/>
      <c r="E46" s="2973"/>
      <c r="F46" s="2973"/>
      <c r="G46" s="2973"/>
      <c r="H46" s="2973"/>
      <c r="I46" s="2973"/>
      <c r="J46" s="2973"/>
      <c r="K46" s="2974"/>
      <c r="L46" s="1860"/>
      <c r="M46" s="2960"/>
      <c r="N46" s="2961"/>
      <c r="O46" s="2961"/>
      <c r="P46" s="2961"/>
      <c r="Q46" s="2961"/>
      <c r="R46" s="2961"/>
      <c r="S46" s="2962"/>
      <c r="T46" s="713"/>
      <c r="U46" s="3"/>
      <c r="V46" s="4"/>
      <c r="W46" s="6"/>
      <c r="X46" s="2992" t="s">
        <v>1351</v>
      </c>
      <c r="Y46" s="2993"/>
      <c r="Z46" s="2993"/>
      <c r="AA46" s="2993"/>
      <c r="AB46" s="2993"/>
      <c r="AC46" s="2993"/>
      <c r="AD46" s="2994"/>
      <c r="AF46" s="2992" t="s">
        <v>1352</v>
      </c>
      <c r="AG46" s="2993"/>
      <c r="AH46" s="2993"/>
      <c r="AI46" s="2993"/>
      <c r="AJ46" s="2993"/>
      <c r="AK46" s="2993"/>
      <c r="AL46" s="2994"/>
      <c r="AM46" s="9"/>
      <c r="AN46" s="4"/>
      <c r="AO46" s="2756"/>
    </row>
    <row r="47" spans="1:41" ht="12" customHeight="1" x14ac:dyDescent="0.2">
      <c r="A47" s="2917"/>
      <c r="B47" s="712"/>
      <c r="C47" s="2966"/>
      <c r="D47" s="2967"/>
      <c r="E47" s="2967"/>
      <c r="F47" s="2967"/>
      <c r="G47" s="2967"/>
      <c r="H47" s="2967"/>
      <c r="I47" s="2967"/>
      <c r="J47" s="2967"/>
      <c r="K47" s="2968"/>
      <c r="L47" s="1860"/>
      <c r="M47" s="2960"/>
      <c r="N47" s="2961"/>
      <c r="O47" s="2961"/>
      <c r="P47" s="2961"/>
      <c r="Q47" s="2961"/>
      <c r="R47" s="2961"/>
      <c r="S47" s="2962"/>
      <c r="T47" s="713"/>
      <c r="U47" s="3"/>
      <c r="V47" s="4"/>
      <c r="W47" s="6"/>
      <c r="X47" s="2975"/>
      <c r="Y47" s="2976"/>
      <c r="Z47" s="2976"/>
      <c r="AA47" s="2976"/>
      <c r="AB47" s="2976"/>
      <c r="AC47" s="2976"/>
      <c r="AD47" s="2988"/>
      <c r="AF47" s="2975"/>
      <c r="AG47" s="2976"/>
      <c r="AH47" s="2976"/>
      <c r="AI47" s="2976"/>
      <c r="AJ47" s="2976"/>
      <c r="AK47" s="2976"/>
      <c r="AL47" s="2988"/>
      <c r="AM47" s="9"/>
      <c r="AN47" s="4"/>
      <c r="AO47" s="2756"/>
    </row>
    <row r="48" spans="1:41" ht="12" customHeight="1" x14ac:dyDescent="0.2">
      <c r="A48" s="2917"/>
      <c r="B48" s="712"/>
      <c r="C48" s="2966"/>
      <c r="D48" s="2967"/>
      <c r="E48" s="2967"/>
      <c r="F48" s="2967"/>
      <c r="G48" s="2967"/>
      <c r="H48" s="2967"/>
      <c r="I48" s="2967"/>
      <c r="J48" s="2967"/>
      <c r="K48" s="2968"/>
      <c r="L48" s="1860"/>
      <c r="M48" s="2960"/>
      <c r="N48" s="2961"/>
      <c r="O48" s="2961"/>
      <c r="P48" s="2961"/>
      <c r="Q48" s="2961"/>
      <c r="R48" s="2961"/>
      <c r="S48" s="2962"/>
      <c r="T48" s="713"/>
      <c r="U48" s="3"/>
      <c r="V48" s="4"/>
      <c r="W48" s="6"/>
      <c r="X48" s="2975"/>
      <c r="Y48" s="2976"/>
      <c r="Z48" s="2976"/>
      <c r="AA48" s="2976"/>
      <c r="AB48" s="2976"/>
      <c r="AC48" s="2976"/>
      <c r="AD48" s="2988"/>
      <c r="AF48" s="2975"/>
      <c r="AG48" s="2976"/>
      <c r="AH48" s="2976"/>
      <c r="AI48" s="2976"/>
      <c r="AJ48" s="2976"/>
      <c r="AK48" s="2976"/>
      <c r="AL48" s="2988"/>
      <c r="AM48" s="9"/>
      <c r="AN48" s="4"/>
      <c r="AO48" s="2756"/>
    </row>
    <row r="49" spans="1:41" ht="12" customHeight="1" x14ac:dyDescent="0.2">
      <c r="A49" s="2917"/>
      <c r="B49" s="712"/>
      <c r="C49" s="2966"/>
      <c r="D49" s="2967"/>
      <c r="E49" s="2967"/>
      <c r="F49" s="2967"/>
      <c r="G49" s="2967"/>
      <c r="H49" s="2967"/>
      <c r="I49" s="2967"/>
      <c r="J49" s="2967"/>
      <c r="K49" s="2968"/>
      <c r="L49" s="1860"/>
      <c r="M49" s="2960"/>
      <c r="N49" s="2961"/>
      <c r="O49" s="2961"/>
      <c r="P49" s="2961"/>
      <c r="Q49" s="2961"/>
      <c r="R49" s="2961"/>
      <c r="S49" s="2962"/>
      <c r="T49" s="713"/>
      <c r="U49" s="3"/>
      <c r="V49" s="4"/>
      <c r="W49" s="6"/>
      <c r="X49" s="2975"/>
      <c r="Y49" s="2976"/>
      <c r="Z49" s="2976"/>
      <c r="AA49" s="2976"/>
      <c r="AB49" s="2976"/>
      <c r="AC49" s="2976"/>
      <c r="AD49" s="2988"/>
      <c r="AF49" s="2975"/>
      <c r="AG49" s="2976"/>
      <c r="AH49" s="2976"/>
      <c r="AI49" s="2976"/>
      <c r="AJ49" s="2976"/>
      <c r="AK49" s="2976"/>
      <c r="AL49" s="2988"/>
      <c r="AM49" s="9"/>
      <c r="AN49" s="4"/>
      <c r="AO49" s="2756"/>
    </row>
    <row r="50" spans="1:41" ht="12" customHeight="1" x14ac:dyDescent="0.2">
      <c r="A50" s="2917"/>
      <c r="B50" s="712"/>
      <c r="C50" s="2966"/>
      <c r="D50" s="2967"/>
      <c r="E50" s="2967"/>
      <c r="F50" s="2967"/>
      <c r="G50" s="2967"/>
      <c r="H50" s="2967"/>
      <c r="I50" s="2967"/>
      <c r="J50" s="2967"/>
      <c r="K50" s="2968"/>
      <c r="L50" s="1860"/>
      <c r="M50" s="2960"/>
      <c r="N50" s="2961"/>
      <c r="O50" s="2961"/>
      <c r="P50" s="2961"/>
      <c r="Q50" s="2961"/>
      <c r="R50" s="2961"/>
      <c r="S50" s="2962"/>
      <c r="T50" s="713"/>
      <c r="U50" s="3"/>
      <c r="V50" s="4"/>
      <c r="W50" s="6"/>
      <c r="X50" s="2975"/>
      <c r="Y50" s="2976"/>
      <c r="Z50" s="2976"/>
      <c r="AA50" s="2976"/>
      <c r="AB50" s="2976"/>
      <c r="AC50" s="2976"/>
      <c r="AD50" s="2988"/>
      <c r="AF50" s="2975"/>
      <c r="AG50" s="2976"/>
      <c r="AH50" s="2976"/>
      <c r="AI50" s="2976"/>
      <c r="AJ50" s="2976"/>
      <c r="AK50" s="2976"/>
      <c r="AL50" s="2988"/>
      <c r="AM50" s="9"/>
      <c r="AN50" s="4"/>
      <c r="AO50" s="2756"/>
    </row>
    <row r="51" spans="1:41" ht="12" customHeight="1" x14ac:dyDescent="0.2">
      <c r="A51" s="2917"/>
      <c r="B51" s="712"/>
      <c r="C51" s="2966"/>
      <c r="D51" s="2967"/>
      <c r="E51" s="2967"/>
      <c r="F51" s="2967"/>
      <c r="G51" s="2967"/>
      <c r="H51" s="2967"/>
      <c r="I51" s="2967"/>
      <c r="J51" s="2967"/>
      <c r="K51" s="2968"/>
      <c r="L51" s="1860"/>
      <c r="M51" s="2960"/>
      <c r="N51" s="2961"/>
      <c r="O51" s="2961"/>
      <c r="P51" s="2961"/>
      <c r="Q51" s="2961"/>
      <c r="R51" s="2961"/>
      <c r="S51" s="2962"/>
      <c r="T51" s="713"/>
      <c r="U51" s="3"/>
      <c r="V51" s="4"/>
      <c r="W51" s="6"/>
      <c r="X51" s="2975"/>
      <c r="Y51" s="2976"/>
      <c r="Z51" s="2976"/>
      <c r="AA51" s="2976"/>
      <c r="AB51" s="2976"/>
      <c r="AC51" s="2976"/>
      <c r="AD51" s="2988"/>
      <c r="AF51" s="2975"/>
      <c r="AG51" s="2976"/>
      <c r="AH51" s="2976"/>
      <c r="AI51" s="2976"/>
      <c r="AJ51" s="2976"/>
      <c r="AK51" s="2976"/>
      <c r="AL51" s="2988"/>
      <c r="AM51" s="9"/>
      <c r="AN51" s="4"/>
      <c r="AO51" s="2756"/>
    </row>
    <row r="52" spans="1:41" ht="12" customHeight="1" x14ac:dyDescent="0.2">
      <c r="A52" s="2917"/>
      <c r="B52" s="712"/>
      <c r="C52" s="2966"/>
      <c r="D52" s="2967"/>
      <c r="E52" s="2967"/>
      <c r="F52" s="2967"/>
      <c r="G52" s="2967"/>
      <c r="H52" s="2967"/>
      <c r="I52" s="2967"/>
      <c r="J52" s="2967"/>
      <c r="K52" s="2968"/>
      <c r="L52" s="1860"/>
      <c r="M52" s="2960"/>
      <c r="N52" s="2961"/>
      <c r="O52" s="2961"/>
      <c r="P52" s="2961"/>
      <c r="Q52" s="2961"/>
      <c r="R52" s="2961"/>
      <c r="S52" s="2962"/>
      <c r="T52" s="713"/>
      <c r="U52" s="3"/>
      <c r="V52" s="4"/>
      <c r="W52" s="6"/>
      <c r="X52" s="2975"/>
      <c r="Y52" s="2976"/>
      <c r="Z52" s="2976"/>
      <c r="AA52" s="2976"/>
      <c r="AB52" s="2976"/>
      <c r="AC52" s="2976"/>
      <c r="AD52" s="2988"/>
      <c r="AF52" s="2975"/>
      <c r="AG52" s="2976"/>
      <c r="AH52" s="2976"/>
      <c r="AI52" s="2976"/>
      <c r="AJ52" s="2976"/>
      <c r="AK52" s="2976"/>
      <c r="AL52" s="2988"/>
      <c r="AM52" s="9"/>
      <c r="AN52" s="4"/>
      <c r="AO52" s="2756"/>
    </row>
    <row r="53" spans="1:41" ht="12" customHeight="1" thickBot="1" x14ac:dyDescent="0.25">
      <c r="A53" s="2917"/>
      <c r="B53" s="712"/>
      <c r="C53" s="2969"/>
      <c r="D53" s="2970"/>
      <c r="E53" s="2970"/>
      <c r="F53" s="2970"/>
      <c r="G53" s="2970"/>
      <c r="H53" s="2970"/>
      <c r="I53" s="2970"/>
      <c r="J53" s="2970"/>
      <c r="K53" s="2971"/>
      <c r="L53" s="1860"/>
      <c r="M53" s="2963"/>
      <c r="N53" s="2964"/>
      <c r="O53" s="2964"/>
      <c r="P53" s="2964"/>
      <c r="Q53" s="2964"/>
      <c r="R53" s="2964"/>
      <c r="S53" s="2965"/>
      <c r="T53" s="713"/>
      <c r="U53" s="3"/>
      <c r="V53" s="4"/>
      <c r="W53" s="6"/>
      <c r="X53" s="2975"/>
      <c r="Y53" s="2976"/>
      <c r="Z53" s="2976"/>
      <c r="AA53" s="2976"/>
      <c r="AB53" s="2976"/>
      <c r="AC53" s="2976"/>
      <c r="AD53" s="2988"/>
      <c r="AF53" s="2975"/>
      <c r="AG53" s="2976"/>
      <c r="AH53" s="2976"/>
      <c r="AI53" s="2976"/>
      <c r="AJ53" s="2976"/>
      <c r="AK53" s="2976"/>
      <c r="AL53" s="2988"/>
      <c r="AM53" s="9"/>
      <c r="AN53" s="4"/>
      <c r="AO53" s="2756"/>
    </row>
    <row r="54" spans="1:41" ht="12" customHeight="1" thickBot="1" x14ac:dyDescent="0.25">
      <c r="A54" s="2917"/>
      <c r="B54" s="712"/>
      <c r="C54" s="5"/>
      <c r="D54" s="5"/>
      <c r="E54" s="5"/>
      <c r="F54" s="5"/>
      <c r="G54" s="5"/>
      <c r="H54" s="5"/>
      <c r="I54" s="5"/>
      <c r="J54" s="5"/>
      <c r="K54" s="5"/>
      <c r="L54" s="5"/>
      <c r="M54" s="5"/>
      <c r="N54" s="5"/>
      <c r="O54" s="5"/>
      <c r="P54" s="5"/>
      <c r="Q54" s="5"/>
      <c r="R54" s="5"/>
      <c r="S54" s="5"/>
      <c r="T54" s="713"/>
      <c r="U54" s="3"/>
      <c r="V54" s="4"/>
      <c r="W54" s="6"/>
      <c r="X54" s="2975"/>
      <c r="Y54" s="2976"/>
      <c r="Z54" s="2976"/>
      <c r="AA54" s="2976"/>
      <c r="AB54" s="2976"/>
      <c r="AC54" s="2976"/>
      <c r="AD54" s="2988"/>
      <c r="AF54" s="2975"/>
      <c r="AG54" s="2976"/>
      <c r="AH54" s="2976"/>
      <c r="AI54" s="2976"/>
      <c r="AJ54" s="2976"/>
      <c r="AK54" s="2976"/>
      <c r="AL54" s="2988"/>
      <c r="AM54" s="9"/>
      <c r="AN54" s="4"/>
      <c r="AO54" s="2756"/>
    </row>
    <row r="55" spans="1:41" ht="12" customHeight="1" thickBot="1" x14ac:dyDescent="0.25">
      <c r="A55" s="2917"/>
      <c r="B55" s="712"/>
      <c r="C55" s="2902" t="s">
        <v>9001</v>
      </c>
      <c r="D55" s="2903"/>
      <c r="E55" s="2903"/>
      <c r="F55" s="2903"/>
      <c r="G55" s="2903"/>
      <c r="H55" s="2903"/>
      <c r="I55" s="2903"/>
      <c r="J55" s="2903"/>
      <c r="K55" s="2903"/>
      <c r="L55" s="2903"/>
      <c r="M55" s="2903"/>
      <c r="N55" s="2903"/>
      <c r="O55" s="2903"/>
      <c r="P55" s="2903"/>
      <c r="Q55" s="2903"/>
      <c r="R55" s="2903"/>
      <c r="S55" s="2904"/>
      <c r="T55" s="713"/>
      <c r="U55" s="3"/>
      <c r="V55" s="4"/>
      <c r="W55" s="6"/>
      <c r="X55" s="3038"/>
      <c r="Y55" s="2990"/>
      <c r="Z55" s="2990"/>
      <c r="AA55" s="2990"/>
      <c r="AB55" s="2990"/>
      <c r="AC55" s="2990"/>
      <c r="AD55" s="2991"/>
      <c r="AF55" s="3038"/>
      <c r="AG55" s="2990"/>
      <c r="AH55" s="2990"/>
      <c r="AI55" s="2990"/>
      <c r="AJ55" s="2990"/>
      <c r="AK55" s="2990"/>
      <c r="AL55" s="2991"/>
      <c r="AM55" s="9"/>
      <c r="AN55" s="4"/>
      <c r="AO55" s="2756"/>
    </row>
    <row r="56" spans="1:41" ht="12" customHeight="1" thickBot="1" x14ac:dyDescent="0.25">
      <c r="A56" s="2917"/>
      <c r="B56" s="712"/>
      <c r="C56" s="2923"/>
      <c r="D56" s="2924"/>
      <c r="E56" s="2925"/>
      <c r="F56" s="2925"/>
      <c r="G56" s="2925"/>
      <c r="H56" s="2925"/>
      <c r="I56" s="2925"/>
      <c r="J56" s="2925"/>
      <c r="K56" s="2925"/>
      <c r="L56" s="2925"/>
      <c r="M56" s="2925"/>
      <c r="N56" s="2925"/>
      <c r="O56" s="2925"/>
      <c r="P56" s="2925"/>
      <c r="Q56" s="2925"/>
      <c r="R56" s="2925"/>
      <c r="S56" s="2926"/>
      <c r="T56" s="713"/>
      <c r="U56" s="3"/>
      <c r="V56" s="4"/>
      <c r="W56" s="6"/>
      <c r="AM56" s="9"/>
      <c r="AN56" s="4"/>
      <c r="AO56" s="2756"/>
    </row>
    <row r="57" spans="1:41" ht="12" customHeight="1" thickBot="1" x14ac:dyDescent="0.25">
      <c r="A57" s="2917"/>
      <c r="B57" s="712"/>
      <c r="C57" s="2927"/>
      <c r="D57" s="2928"/>
      <c r="E57" s="2929"/>
      <c r="F57" s="2929"/>
      <c r="G57" s="2929"/>
      <c r="H57" s="2929"/>
      <c r="I57" s="2929"/>
      <c r="J57" s="2929"/>
      <c r="K57" s="2929"/>
      <c r="L57" s="2929"/>
      <c r="M57" s="2929"/>
      <c r="N57" s="2929"/>
      <c r="O57" s="2929"/>
      <c r="P57" s="2929"/>
      <c r="Q57" s="2929"/>
      <c r="R57" s="2929"/>
      <c r="S57" s="2930"/>
      <c r="T57" s="713"/>
      <c r="U57" s="3"/>
      <c r="V57" s="4"/>
      <c r="W57" s="6"/>
      <c r="X57" s="3062" t="s">
        <v>1353</v>
      </c>
      <c r="Y57" s="3063"/>
      <c r="Z57" s="3063"/>
      <c r="AA57" s="3063"/>
      <c r="AB57" s="2993"/>
      <c r="AC57" s="2993"/>
      <c r="AD57" s="2994"/>
      <c r="AF57" s="3064" t="s">
        <v>1354</v>
      </c>
      <c r="AG57" s="3065"/>
      <c r="AH57" s="3065"/>
      <c r="AI57" s="3065"/>
      <c r="AJ57" s="3065"/>
      <c r="AK57" s="3066" t="str">
        <f>VLOOKUP(AF59,Tabla_Fama,2)</f>
        <v>Desconocido</v>
      </c>
      <c r="AL57" s="3067"/>
      <c r="AM57" s="9"/>
      <c r="AN57" s="4"/>
      <c r="AO57" s="2756"/>
    </row>
    <row r="58" spans="1:41" ht="12" customHeight="1" x14ac:dyDescent="0.2">
      <c r="A58" s="2917"/>
      <c r="B58" s="712"/>
      <c r="C58" s="2927"/>
      <c r="D58" s="2928"/>
      <c r="E58" s="2929"/>
      <c r="F58" s="2929"/>
      <c r="G58" s="2929"/>
      <c r="H58" s="2929"/>
      <c r="I58" s="2929"/>
      <c r="J58" s="2929"/>
      <c r="K58" s="2929"/>
      <c r="L58" s="2929"/>
      <c r="M58" s="2929"/>
      <c r="N58" s="2929"/>
      <c r="O58" s="2929"/>
      <c r="P58" s="2929"/>
      <c r="Q58" s="2929"/>
      <c r="R58" s="2929"/>
      <c r="S58" s="2930"/>
      <c r="T58" s="713"/>
      <c r="U58" s="3"/>
      <c r="V58" s="4"/>
      <c r="W58" s="6"/>
      <c r="X58" s="3054" t="s">
        <v>1355</v>
      </c>
      <c r="Y58" s="3055"/>
      <c r="Z58" s="3055"/>
      <c r="AA58" s="3056"/>
      <c r="AB58" s="3057" t="s">
        <v>1356</v>
      </c>
      <c r="AC58" s="3058"/>
      <c r="AD58" s="3059"/>
      <c r="AF58" s="1767" t="s">
        <v>1357</v>
      </c>
      <c r="AG58" s="3060" t="s">
        <v>1358</v>
      </c>
      <c r="AH58" s="3060"/>
      <c r="AI58" s="1757"/>
      <c r="AJ58" s="3060" t="s">
        <v>1359</v>
      </c>
      <c r="AK58" s="3060"/>
      <c r="AL58" s="1768"/>
      <c r="AM58" s="9"/>
      <c r="AN58" s="4"/>
      <c r="AO58" s="2756"/>
    </row>
    <row r="59" spans="1:41" ht="12" customHeight="1" thickBot="1" x14ac:dyDescent="0.25">
      <c r="A59" s="2917"/>
      <c r="B59" s="712"/>
      <c r="C59" s="2927"/>
      <c r="D59" s="2928"/>
      <c r="E59" s="2929"/>
      <c r="F59" s="2929"/>
      <c r="G59" s="2929"/>
      <c r="H59" s="2929"/>
      <c r="I59" s="2929"/>
      <c r="J59" s="2929"/>
      <c r="K59" s="2929"/>
      <c r="L59" s="2929"/>
      <c r="M59" s="2929"/>
      <c r="N59" s="2929"/>
      <c r="O59" s="2929"/>
      <c r="P59" s="2929"/>
      <c r="Q59" s="2929"/>
      <c r="R59" s="2929"/>
      <c r="S59" s="2930"/>
      <c r="T59" s="713"/>
      <c r="U59" s="3"/>
      <c r="V59" s="4"/>
      <c r="W59" s="6"/>
      <c r="X59" s="3061" t="s">
        <v>1360</v>
      </c>
      <c r="Y59" s="3000"/>
      <c r="Z59" s="3099"/>
      <c r="AA59" s="3001"/>
      <c r="AB59" s="3084"/>
      <c r="AC59" s="3085"/>
      <c r="AD59" s="3086"/>
      <c r="AF59" s="3093">
        <f>MAX(AI58+AI60+AL59+AL58+AI59,IF(Tablas!$G$478&gt;0,40,IF(Tablas!$G$479&gt;0,65)))</f>
        <v>0</v>
      </c>
      <c r="AG59" s="3060" t="s">
        <v>1361</v>
      </c>
      <c r="AH59" s="3060"/>
      <c r="AI59" s="1737"/>
      <c r="AJ59" s="3060" t="s">
        <v>1362</v>
      </c>
      <c r="AK59" s="3095"/>
      <c r="AL59" s="1769"/>
      <c r="AM59" s="9"/>
      <c r="AN59" s="4"/>
      <c r="AO59" s="2756"/>
    </row>
    <row r="60" spans="1:41" ht="12" customHeight="1" thickBot="1" x14ac:dyDescent="0.25">
      <c r="A60" s="2917"/>
      <c r="B60" s="712"/>
      <c r="C60" s="2927"/>
      <c r="D60" s="2928"/>
      <c r="E60" s="2929"/>
      <c r="F60" s="2929"/>
      <c r="G60" s="2929"/>
      <c r="H60" s="2929"/>
      <c r="I60" s="2929"/>
      <c r="J60" s="2929"/>
      <c r="K60" s="2929"/>
      <c r="L60" s="2929"/>
      <c r="M60" s="2929"/>
      <c r="N60" s="2929"/>
      <c r="O60" s="2929"/>
      <c r="P60" s="2929"/>
      <c r="Q60" s="2929"/>
      <c r="R60" s="2929"/>
      <c r="S60" s="2930"/>
      <c r="T60" s="713"/>
      <c r="U60" s="3"/>
      <c r="V60" s="4"/>
      <c r="W60" s="6"/>
      <c r="X60" s="3061"/>
      <c r="Y60" s="2998"/>
      <c r="Z60" s="3072"/>
      <c r="AA60" s="2999"/>
      <c r="AB60" s="3087"/>
      <c r="AC60" s="3088"/>
      <c r="AD60" s="3089"/>
      <c r="AF60" s="3094"/>
      <c r="AG60" s="3096" t="s">
        <v>1363</v>
      </c>
      <c r="AH60" s="3096"/>
      <c r="AI60" s="1770"/>
      <c r="AJ60" s="3097" t="s">
        <v>1364</v>
      </c>
      <c r="AK60" s="3098"/>
      <c r="AL60" s="1771">
        <f>VLOOKUP(AF59,Tabla_Fama,3)</f>
        <v>0</v>
      </c>
      <c r="AM60" s="9"/>
      <c r="AN60" s="4"/>
      <c r="AO60" s="2756"/>
    </row>
    <row r="61" spans="1:41" ht="12" customHeight="1" thickBot="1" x14ac:dyDescent="0.25">
      <c r="A61" s="2917"/>
      <c r="B61" s="712"/>
      <c r="C61" s="2927"/>
      <c r="D61" s="2928"/>
      <c r="E61" s="2929"/>
      <c r="F61" s="2929"/>
      <c r="G61" s="2929"/>
      <c r="H61" s="2929"/>
      <c r="I61" s="2929"/>
      <c r="J61" s="2929"/>
      <c r="K61" s="2929"/>
      <c r="L61" s="2929"/>
      <c r="M61" s="2929"/>
      <c r="N61" s="2929"/>
      <c r="O61" s="2929"/>
      <c r="P61" s="2929"/>
      <c r="Q61" s="2929"/>
      <c r="R61" s="2929"/>
      <c r="S61" s="2930"/>
      <c r="T61" s="713"/>
      <c r="U61" s="3"/>
      <c r="V61" s="4"/>
      <c r="W61" s="6"/>
      <c r="X61" s="3061" t="s">
        <v>1365</v>
      </c>
      <c r="Y61" s="2998"/>
      <c r="Z61" s="3072"/>
      <c r="AA61" s="2999"/>
      <c r="AB61" s="3087"/>
      <c r="AC61" s="3088"/>
      <c r="AD61" s="3089"/>
      <c r="AM61" s="9"/>
      <c r="AN61" s="4"/>
      <c r="AO61" s="2756"/>
    </row>
    <row r="62" spans="1:41" ht="12" customHeight="1" thickBot="1" x14ac:dyDescent="0.25">
      <c r="A62" s="2917"/>
      <c r="B62" s="712"/>
      <c r="C62" s="2927"/>
      <c r="D62" s="2928"/>
      <c r="E62" s="2929"/>
      <c r="F62" s="2929"/>
      <c r="G62" s="2929"/>
      <c r="H62" s="2929"/>
      <c r="I62" s="2929"/>
      <c r="J62" s="2929"/>
      <c r="K62" s="2929"/>
      <c r="L62" s="2929"/>
      <c r="M62" s="2929"/>
      <c r="N62" s="2929"/>
      <c r="O62" s="2929"/>
      <c r="P62" s="2929"/>
      <c r="Q62" s="2929"/>
      <c r="R62" s="2929"/>
      <c r="S62" s="2930"/>
      <c r="T62" s="713"/>
      <c r="U62" s="3"/>
      <c r="V62" s="4"/>
      <c r="W62" s="6"/>
      <c r="X62" s="3061"/>
      <c r="Y62" s="2998"/>
      <c r="Z62" s="3072"/>
      <c r="AA62" s="2999"/>
      <c r="AB62" s="3087"/>
      <c r="AC62" s="3088"/>
      <c r="AD62" s="3089"/>
      <c r="AF62" s="3062" t="s">
        <v>1366</v>
      </c>
      <c r="AG62" s="3063"/>
      <c r="AH62" s="3063"/>
      <c r="AI62" s="3063"/>
      <c r="AJ62" s="3063"/>
      <c r="AK62" s="2993"/>
      <c r="AL62" s="2994"/>
      <c r="AM62" s="9"/>
      <c r="AN62" s="4"/>
      <c r="AO62" s="2756"/>
    </row>
    <row r="63" spans="1:41" ht="12" customHeight="1" thickBot="1" x14ac:dyDescent="0.25">
      <c r="A63" s="2917"/>
      <c r="B63" s="712"/>
      <c r="C63" s="2927"/>
      <c r="D63" s="2928"/>
      <c r="E63" s="2929"/>
      <c r="F63" s="2929"/>
      <c r="G63" s="2929"/>
      <c r="H63" s="2929"/>
      <c r="I63" s="2929"/>
      <c r="J63" s="2929"/>
      <c r="K63" s="2929"/>
      <c r="L63" s="2929"/>
      <c r="M63" s="2929"/>
      <c r="N63" s="2929"/>
      <c r="O63" s="2929"/>
      <c r="P63" s="2929"/>
      <c r="Q63" s="2929"/>
      <c r="R63" s="2929"/>
      <c r="S63" s="2930"/>
      <c r="T63" s="713"/>
      <c r="U63" s="3"/>
      <c r="V63" s="4"/>
      <c r="W63" s="6"/>
      <c r="X63" s="3070" t="s">
        <v>1367</v>
      </c>
      <c r="Y63" s="2998"/>
      <c r="Z63" s="3072"/>
      <c r="AA63" s="2999"/>
      <c r="AB63" s="3087"/>
      <c r="AC63" s="3088"/>
      <c r="AD63" s="3089"/>
      <c r="AF63" s="3074" t="s">
        <v>1368</v>
      </c>
      <c r="AG63" s="3075"/>
      <c r="AH63" s="3075"/>
      <c r="AI63" s="1738">
        <f>IF(INT+POD+VOL=0,0,VLOOKUP(INT+POD+VOL,Tabla_Cordura,3))</f>
        <v>20</v>
      </c>
      <c r="AJ63" s="3076">
        <f>IF(INT+POD+VOL=0,0,VLOOKUP(INT+POD+VOL,Tabla_Cordura,2))</f>
        <v>80</v>
      </c>
      <c r="AK63" s="3078"/>
      <c r="AL63" s="3079"/>
      <c r="AM63" s="9"/>
      <c r="AN63" s="4"/>
      <c r="AO63" s="2756"/>
    </row>
    <row r="64" spans="1:41" ht="12" customHeight="1" thickBot="1" x14ac:dyDescent="0.25">
      <c r="A64" s="2917"/>
      <c r="B64" s="712"/>
      <c r="C64" s="2931"/>
      <c r="D64" s="2932"/>
      <c r="E64" s="2933"/>
      <c r="F64" s="2933"/>
      <c r="G64" s="2933"/>
      <c r="H64" s="2933"/>
      <c r="I64" s="2933"/>
      <c r="J64" s="2933"/>
      <c r="K64" s="2933"/>
      <c r="L64" s="2933"/>
      <c r="M64" s="2933"/>
      <c r="N64" s="2933"/>
      <c r="O64" s="2933"/>
      <c r="P64" s="2933"/>
      <c r="Q64" s="2933"/>
      <c r="R64" s="2933"/>
      <c r="S64" s="2934"/>
      <c r="T64" s="713"/>
      <c r="U64" s="3"/>
      <c r="V64" s="4"/>
      <c r="W64" s="6"/>
      <c r="X64" s="3071"/>
      <c r="Y64" s="3040"/>
      <c r="Z64" s="3073"/>
      <c r="AA64" s="3041"/>
      <c r="AB64" s="3090"/>
      <c r="AC64" s="3091"/>
      <c r="AD64" s="3092"/>
      <c r="AF64" s="3082"/>
      <c r="AG64" s="3083"/>
      <c r="AH64" s="3083"/>
      <c r="AI64" s="3083"/>
      <c r="AJ64" s="3077"/>
      <c r="AK64" s="3080"/>
      <c r="AL64" s="3081"/>
      <c r="AM64" s="9"/>
      <c r="AN64" s="4"/>
      <c r="AO64" s="2756"/>
    </row>
    <row r="65" spans="1:41" ht="12" customHeight="1" thickBot="1" x14ac:dyDescent="0.25">
      <c r="A65" s="2917"/>
      <c r="B65" s="2921"/>
      <c r="C65" s="2922"/>
      <c r="D65" s="2922"/>
      <c r="E65" s="2922"/>
      <c r="F65" s="2922"/>
      <c r="G65" s="2922"/>
      <c r="H65" s="2922"/>
      <c r="I65" s="2922"/>
      <c r="J65" s="2922"/>
      <c r="K65" s="2922"/>
      <c r="L65" s="2922"/>
      <c r="M65" s="2922"/>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2756"/>
    </row>
    <row r="66" spans="1:41" ht="12" customHeight="1" x14ac:dyDescent="0.2">
      <c r="A66" s="291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8"/>
    </row>
  </sheetData>
  <sheetProtection selectLockedCells="1"/>
  <mergeCells count="175">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S37" zoomScaleNormal="100" zoomScaleSheetLayoutView="55" workbookViewId="0">
      <selection activeCell="AB42" sqref="AB42:AE42"/>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2755" t="s">
        <v>9024</v>
      </c>
      <c r="AN1" s="2759"/>
      <c r="AO1" s="2759"/>
      <c r="AP1" s="2759"/>
      <c r="AQ1" s="2759"/>
      <c r="AR1" s="1986"/>
      <c r="AS1" s="1986"/>
      <c r="AT1" s="1986"/>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8569</v>
      </c>
      <c r="T2" s="1188">
        <f>Tablas!J1213</f>
        <v>10</v>
      </c>
      <c r="U2" s="1204"/>
      <c r="V2" s="1190"/>
      <c r="W2" s="1190"/>
      <c r="X2" s="1190"/>
      <c r="Y2" s="1190"/>
      <c r="Z2" s="1190"/>
      <c r="AA2" s="1190"/>
      <c r="AB2" s="1190"/>
      <c r="AC2" s="1190"/>
      <c r="AD2" s="1190"/>
      <c r="AE2" s="1190"/>
      <c r="AF2" s="1190"/>
      <c r="AG2" s="1190"/>
      <c r="AH2" s="1190"/>
      <c r="AI2" s="1190"/>
      <c r="AJ2" s="1190"/>
      <c r="AK2" s="1606"/>
      <c r="AL2" s="716"/>
      <c r="AM2" s="2755"/>
      <c r="AN2" s="2759"/>
      <c r="AO2" s="2759"/>
      <c r="AP2" s="2759"/>
      <c r="AQ2" s="2759"/>
      <c r="AR2" s="1986"/>
      <c r="AS2" s="1986"/>
      <c r="AT2" s="1986"/>
    </row>
    <row r="3" spans="1:46" ht="12" customHeight="1" thickBot="1" x14ac:dyDescent="0.25">
      <c r="A3" s="10"/>
      <c r="B3" s="542"/>
      <c r="C3" s="3123"/>
      <c r="D3" s="3123"/>
      <c r="E3" s="3123"/>
      <c r="F3" s="3123"/>
      <c r="G3" s="3123"/>
      <c r="H3" s="3123"/>
      <c r="I3" s="26"/>
      <c r="J3" s="26"/>
      <c r="K3" s="699"/>
      <c r="L3" s="26"/>
      <c r="M3" s="26"/>
      <c r="N3" s="26"/>
      <c r="O3" s="26"/>
      <c r="P3" s="26"/>
      <c r="Q3" s="27"/>
      <c r="R3" s="708"/>
      <c r="S3" s="1189" t="s">
        <v>8570</v>
      </c>
      <c r="T3" s="1188">
        <f>Tablas!J1214</f>
        <v>10</v>
      </c>
      <c r="U3" s="1205"/>
      <c r="V3" s="3023"/>
      <c r="W3" s="3023"/>
      <c r="X3" s="3023"/>
      <c r="Y3" s="3023"/>
      <c r="Z3" s="3023"/>
      <c r="AA3" s="3023"/>
      <c r="AB3" s="7"/>
      <c r="AC3" s="7"/>
      <c r="AD3" s="7"/>
      <c r="AE3" s="7"/>
      <c r="AF3" s="7"/>
      <c r="AG3" s="7"/>
      <c r="AH3" s="7"/>
      <c r="AI3" s="7"/>
      <c r="AJ3" s="8"/>
      <c r="AK3" s="1607"/>
      <c r="AL3" s="716"/>
      <c r="AM3" s="2755"/>
      <c r="AN3" s="2759"/>
      <c r="AO3" s="2759"/>
      <c r="AP3" s="2759"/>
      <c r="AQ3" s="2759"/>
      <c r="AR3" s="1986"/>
      <c r="AS3" s="1986"/>
      <c r="AT3" s="1986"/>
    </row>
    <row r="4" spans="1:46" ht="12" customHeight="1" thickBot="1" x14ac:dyDescent="0.25">
      <c r="A4" s="10"/>
      <c r="B4" s="918"/>
      <c r="C4" s="3123"/>
      <c r="D4" s="3123"/>
      <c r="E4" s="3123"/>
      <c r="F4" s="3123"/>
      <c r="G4" s="3123"/>
      <c r="H4" s="3123"/>
      <c r="I4" s="24"/>
      <c r="J4" s="2383" t="s">
        <v>1331</v>
      </c>
      <c r="K4" s="3025" t="str">
        <f>IF(OR(General!$F$22="",General!$F$22=0),"",General!$F$22)</f>
        <v/>
      </c>
      <c r="L4" s="3025"/>
      <c r="M4" s="3025"/>
      <c r="N4" s="3025"/>
      <c r="O4" s="3025"/>
      <c r="P4" s="3025"/>
      <c r="Q4" s="2604"/>
      <c r="R4" s="1022"/>
      <c r="S4" s="1183"/>
      <c r="T4" s="1184"/>
      <c r="U4" s="1205"/>
      <c r="V4" s="3023"/>
      <c r="W4" s="3023"/>
      <c r="X4" s="3023"/>
      <c r="Y4" s="3023"/>
      <c r="Z4" s="3023"/>
      <c r="AA4" s="3023"/>
      <c r="AB4" s="3157" t="s">
        <v>1331</v>
      </c>
      <c r="AC4" s="3157"/>
      <c r="AD4" s="3025" t="str">
        <f>IF(OR(General!$F$22="",General!$F$22=0),"",General!$F$22)</f>
        <v/>
      </c>
      <c r="AE4" s="3025"/>
      <c r="AF4" s="3025"/>
      <c r="AG4" s="3025"/>
      <c r="AH4" s="3025"/>
      <c r="AI4" s="3025"/>
      <c r="AJ4" s="11"/>
      <c r="AK4" s="1607"/>
      <c r="AL4" s="716"/>
      <c r="AM4" s="2760"/>
      <c r="AN4" s="2759"/>
      <c r="AO4" s="2759"/>
      <c r="AP4" s="2759"/>
      <c r="AQ4" s="2759"/>
      <c r="AR4" s="1986"/>
      <c r="AS4" s="1986"/>
      <c r="AT4" s="1986"/>
    </row>
    <row r="5" spans="1:46" ht="12" customHeight="1" thickBot="1" x14ac:dyDescent="0.25">
      <c r="A5" s="10"/>
      <c r="B5" s="918"/>
      <c r="C5" s="3123"/>
      <c r="D5" s="3123"/>
      <c r="E5" s="3123"/>
      <c r="F5" s="3123"/>
      <c r="G5" s="3123"/>
      <c r="H5" s="3123"/>
      <c r="I5" s="2378"/>
      <c r="J5" s="2602" t="s">
        <v>1332</v>
      </c>
      <c r="K5" s="3159" t="str">
        <f>PDs!P5&amp;IF(PDs!P7="",""," "&amp;PDs!S5&amp;"/ "&amp;PDs!P7&amp;" "&amp;PDs!S7&amp;IF(PDs!P9="","","/ "&amp;PDs!P9&amp;" "&amp;PDs!S9&amp;IF(PDs!P11="","","/ "&amp;PDs!P11&amp;" "&amp;PDs!S11&amp;IF(PDs!P13="","","/ "&amp;PDs!P13&amp;" "&amp;PDs!S13))))</f>
        <v>Novel</v>
      </c>
      <c r="L5" s="3159"/>
      <c r="M5" s="3159"/>
      <c r="N5" s="3159"/>
      <c r="O5" s="3159"/>
      <c r="P5" s="3159"/>
      <c r="Q5" s="3160"/>
      <c r="R5" s="708"/>
      <c r="S5" s="1183"/>
      <c r="T5" s="1184"/>
      <c r="U5" s="1205"/>
      <c r="V5" s="3023"/>
      <c r="W5" s="3023"/>
      <c r="X5" s="3023"/>
      <c r="Y5" s="3023"/>
      <c r="Z5" s="3023"/>
      <c r="AA5" s="3023"/>
      <c r="AB5" s="3158" t="s">
        <v>1332</v>
      </c>
      <c r="AC5" s="3158"/>
      <c r="AD5" s="2838" t="str">
        <f>PDs!$J$8</f>
        <v>Novel</v>
      </c>
      <c r="AE5" s="2838"/>
      <c r="AF5" s="2838"/>
      <c r="AG5" s="2838"/>
      <c r="AH5" s="2605" t="s">
        <v>1333</v>
      </c>
      <c r="AI5" s="2593" t="str">
        <f>$O$6</f>
        <v>1</v>
      </c>
      <c r="AJ5" s="12"/>
      <c r="AK5" s="1607"/>
      <c r="AL5" s="716"/>
      <c r="AM5" s="2760"/>
      <c r="AN5" s="2759"/>
      <c r="AO5" s="2759"/>
      <c r="AP5" s="2759"/>
      <c r="AQ5" s="2759"/>
      <c r="AR5" s="1986"/>
      <c r="AS5" s="1986"/>
      <c r="AT5" s="1986"/>
    </row>
    <row r="6" spans="1:46" ht="12" customHeight="1" thickBot="1" x14ac:dyDescent="0.25">
      <c r="A6" s="10"/>
      <c r="B6" s="918"/>
      <c r="C6" s="3123"/>
      <c r="D6" s="3123"/>
      <c r="E6" s="3123"/>
      <c r="F6" s="3123"/>
      <c r="G6" s="3123"/>
      <c r="H6" s="3123"/>
      <c r="I6" s="24"/>
      <c r="J6" s="2602" t="s">
        <v>1369</v>
      </c>
      <c r="K6" s="2102">
        <f>MIN(IF(Raza="Criatura",45,IF(OR(Raza="Jayán",AND(Raza="Turak",COUNTIF(Cercanía_Dragón,"Descomunales"))),24,22)),AS21)</f>
        <v>10</v>
      </c>
      <c r="L6" s="2838" t="str">
        <f>IF(Raza="Criatura",VLOOKUP($K$6,Tablas!W47:X54,2),IF(AND(Raza="Jayán",Tamaño&gt;22),"Grande","Medio"))</f>
        <v>Medio</v>
      </c>
      <c r="M6" s="2838"/>
      <c r="N6" s="2603" t="s">
        <v>1333</v>
      </c>
      <c r="O6" s="2593" t="str">
        <f>PDs!R15&amp;IF(Principal!AA27=0,""," + "&amp;Principal!AA27)</f>
        <v>1</v>
      </c>
      <c r="P6" s="1076"/>
      <c r="Q6" s="30"/>
      <c r="R6" s="708"/>
      <c r="S6" s="1183"/>
      <c r="T6" s="1184"/>
      <c r="U6" s="1205"/>
      <c r="V6" s="3023"/>
      <c r="W6" s="3023"/>
      <c r="X6" s="3023"/>
      <c r="Y6" s="3023"/>
      <c r="Z6" s="3023"/>
      <c r="AA6" s="3023"/>
      <c r="AB6" s="10"/>
      <c r="AC6" s="3018" t="s">
        <v>1370</v>
      </c>
      <c r="AD6" s="3018"/>
      <c r="AE6" s="3018"/>
      <c r="AF6" s="3018"/>
      <c r="AG6" s="3018"/>
      <c r="AH6" s="3018"/>
      <c r="AI6" s="3018"/>
      <c r="AJ6" s="12"/>
      <c r="AK6" s="1607"/>
      <c r="AL6" s="716"/>
      <c r="AM6" s="2755"/>
      <c r="AN6" s="2759"/>
      <c r="AO6" s="2759"/>
      <c r="AP6" s="2761"/>
      <c r="AQ6" s="2761"/>
      <c r="AR6" s="1986"/>
      <c r="AS6" s="1986"/>
      <c r="AT6" s="1986"/>
    </row>
    <row r="7" spans="1:46" ht="12" customHeight="1" thickBot="1" x14ac:dyDescent="0.25">
      <c r="A7" s="10"/>
      <c r="B7" s="918"/>
      <c r="C7" s="3123"/>
      <c r="D7" s="3123"/>
      <c r="E7" s="3123"/>
      <c r="F7" s="3123"/>
      <c r="G7" s="3123"/>
      <c r="H7" s="3123"/>
      <c r="I7" s="24"/>
      <c r="J7" s="2601" t="s">
        <v>1371</v>
      </c>
      <c r="K7" s="2838" t="str">
        <f>TipoDeCriatura&amp;IF(AND(TipoDeCriatura="Natural",NOT(Raza=0)),", "&amp;Raza&amp;" ","")&amp;IF(Nephilim="",""," ("&amp;Nephilim&amp;")")&amp;" "&amp;Principal!AB13</f>
        <v xml:space="preserve">Entre mundos </v>
      </c>
      <c r="L7" s="2838"/>
      <c r="M7" s="2838"/>
      <c r="N7" s="2838"/>
      <c r="O7" s="2838"/>
      <c r="P7" s="2838"/>
      <c r="Q7" s="30"/>
      <c r="R7" s="708"/>
      <c r="S7" s="1183"/>
      <c r="T7" s="1184"/>
      <c r="U7" s="1205"/>
      <c r="V7" s="3023"/>
      <c r="W7" s="3023"/>
      <c r="X7" s="3023"/>
      <c r="Y7" s="3023"/>
      <c r="Z7" s="3023"/>
      <c r="AA7" s="3023"/>
      <c r="AB7" s="10"/>
      <c r="AC7" s="3018"/>
      <c r="AD7" s="3018"/>
      <c r="AE7" s="3018"/>
      <c r="AF7" s="3018"/>
      <c r="AG7" s="3018"/>
      <c r="AH7" s="3018"/>
      <c r="AI7" s="3018"/>
      <c r="AJ7" s="12"/>
      <c r="AK7" s="1607"/>
      <c r="AL7" s="716"/>
      <c r="AM7" s="2755"/>
      <c r="AN7" s="2759"/>
      <c r="AO7" s="2759"/>
      <c r="AP7" s="2759"/>
      <c r="AQ7" s="2759"/>
      <c r="AR7" s="1986"/>
      <c r="AS7" s="1986"/>
      <c r="AT7" s="1986"/>
    </row>
    <row r="8" spans="1:46" ht="12" customHeight="1" thickBot="1" x14ac:dyDescent="0.25">
      <c r="A8" s="10"/>
      <c r="B8" s="918"/>
      <c r="C8" s="3123"/>
      <c r="D8" s="3123"/>
      <c r="E8" s="3123"/>
      <c r="F8" s="3123"/>
      <c r="G8" s="3123"/>
      <c r="H8" s="3123"/>
      <c r="I8" s="33"/>
      <c r="J8" s="33"/>
      <c r="K8" s="700"/>
      <c r="L8" s="33"/>
      <c r="M8" s="33"/>
      <c r="N8" s="33"/>
      <c r="O8" s="33"/>
      <c r="P8" s="33"/>
      <c r="Q8" s="34"/>
      <c r="R8" s="708"/>
      <c r="S8" s="1183"/>
      <c r="T8" s="1184"/>
      <c r="U8" s="1205"/>
      <c r="V8" s="3023"/>
      <c r="W8" s="3023"/>
      <c r="X8" s="3023"/>
      <c r="Y8" s="3023"/>
      <c r="Z8" s="3023"/>
      <c r="AA8" s="3023"/>
      <c r="AB8" s="13"/>
      <c r="AC8" s="35"/>
      <c r="AD8" s="35"/>
      <c r="AE8" s="35"/>
      <c r="AF8" s="35"/>
      <c r="AG8" s="35"/>
      <c r="AH8" s="35"/>
      <c r="AI8" s="35"/>
      <c r="AJ8" s="36"/>
      <c r="AK8" s="1607"/>
      <c r="AL8" s="716"/>
      <c r="AM8" s="2755"/>
      <c r="AN8" s="2759"/>
      <c r="AO8" s="2760"/>
      <c r="AP8" s="2759"/>
      <c r="AQ8" s="2762" t="s">
        <v>8735</v>
      </c>
      <c r="AR8" s="2759"/>
      <c r="AS8" s="2759"/>
      <c r="AT8" s="1986"/>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2755"/>
      <c r="AN9" s="2763"/>
      <c r="AO9" s="2759" t="s">
        <v>1373</v>
      </c>
      <c r="AP9" s="2759"/>
      <c r="AQ9" s="2762" t="s">
        <v>7451</v>
      </c>
      <c r="AR9" s="2759" t="s">
        <v>7457</v>
      </c>
      <c r="AS9" s="2759" t="s">
        <v>7458</v>
      </c>
      <c r="AT9" s="1986"/>
    </row>
    <row r="10" spans="1:46" ht="12" customHeight="1" thickBot="1" x14ac:dyDescent="0.25">
      <c r="A10" s="10"/>
      <c r="B10" s="1021"/>
      <c r="C10" s="3135" t="s">
        <v>1372</v>
      </c>
      <c r="D10" s="1788" t="str">
        <f>SUM(E11:E18)+COUNTIF(E11:E18,10)&amp;" pts"</f>
        <v>52 pts</v>
      </c>
      <c r="E10" s="1789" t="s">
        <v>1373</v>
      </c>
      <c r="F10" s="1790" t="s">
        <v>1374</v>
      </c>
      <c r="G10" s="1791" t="s">
        <v>1357</v>
      </c>
      <c r="H10" s="1792" t="s">
        <v>1375</v>
      </c>
      <c r="J10" s="3062" t="s">
        <v>1376</v>
      </c>
      <c r="K10" s="2993"/>
      <c r="L10" s="2994"/>
      <c r="N10" s="3156" t="s">
        <v>1377</v>
      </c>
      <c r="O10" s="3156"/>
      <c r="P10" s="3156"/>
      <c r="Q10" s="3156"/>
      <c r="R10" s="1023"/>
      <c r="S10" s="1183"/>
      <c r="T10" s="1184"/>
      <c r="U10" s="1206"/>
      <c r="V10" s="2944" t="s">
        <v>1378</v>
      </c>
      <c r="W10" s="2945"/>
      <c r="X10" s="2945"/>
      <c r="Y10" s="2945"/>
      <c r="Z10" s="2945"/>
      <c r="AA10" s="2945"/>
      <c r="AB10" s="2946"/>
      <c r="AD10" s="2992" t="s">
        <v>1379</v>
      </c>
      <c r="AE10" s="2993"/>
      <c r="AF10" s="2993"/>
      <c r="AG10" s="2993"/>
      <c r="AH10" s="3154" t="s">
        <v>1380</v>
      </c>
      <c r="AI10" s="3155"/>
      <c r="AJ10" s="1817">
        <f>SUM(AJ12:AJ23)+IF(OR(TipoDeCriatura="Ánima",TipoDeCriatura="Ánima, Elemental",TipoDeCriatura="No muerto, Espectro"),100,0)+AJ27</f>
        <v>0</v>
      </c>
      <c r="AK10" s="1608"/>
      <c r="AL10" s="716"/>
      <c r="AM10" s="2755"/>
      <c r="AN10" s="2759"/>
      <c r="AO10" s="2762" t="s">
        <v>7453</v>
      </c>
      <c r="AP10" s="2759"/>
      <c r="AQ10" s="2762" t="s">
        <v>7455</v>
      </c>
      <c r="AR10" s="2762" t="s">
        <v>7456</v>
      </c>
      <c r="AS10" s="2762" t="s">
        <v>7452</v>
      </c>
      <c r="AT10" s="2759" t="s">
        <v>7468</v>
      </c>
    </row>
    <row r="11" spans="1:46" ht="12" customHeight="1" thickBot="1" x14ac:dyDescent="0.25">
      <c r="A11" s="10"/>
      <c r="B11" s="1021"/>
      <c r="C11" s="3136"/>
      <c r="D11" s="1775" t="s">
        <v>1381</v>
      </c>
      <c r="E11" s="1774">
        <v>10</v>
      </c>
      <c r="F11" s="1965"/>
      <c r="G11" s="41">
        <f>MIN(20,MAX(0,AS11+F11))</f>
        <v>10</v>
      </c>
      <c r="H11" s="609">
        <f>IF(G11&lt;1,0,VLOOKUP(G11,Tablas!$C$14:$D$33,2))</f>
        <v>15</v>
      </c>
      <c r="J11" s="3100">
        <f>MIN(20,IF(COUNTIF(AB42:AE69,"Degeneración")&gt;0,0,AS19+L13))</f>
        <v>1</v>
      </c>
      <c r="K11" s="3163" t="str">
        <f>INDEX(Tabla_Regen,MATCH(J11,INDEX(Tabla_Regen,,2),0),3)</f>
        <v>10 PV / día</v>
      </c>
      <c r="L11" s="3164"/>
      <c r="N11" s="3165">
        <f>PDs!Z185</f>
        <v>75</v>
      </c>
      <c r="O11" s="3165"/>
      <c r="P11" s="3166"/>
      <c r="Q11" s="3166"/>
      <c r="R11" s="1023"/>
      <c r="S11" s="1183"/>
      <c r="T11" s="1184"/>
      <c r="U11" s="1206"/>
      <c r="V11" s="3176" t="s">
        <v>1382</v>
      </c>
      <c r="W11" s="3177"/>
      <c r="X11" s="3178"/>
      <c r="Y11" s="3385" t="s">
        <v>1985</v>
      </c>
      <c r="Z11" s="3385"/>
      <c r="AA11" s="3385"/>
      <c r="AB11" s="3386"/>
      <c r="AD11" s="3394" t="s">
        <v>9587</v>
      </c>
      <c r="AE11" s="3395"/>
      <c r="AF11" s="3395"/>
      <c r="AG11" s="3395" t="s">
        <v>7588</v>
      </c>
      <c r="AH11" s="3396"/>
      <c r="AI11" s="1785" t="s">
        <v>1384</v>
      </c>
      <c r="AJ11" s="1818" t="s">
        <v>1385</v>
      </c>
      <c r="AK11" s="1608"/>
      <c r="AL11" s="716"/>
      <c r="AM11" s="2755" t="s">
        <v>8566</v>
      </c>
      <c r="AN11" s="2759" t="s">
        <v>1381</v>
      </c>
      <c r="AO11" s="2764">
        <f t="shared" ref="AO11:AO18" si="0">E11+HLOOKUP(D11,Bonos_Raza_Base,2,FALSE)</f>
        <v>10</v>
      </c>
      <c r="AP11" s="2759"/>
      <c r="AQ11" s="2764">
        <f>AO11+Tablas!G242-2*Tablas!G492+Tablas!J1219</f>
        <v>10</v>
      </c>
      <c r="AR11" s="2764">
        <f>Bono_IncremTotal+IF(ISNUMBER(FIND(D11,PodPsi_IncremHab)),'Tablas psiquica'!$AH$57,FALSE)</f>
        <v>0</v>
      </c>
      <c r="AS11" s="2764">
        <f>IF(AQ11&lt;10,MIN(10,AR11+AQ11)+TRUNC(MAX(0,(AR11+AQ11-10)/2,0)),AQ11+TRUNC(AR11/2,0))</f>
        <v>10</v>
      </c>
      <c r="AT11" s="2764">
        <f>IF(AQ11&lt;10,MIN(10,(AR11-IF(ISNUMBER(FIND(D11,PodPsi_IncremHab)),'Tablas psiquica'!$AH$57,FALSE))+AQ11)+TRUNC(MAX(0,((AR11-IF(ISNUMBER(FIND(D11,PodPsi_IncremHab)),'Tablas psiquica'!$AH$57,FALSE))+AQ11-10)/2,0)),AQ11+TRUNC((AR11-IF(ISNUMBER(FIND(D11,PodPsi_IncremHab)),'Tablas psiquica'!$AH$57,FALSE))/2,0))</f>
        <v>10</v>
      </c>
    </row>
    <row r="12" spans="1:46" ht="12" customHeight="1" thickBot="1" x14ac:dyDescent="0.25">
      <c r="A12" s="10"/>
      <c r="B12" s="1021"/>
      <c r="C12" s="3136"/>
      <c r="D12" s="1776" t="str">
        <f>IF(OR($Y$11="Ánima",$Y$11="Ánima, Elemental",$Y$11="No muerto, Espectro"),"-","CON")</f>
        <v>CON</v>
      </c>
      <c r="E12" s="1773">
        <v>5</v>
      </c>
      <c r="F12" s="1966"/>
      <c r="G12" s="41">
        <f>MIN(20,MAX(0,IF(OR(TipoDeCriatura="Ánima",TipoDeCriatura="Ánima, Elemental",TipoDeCriatura="No muerto, Espectro"),POD,AS12+F12)))</f>
        <v>5</v>
      </c>
      <c r="H12" s="609">
        <f>IF(G12&lt;1,0,VLOOKUP(G12,Tablas!$C$14:$D$33,2))</f>
        <v>0</v>
      </c>
      <c r="I12" s="279"/>
      <c r="J12" s="3100"/>
      <c r="K12" s="3161" t="str">
        <f>IF(Tablas!$S$1417=0,INDEX(Tabla_Regen,MATCH(J11,INDEX(Tabla_Regen,,2),0),5),Tablas!$S$1417&amp;" PV al día")</f>
        <v>-5 al día</v>
      </c>
      <c r="L12" s="3162"/>
      <c r="N12" s="3165"/>
      <c r="O12" s="3165"/>
      <c r="P12" s="3166"/>
      <c r="Q12" s="3166"/>
      <c r="R12" s="1023"/>
      <c r="S12" s="1183"/>
      <c r="T12" s="1184"/>
      <c r="U12" s="1206"/>
      <c r="V12" s="3176"/>
      <c r="W12" s="3177"/>
      <c r="X12" s="3178"/>
      <c r="Y12" s="3385"/>
      <c r="Z12" s="3385"/>
      <c r="AA12" s="3385"/>
      <c r="AB12" s="3386"/>
      <c r="AD12" s="3397"/>
      <c r="AE12" s="3398"/>
      <c r="AF12" s="3398"/>
      <c r="AG12" s="3261"/>
      <c r="AH12" s="3399"/>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2755" t="str">
        <f>AD12&amp;IF(AG12="",""," "&amp;AG12)</f>
        <v/>
      </c>
      <c r="AN12" s="2759" t="str">
        <f>IF(OR($Y$11="Ánima",$Y$11="Ánima, Elemental",$Y$11="No muerto, Espectro"),"-","CON")</f>
        <v>CON</v>
      </c>
      <c r="AO12" s="2764">
        <f t="shared" si="0"/>
        <v>5</v>
      </c>
      <c r="AP12" s="2759"/>
      <c r="AQ12" s="2764">
        <f>AO12+Tablas!G243-2*Tablas!G493+Tablas!J1220</f>
        <v>5</v>
      </c>
      <c r="AR12" s="2764">
        <f>Bono_IncremTotal</f>
        <v>0</v>
      </c>
      <c r="AS12" s="2764">
        <f>IF(AQ12&lt;10,MIN(10,AR12+AQ12)+TRUNC(MAX(0,(AR12+AQ12-10)/2,0)),AQ12+TRUNC(AR12/2,0))</f>
        <v>5</v>
      </c>
      <c r="AT12" s="2764"/>
    </row>
    <row r="13" spans="1:46" ht="12" customHeight="1" thickBot="1" x14ac:dyDescent="0.25">
      <c r="A13" s="10"/>
      <c r="B13" s="1021"/>
      <c r="C13" s="3136"/>
      <c r="D13" s="1776" t="s">
        <v>1386</v>
      </c>
      <c r="E13" s="1773">
        <v>5</v>
      </c>
      <c r="F13" s="1966"/>
      <c r="G13" s="41">
        <f>MIN(20,MAX(0,AS13+F13))</f>
        <v>5</v>
      </c>
      <c r="H13" s="609">
        <f>IF(G13&lt;1,0,VLOOKUP(G13,Tablas!$C$14:$D$33,2))</f>
        <v>0</v>
      </c>
      <c r="I13" s="279"/>
      <c r="J13" s="3167" t="s">
        <v>1387</v>
      </c>
      <c r="K13" s="3168"/>
      <c r="L13" s="2630"/>
      <c r="N13" s="3165"/>
      <c r="O13" s="3165"/>
      <c r="P13" s="3166"/>
      <c r="Q13" s="3166"/>
      <c r="R13" s="1023"/>
      <c r="S13" s="1183"/>
      <c r="T13" s="1184"/>
      <c r="U13" s="1206"/>
      <c r="V13" s="3169" t="s">
        <v>1388</v>
      </c>
      <c r="W13" s="3170"/>
      <c r="X13" s="3170"/>
      <c r="Y13" s="1781" t="s">
        <v>1389</v>
      </c>
      <c r="Z13" s="1782"/>
      <c r="AA13" s="1783" t="s">
        <v>1390</v>
      </c>
      <c r="AB13" s="1813"/>
      <c r="AD13" s="3185"/>
      <c r="AE13" s="3186"/>
      <c r="AF13" s="3186"/>
      <c r="AG13" s="3216"/>
      <c r="AH13" s="3217"/>
      <c r="AI13" s="1159" t="str">
        <f t="shared" si="1"/>
        <v/>
      </c>
      <c r="AJ13" s="577" t="str">
        <f t="shared" si="2"/>
        <v/>
      </c>
      <c r="AK13" s="1607" t="str">
        <f t="shared" si="3"/>
        <v/>
      </c>
      <c r="AL13" s="716"/>
      <c r="AM13" s="2755" t="str">
        <f t="shared" ref="AM13:AM23" si="4">AD13&amp;IF(AG13="",""," "&amp;AG13)</f>
        <v/>
      </c>
      <c r="AN13" s="2759" t="s">
        <v>1386</v>
      </c>
      <c r="AO13" s="2764">
        <f t="shared" si="0"/>
        <v>5</v>
      </c>
      <c r="AP13" s="2759"/>
      <c r="AQ13" s="2764">
        <f>AO13+Tablas!G244-2*Tablas!G494+Tablas!J1221+Tablas!K1756+Tablas!$K$1836</f>
        <v>5</v>
      </c>
      <c r="AR13" s="2764">
        <f>Bono_IncremTotal+IF(ISNUMBER(FIND(D13,PodPsi_IncremHab)),'Tablas psiquica'!$AH$57,FALSE)</f>
        <v>0</v>
      </c>
      <c r="AS13" s="2764">
        <f t="shared" ref="AS13" si="5">IF(AQ13&lt;10,MIN(10,AR13+AQ13)+TRUNC(MAX(0,(AR13+AQ13-10)/2,0)),AQ13+TRUNC(AR13/2,0))</f>
        <v>5</v>
      </c>
      <c r="AT13" s="2764"/>
    </row>
    <row r="14" spans="1:46" ht="12" customHeight="1" thickBot="1" x14ac:dyDescent="0.25">
      <c r="A14" s="10"/>
      <c r="B14" s="1021"/>
      <c r="C14" s="3136"/>
      <c r="D14" s="1776" t="s">
        <v>1391</v>
      </c>
      <c r="E14" s="1773">
        <v>5</v>
      </c>
      <c r="F14" s="1966"/>
      <c r="G14" s="41">
        <f t="shared" ref="G14:G18" si="6">MIN(20,MAX(0,AS14+F14))</f>
        <v>5</v>
      </c>
      <c r="H14" s="609">
        <f>IF(G14&lt;1,0,VLOOKUP(G14,Tablas!$C$14:$D$33,2))</f>
        <v>0</v>
      </c>
      <c r="I14" s="279"/>
      <c r="J14" s="279"/>
      <c r="N14" s="44"/>
      <c r="Q14" s="45"/>
      <c r="R14" s="1024"/>
      <c r="S14" s="1183"/>
      <c r="T14" s="1184"/>
      <c r="U14" s="1206"/>
      <c r="V14" s="3171" t="s">
        <v>1392</v>
      </c>
      <c r="W14" s="3172"/>
      <c r="X14" s="3172"/>
      <c r="Y14" s="1784" t="s">
        <v>1389</v>
      </c>
      <c r="Z14" s="1814"/>
      <c r="AA14" s="1815" t="s">
        <v>1393</v>
      </c>
      <c r="AB14" s="1816" t="str">
        <f>IF(TipoDeCriatura="Natural",MAX(Principal!AB13-HLOOKUP("Natura",Bonos_Raza_Base,2,FALSE),0),"-")</f>
        <v>-</v>
      </c>
      <c r="AD14" s="3185"/>
      <c r="AE14" s="3186"/>
      <c r="AF14" s="3186"/>
      <c r="AG14" s="3216"/>
      <c r="AH14" s="3217"/>
      <c r="AI14" s="1159" t="str">
        <f t="shared" si="1"/>
        <v/>
      </c>
      <c r="AJ14" s="577" t="str">
        <f t="shared" si="2"/>
        <v/>
      </c>
      <c r="AK14" s="1607" t="str">
        <f t="shared" si="3"/>
        <v/>
      </c>
      <c r="AL14" s="716"/>
      <c r="AM14" s="2755" t="str">
        <f t="shared" si="4"/>
        <v/>
      </c>
      <c r="AN14" s="2759" t="s">
        <v>1391</v>
      </c>
      <c r="AO14" s="2764">
        <f>E14+HLOOKUP(D14,Bonos_Raza_Base,2,FALSE)</f>
        <v>5</v>
      </c>
      <c r="AP14" s="2759"/>
      <c r="AQ14" s="2764">
        <f>AO14+Tablas!G245-2*Tablas!G495+Tablas!J1222+Tablas!$K$1836</f>
        <v>5</v>
      </c>
      <c r="AR14" s="2765">
        <f>Bono_IncremTotal+'Tablas psiquica'!$AH$54</f>
        <v>0</v>
      </c>
      <c r="AS14" s="2764">
        <f>IF(AQ14&lt;10,MIN(10,AR14+AQ14)+TRUNC(MAX(0,(AR14+AQ14-10)/2,0)),AQ14+TRUNC(AR14/2,0))</f>
        <v>5</v>
      </c>
      <c r="AT14" s="2764"/>
    </row>
    <row r="15" spans="1:46" ht="12" customHeight="1" thickBot="1" x14ac:dyDescent="0.25">
      <c r="A15" s="10"/>
      <c r="B15" s="1021"/>
      <c r="C15" s="3136"/>
      <c r="D15" s="1776" t="s">
        <v>1394</v>
      </c>
      <c r="E15" s="1773">
        <v>5</v>
      </c>
      <c r="F15" s="1966"/>
      <c r="G15" s="41">
        <f t="shared" si="6"/>
        <v>5</v>
      </c>
      <c r="H15" s="609">
        <f>IF(G15&lt;1,0,VLOOKUP(G15,Tablas!$C$14:$D$33,2))</f>
        <v>0</v>
      </c>
      <c r="I15" s="81"/>
      <c r="J15" s="3173" t="s">
        <v>1395</v>
      </c>
      <c r="K15" s="3174"/>
      <c r="L15" s="3175"/>
      <c r="N15" s="3156" t="s">
        <v>1396</v>
      </c>
      <c r="O15" s="3156"/>
      <c r="P15" s="3156"/>
      <c r="Q15" s="3156"/>
      <c r="R15" s="1023"/>
      <c r="S15" s="1183"/>
      <c r="T15" s="1184"/>
      <c r="U15" s="1206"/>
      <c r="V15" s="3179" t="str">
        <f>IF(TipoDeCriatura="Natural",IF(AB14=0,"Sin tirada abierta",IF(AB14&gt;14,"Tirada abierta adicional","")),"")&amp;IF(TipoDeCriatura="Natural",IF(AB14&gt;19,", Núcleo trascendental",""),"")</f>
        <v/>
      </c>
      <c r="W15" s="3180"/>
      <c r="X15" s="3180"/>
      <c r="Y15" s="3180"/>
      <c r="Z15" s="3180"/>
      <c r="AA15" s="3180"/>
      <c r="AB15" s="3181"/>
      <c r="AC15" s="15"/>
      <c r="AD15" s="3185"/>
      <c r="AE15" s="3186"/>
      <c r="AF15" s="3186"/>
      <c r="AG15" s="3216"/>
      <c r="AH15" s="3217"/>
      <c r="AI15" s="1159" t="str">
        <f t="shared" si="1"/>
        <v/>
      </c>
      <c r="AJ15" s="577" t="str">
        <f t="shared" si="2"/>
        <v/>
      </c>
      <c r="AK15" s="1607" t="str">
        <f t="shared" si="3"/>
        <v/>
      </c>
      <c r="AL15" s="716"/>
      <c r="AM15" s="2755" t="str">
        <f t="shared" si="4"/>
        <v/>
      </c>
      <c r="AN15" s="2759" t="s">
        <v>1394</v>
      </c>
      <c r="AO15" s="2764">
        <f t="shared" si="0"/>
        <v>5</v>
      </c>
      <c r="AP15" s="2759"/>
      <c r="AQ15" s="2764">
        <f>AO15+Tablas!G246-2*Tablas!G496+Tablas!J1223+Tablas!$K$1769+Personalización!$N$79</f>
        <v>5</v>
      </c>
      <c r="AR15" s="2764"/>
      <c r="AS15" s="2764">
        <f>IF(AQ15&lt;10,MIN(10,AR15+AQ15)+TRUNC(MAX(0,(AR15+AQ15-10)/2,0)),AQ15+TRUNC(AR15/2,0))</f>
        <v>5</v>
      </c>
      <c r="AT15" s="2764"/>
    </row>
    <row r="16" spans="1:46" ht="12" customHeight="1" thickBot="1" x14ac:dyDescent="0.25">
      <c r="A16" s="10"/>
      <c r="B16" s="1021"/>
      <c r="C16" s="3136"/>
      <c r="D16" s="1776" t="s">
        <v>1397</v>
      </c>
      <c r="E16" s="1773">
        <v>5</v>
      </c>
      <c r="F16" s="1966"/>
      <c r="G16" s="41">
        <f t="shared" si="6"/>
        <v>5</v>
      </c>
      <c r="H16" s="609">
        <f>IF(G16&lt;1,0,VLOOKUP(G16,Tablas!$C$14:$D$33,2))</f>
        <v>0</v>
      </c>
      <c r="I16" s="81"/>
      <c r="J16" s="3100">
        <f>MIN(20,IF(J18="",VLOOKUP("Suelo",Tablas!S59:U64,3,FALSE),VLOOKUP(J18,Tablas!S59:U64,3,FALSE)))</f>
        <v>10</v>
      </c>
      <c r="K16" s="1786" t="s">
        <v>1398</v>
      </c>
      <c r="L16" s="1796">
        <f>Combate!E16+IF(General!AL31&gt;VALUE(LEFT(General!AH32,LEN(General!AH32)-3)),2,0)+IF(General!AL31&gt;VALUE(LEFT(General!AK32,LEN(General!AK32)-3)),3,0)-TRUNC((IF(Combate!AD14&lt;0,Combate!AD14,0)+IF(Combate!AF14&lt;0,Combate!AF14,0))/20)</f>
        <v>0</v>
      </c>
      <c r="N16" s="3101">
        <f>IF(OR(Tablas!H1274&gt;0,Tablas!H1281&gt;0,Y11="Entre mundos, Creación",Y11="Ánima",Y11="Ánima, Elemental",Y11="No muerto",Y11="No muerto, Creación",Y11="No muerto, Espectro",Tablas!J1852=1),0,AS22)+O18</f>
        <v>5</v>
      </c>
      <c r="O16" s="3101"/>
      <c r="P16" s="3166"/>
      <c r="Q16" s="3166"/>
      <c r="R16" s="1023"/>
      <c r="S16" s="1183"/>
      <c r="T16" s="1184"/>
      <c r="U16" s="1206"/>
      <c r="V16" s="322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22"/>
      <c r="X16" s="3222"/>
      <c r="Y16" s="3222"/>
      <c r="Z16" s="3222"/>
      <c r="AA16" s="3222"/>
      <c r="AB16" s="3223"/>
      <c r="AD16" s="3185"/>
      <c r="AE16" s="3186"/>
      <c r="AF16" s="3186"/>
      <c r="AG16" s="3216"/>
      <c r="AH16" s="3217"/>
      <c r="AI16" s="1159" t="str">
        <f t="shared" si="1"/>
        <v/>
      </c>
      <c r="AJ16" s="577" t="str">
        <f t="shared" si="2"/>
        <v/>
      </c>
      <c r="AK16" s="1607" t="str">
        <f t="shared" si="3"/>
        <v/>
      </c>
      <c r="AL16" s="716"/>
      <c r="AM16" s="2755" t="str">
        <f t="shared" si="4"/>
        <v/>
      </c>
      <c r="AN16" s="2759" t="s">
        <v>1397</v>
      </c>
      <c r="AO16" s="2764">
        <f t="shared" si="0"/>
        <v>5</v>
      </c>
      <c r="AP16" s="2759"/>
      <c r="AQ16" s="2764">
        <f>AO16+Tablas!G247-2*Tablas!G497+Tablas!J1224</f>
        <v>5</v>
      </c>
      <c r="AR16" s="2765">
        <f>Bono_IncremTotal+'Tablas psiquica'!$AH$59</f>
        <v>0</v>
      </c>
      <c r="AS16" s="2764">
        <f>IF(AQ16&lt;10,MIN(10,AR16+AQ16)+TRUNC(MAX(0,(AR16+AQ16-10)/2,0)),AQ16+TRUNC(AR16/2,0))</f>
        <v>5</v>
      </c>
      <c r="AT16" s="2764"/>
    </row>
    <row r="17" spans="1:46" ht="12" customHeight="1" thickBot="1" x14ac:dyDescent="0.25">
      <c r="A17" s="10"/>
      <c r="B17" s="963"/>
      <c r="C17" s="3136"/>
      <c r="D17" s="1776" t="s">
        <v>1399</v>
      </c>
      <c r="E17" s="1773">
        <v>10</v>
      </c>
      <c r="F17" s="1966"/>
      <c r="G17" s="41">
        <f t="shared" si="6"/>
        <v>10</v>
      </c>
      <c r="H17" s="609">
        <f>IF(G17&lt;1,0,VLOOKUP(G17,Tablas!$C$14:$D$33,2))</f>
        <v>15</v>
      </c>
      <c r="I17" s="81"/>
      <c r="J17" s="3100"/>
      <c r="K17" s="3140" t="str">
        <f>IF(J16&lt;1,"",VLOOKUP(J16,Tabla_TipoMovimiento,2))</f>
        <v>35 m / asalto</v>
      </c>
      <c r="L17" s="3141"/>
      <c r="M17" s="50"/>
      <c r="N17" s="3101"/>
      <c r="O17" s="3101"/>
      <c r="P17" s="3166"/>
      <c r="Q17" s="3166"/>
      <c r="R17" s="1023"/>
      <c r="S17" s="1183"/>
      <c r="T17" s="1184"/>
      <c r="U17" s="1206"/>
      <c r="V17" s="3221"/>
      <c r="W17" s="3222"/>
      <c r="X17" s="3222"/>
      <c r="Y17" s="3222"/>
      <c r="Z17" s="3222"/>
      <c r="AA17" s="3222"/>
      <c r="AB17" s="3223"/>
      <c r="AD17" s="3185"/>
      <c r="AE17" s="3186"/>
      <c r="AF17" s="3186"/>
      <c r="AG17" s="3216"/>
      <c r="AH17" s="3217"/>
      <c r="AI17" s="1159" t="str">
        <f t="shared" si="1"/>
        <v/>
      </c>
      <c r="AJ17" s="577" t="str">
        <f t="shared" si="2"/>
        <v/>
      </c>
      <c r="AK17" s="1607" t="str">
        <f t="shared" si="3"/>
        <v/>
      </c>
      <c r="AL17" s="716"/>
      <c r="AM17" s="2755" t="str">
        <f t="shared" si="4"/>
        <v/>
      </c>
      <c r="AN17" s="2759" t="s">
        <v>1399</v>
      </c>
      <c r="AO17" s="2764">
        <f t="shared" si="0"/>
        <v>10</v>
      </c>
      <c r="AP17" s="2759"/>
      <c r="AQ17" s="2764">
        <f>AO17+IF(OR(Sheele!F5="",Sheele!F5="No"),0,-1)+Tablas!$G$248-2*Tablas!$G$498+Tablas!$J$1225+Tablas!$K$1756+Tablas!$K$1769+Personalización!$O$79</f>
        <v>10</v>
      </c>
      <c r="AR17" s="2764"/>
      <c r="AS17" s="2764">
        <f>IF(AQ17&lt;10,MIN(10,AR17+AQ17)+TRUNC(MAX(0,(AR17+AQ17-10)/2,0)),AQ17+TRUNC(AR17/2,0))</f>
        <v>10</v>
      </c>
      <c r="AT17" s="1986"/>
    </row>
    <row r="18" spans="1:46" ht="12" customHeight="1" thickBot="1" x14ac:dyDescent="0.25">
      <c r="A18" s="10"/>
      <c r="B18" s="542"/>
      <c r="C18" s="3137"/>
      <c r="D18" s="1793" t="s">
        <v>1400</v>
      </c>
      <c r="E18" s="1794">
        <v>5</v>
      </c>
      <c r="F18" s="1967"/>
      <c r="G18" s="1795">
        <f t="shared" si="6"/>
        <v>5</v>
      </c>
      <c r="H18" s="770">
        <f>IF(G18&lt;1,0,VLOOKUP(G18,Tablas!$C$14:$D$33,2))</f>
        <v>0</v>
      </c>
      <c r="J18" s="1702"/>
      <c r="K18" s="1239" t="s">
        <v>1387</v>
      </c>
      <c r="L18" s="2630"/>
      <c r="M18" s="81"/>
      <c r="N18" s="1674" t="s">
        <v>1387</v>
      </c>
      <c r="O18" s="2631"/>
      <c r="P18" s="3166"/>
      <c r="Q18" s="3166"/>
      <c r="R18" s="1023"/>
      <c r="S18" s="1183"/>
      <c r="T18" s="1184"/>
      <c r="U18" s="1206"/>
      <c r="V18" s="3224"/>
      <c r="W18" s="3225"/>
      <c r="X18" s="3225"/>
      <c r="Y18" s="3225"/>
      <c r="Z18" s="3225"/>
      <c r="AA18" s="3225"/>
      <c r="AB18" s="3226"/>
      <c r="AD18" s="3185"/>
      <c r="AE18" s="3186"/>
      <c r="AF18" s="3186"/>
      <c r="AG18" s="3216"/>
      <c r="AH18" s="3217"/>
      <c r="AI18" s="1159" t="str">
        <f t="shared" si="1"/>
        <v/>
      </c>
      <c r="AJ18" s="577" t="str">
        <f t="shared" si="2"/>
        <v/>
      </c>
      <c r="AK18" s="1607" t="str">
        <f t="shared" si="3"/>
        <v/>
      </c>
      <c r="AL18" s="716"/>
      <c r="AM18" s="2755" t="str">
        <f t="shared" si="4"/>
        <v/>
      </c>
      <c r="AN18" s="2759" t="s">
        <v>1400</v>
      </c>
      <c r="AO18" s="2764">
        <f t="shared" si="0"/>
        <v>5</v>
      </c>
      <c r="AP18" s="2759"/>
      <c r="AQ18" s="2764">
        <f>AO18+Tablas!G249-2*Tablas!G499+Tablas!J1226+Tablas!$K$1756+Tablas!$K$1769+Personalización!$P$79</f>
        <v>5</v>
      </c>
      <c r="AR18" s="2764"/>
      <c r="AS18" s="2764">
        <f>IF(AQ18&lt;10,MIN(10,AR18+AQ18)+TRUNC(MAX(0,(AR18+AQ18-10)/2,0)),AQ18+TRUNC(AR18/2,0))</f>
        <v>5</v>
      </c>
      <c r="AT18" s="2755"/>
    </row>
    <row r="19" spans="1:46" ht="12" customHeight="1" thickBot="1" x14ac:dyDescent="0.25">
      <c r="A19" s="10"/>
      <c r="B19" s="918"/>
      <c r="C19" s="3124"/>
      <c r="D19" s="3124"/>
      <c r="E19" s="3124"/>
      <c r="F19" s="3124"/>
      <c r="G19" s="3124"/>
      <c r="H19" s="702" t="str">
        <f>IF(Combate!AD15=0,"",TRUNC(Combate!AD15/20,0))</f>
        <v/>
      </c>
      <c r="I19" s="37"/>
      <c r="K19" s="701"/>
      <c r="M19" s="71"/>
      <c r="N19" s="574"/>
      <c r="O19" s="574"/>
      <c r="P19" s="574"/>
      <c r="Q19" s="574"/>
      <c r="R19" s="708"/>
      <c r="S19" s="1183"/>
      <c r="T19" s="1184"/>
      <c r="U19" s="1206"/>
      <c r="AD19" s="3185"/>
      <c r="AE19" s="3186"/>
      <c r="AF19" s="3186"/>
      <c r="AG19" s="3216"/>
      <c r="AH19" s="3217"/>
      <c r="AI19" s="1159" t="str">
        <f t="shared" si="1"/>
        <v/>
      </c>
      <c r="AJ19" s="577" t="str">
        <f t="shared" si="2"/>
        <v/>
      </c>
      <c r="AK19" s="1607" t="str">
        <f t="shared" si="3"/>
        <v/>
      </c>
      <c r="AL19" s="716"/>
      <c r="AM19" s="2755" t="str">
        <f t="shared" si="4"/>
        <v/>
      </c>
      <c r="AN19" s="2759" t="s">
        <v>7459</v>
      </c>
      <c r="AO19" s="2764">
        <f>IF(OR(TipoDeCriatura="Entre mundos, Creación",TipoDeCriatura="No muerto",TipoDeCriatura="No muerto, Creación"),0,IF(G12=0,0,VLOOKUP(G12,Tabla_Regen,2))+HLOOKUP("Regeneración",Bonos_Raza_Base,2,FALSE))</f>
        <v>1</v>
      </c>
      <c r="AP19" s="2759"/>
      <c r="AQ19" s="2764">
        <f>AO19+Tablas!G268*2+Tablas!G269*4+Tablas!G270*6+Tablas!P241</f>
        <v>1</v>
      </c>
      <c r="AR19" s="2765">
        <f>'Tablas psiquica'!AH61</f>
        <v>0</v>
      </c>
      <c r="AS19" s="2764">
        <f>MAX(IF(AQ19+AR19&gt;18,MAX(18,AQ19),AQ19+AR19),Tablas!S1403)</f>
        <v>1</v>
      </c>
      <c r="AT19" s="2755" t="s">
        <v>8584</v>
      </c>
    </row>
    <row r="20" spans="1:46" ht="12" customHeight="1" thickBot="1" x14ac:dyDescent="0.25">
      <c r="A20" s="10"/>
      <c r="B20" s="918"/>
      <c r="C20" s="2847" t="s">
        <v>8680</v>
      </c>
      <c r="D20" s="2849"/>
      <c r="E20" s="3148" t="str">
        <f>INDEX(Tabla_Regen,MATCH(Regeneración_final,INDEX(Tabla_Regen,,2),0),6)</f>
        <v/>
      </c>
      <c r="F20" s="3149"/>
      <c r="G20" s="3149"/>
      <c r="H20" s="3149"/>
      <c r="I20" s="3149"/>
      <c r="J20" s="3150"/>
      <c r="K20" s="701"/>
      <c r="L20" s="3062" t="s">
        <v>1403</v>
      </c>
      <c r="M20" s="3063"/>
      <c r="N20" s="3063"/>
      <c r="O20" s="3063"/>
      <c r="P20" s="3063"/>
      <c r="Q20" s="3134"/>
      <c r="R20" s="708"/>
      <c r="S20" s="1183"/>
      <c r="T20" s="1184"/>
      <c r="U20" s="1206"/>
      <c r="V20" s="3062" t="s">
        <v>1404</v>
      </c>
      <c r="W20" s="3063"/>
      <c r="X20" s="3063"/>
      <c r="Y20" s="3063"/>
      <c r="Z20" s="3063"/>
      <c r="AA20" s="3063"/>
      <c r="AB20" s="3134"/>
      <c r="AD20" s="3185"/>
      <c r="AE20" s="3186"/>
      <c r="AF20" s="3186"/>
      <c r="AG20" s="3216"/>
      <c r="AH20" s="3217"/>
      <c r="AI20" s="1159" t="str">
        <f t="shared" si="1"/>
        <v/>
      </c>
      <c r="AJ20" s="577" t="str">
        <f t="shared" si="2"/>
        <v/>
      </c>
      <c r="AK20" s="1607" t="str">
        <f t="shared" si="3"/>
        <v/>
      </c>
      <c r="AL20" s="716"/>
      <c r="AM20" s="2755" t="str">
        <f t="shared" si="4"/>
        <v/>
      </c>
      <c r="AN20" s="2755" t="s">
        <v>7460</v>
      </c>
      <c r="AO20" s="2764">
        <f>IF(MovimientodeVacío,MAX(POD,AT11),AT11)</f>
        <v>10</v>
      </c>
      <c r="AP20" s="2759"/>
      <c r="AQ20" s="2764">
        <f>AO20+Tablas!$S$1358+Tablas!$G$335*2-L16</f>
        <v>10</v>
      </c>
      <c r="AR20" s="2808">
        <f>'Tablas psiquica'!AH56</f>
        <v>0</v>
      </c>
      <c r="AS20" s="2764">
        <f>IF(AQ20&lt;10,MIN(10,AR20+AQ20)+TRUNC(MAX(0,(AR20+AQ20-10)/2,0)),AQ20+TRUNC(AR20/2,0))</f>
        <v>10</v>
      </c>
      <c r="AT20" s="2766"/>
    </row>
    <row r="21" spans="1:46" ht="12" customHeight="1" thickBot="1" x14ac:dyDescent="0.25">
      <c r="A21" s="10"/>
      <c r="B21" s="918"/>
      <c r="C21" s="3146"/>
      <c r="D21" s="3147"/>
      <c r="E21" s="3151"/>
      <c r="F21" s="3152"/>
      <c r="G21" s="3152"/>
      <c r="H21" s="3152"/>
      <c r="I21" s="3152"/>
      <c r="J21" s="3153"/>
      <c r="K21" s="701"/>
      <c r="L21" s="1098" t="s">
        <v>1407</v>
      </c>
      <c r="M21" s="3132" t="s">
        <v>1383</v>
      </c>
      <c r="N21" s="3132"/>
      <c r="O21" s="3218" t="s">
        <v>1408</v>
      </c>
      <c r="P21" s="3218"/>
      <c r="Q21" s="575" t="s">
        <v>1357</v>
      </c>
      <c r="R21" s="708"/>
      <c r="S21" s="1183"/>
      <c r="T21" s="1184"/>
      <c r="U21" s="1206"/>
      <c r="V21" s="3054" t="s">
        <v>1409</v>
      </c>
      <c r="W21" s="3219"/>
      <c r="X21" s="3219"/>
      <c r="Y21" s="3220" t="s">
        <v>1410</v>
      </c>
      <c r="Z21" s="3220"/>
      <c r="AA21" s="46" t="s">
        <v>1411</v>
      </c>
      <c r="AB21" s="752" t="s">
        <v>1385</v>
      </c>
      <c r="AD21" s="3185"/>
      <c r="AE21" s="3186"/>
      <c r="AF21" s="3186"/>
      <c r="AG21" s="3216"/>
      <c r="AH21" s="3217"/>
      <c r="AI21" s="1159" t="str">
        <f t="shared" si="1"/>
        <v/>
      </c>
      <c r="AJ21" s="577" t="str">
        <f t="shared" si="2"/>
        <v/>
      </c>
      <c r="AK21" s="1607" t="str">
        <f t="shared" si="3"/>
        <v/>
      </c>
      <c r="AL21" s="716"/>
      <c r="AM21" s="2755" t="str">
        <f t="shared" si="4"/>
        <v/>
      </c>
      <c r="AN21" s="2759" t="s">
        <v>1913</v>
      </c>
      <c r="AO21" s="2764">
        <f>MAX(1,IF(OR(TipoDeCriatura="Ánima", TipoDeCriatura="Ánima, Elemental", TipoDeCriatura="No muerto, Espectro"),E17,E12)+E14-IF(Sexo="Mujer",1,0))+HLOOKUP(AN21,Bonos_Raza_Base,2,FALSE)</f>
        <v>10</v>
      </c>
      <c r="AP21" s="2759"/>
      <c r="AQ21" s="2764">
        <f>IF(Bono_Tamaño_Criatura+Bono_Tamaño_PCs&gt;0,MIN(Bono_Tamaño_Criatura+Bono_Tamaño_PCs,5),MAX(Bono_Tamaño_Criatura+Bono_Tamaño_PCs,-5))</f>
        <v>0</v>
      </c>
      <c r="AR21" s="1986"/>
      <c r="AS21" s="2764">
        <f>AO21+AQ21</f>
        <v>10</v>
      </c>
      <c r="AT21" s="1986"/>
    </row>
    <row r="22" spans="1:46" ht="12" customHeight="1" thickBot="1" x14ac:dyDescent="0.25">
      <c r="A22" s="10"/>
      <c r="B22" s="918"/>
      <c r="K22" s="701"/>
      <c r="L22" s="3182" t="s">
        <v>1412</v>
      </c>
      <c r="M22" s="3133" t="s">
        <v>1413</v>
      </c>
      <c r="N22" s="3133"/>
      <c r="O22" s="3131">
        <f>PenNatural</f>
        <v>0</v>
      </c>
      <c r="P22" s="3131"/>
      <c r="Q22" s="576">
        <f>IF(Acrobacias_final="-","-",Acrobacias_final+O22)</f>
        <v>-15</v>
      </c>
      <c r="R22" s="708"/>
      <c r="S22" s="1183"/>
      <c r="T22" s="1184"/>
      <c r="U22" s="1206"/>
      <c r="V22" s="3187" t="s">
        <v>8951</v>
      </c>
      <c r="W22" s="3188"/>
      <c r="X22" s="3189"/>
      <c r="Y22" s="3197" t="str">
        <f>IF(AA22=0,"",Raza)</f>
        <v/>
      </c>
      <c r="Z22" s="3198"/>
      <c r="AA22" s="723">
        <f>IF(Personalización!$L$6="Sin ajuste por Raza",0,IF(Raza=0,0,VLOOKUP(Raza,Tabla_Razas,7,FALSE)))</f>
        <v>0</v>
      </c>
      <c r="AB22" s="753">
        <v>0</v>
      </c>
      <c r="AD22" s="3185"/>
      <c r="AE22" s="3186"/>
      <c r="AF22" s="3186"/>
      <c r="AG22" s="3216"/>
      <c r="AH22" s="3217"/>
      <c r="AI22" s="1159" t="str">
        <f t="shared" si="1"/>
        <v/>
      </c>
      <c r="AJ22" s="577" t="str">
        <f t="shared" si="2"/>
        <v/>
      </c>
      <c r="AK22" s="1607" t="str">
        <f t="shared" si="3"/>
        <v/>
      </c>
      <c r="AL22" s="716"/>
      <c r="AM22" s="2755" t="str">
        <f t="shared" si="4"/>
        <v/>
      </c>
      <c r="AN22" s="2759" t="s">
        <v>1396</v>
      </c>
      <c r="AO22" s="2764">
        <f>CON+HLOOKUP(AN22,Bonos_Raza_Base,2,FALSE)</f>
        <v>5</v>
      </c>
      <c r="AP22" s="2759"/>
      <c r="AQ22" s="2764">
        <f>AO22+3*Tablas!G332+6*Tablas!G333+9*Tablas!G334-Tablas!G526</f>
        <v>5</v>
      </c>
      <c r="AR22" s="2764"/>
      <c r="AS22" s="2764">
        <f>AQ22+2*Tablas!H1207</f>
        <v>5</v>
      </c>
      <c r="AT22" s="1986"/>
    </row>
    <row r="23" spans="1:46" ht="12" customHeight="1" thickBot="1" x14ac:dyDescent="0.25">
      <c r="A23" s="10"/>
      <c r="B23" s="918"/>
      <c r="C23" s="3062" t="s">
        <v>1401</v>
      </c>
      <c r="D23" s="3134"/>
      <c r="F23" s="3062" t="s">
        <v>1402</v>
      </c>
      <c r="G23" s="3063"/>
      <c r="H23" s="3063"/>
      <c r="I23" s="3063"/>
      <c r="J23" s="3134"/>
      <c r="K23" s="701"/>
      <c r="L23" s="3183"/>
      <c r="M23" s="3107" t="s">
        <v>1414</v>
      </c>
      <c r="N23" s="3107"/>
      <c r="O23" s="3112">
        <f>PenNatural</f>
        <v>0</v>
      </c>
      <c r="P23" s="3112"/>
      <c r="Q23" s="577">
        <f>IF(Atletismo_final="-","-",Atletismo_final+O23)</f>
        <v>-15</v>
      </c>
      <c r="R23" s="708"/>
      <c r="S23" s="1183"/>
      <c r="T23" s="1184"/>
      <c r="U23" s="1206"/>
      <c r="V23" s="3187" t="s">
        <v>1415</v>
      </c>
      <c r="W23" s="3188"/>
      <c r="X23" s="3189"/>
      <c r="Y23" s="3199"/>
      <c r="Z23" s="3200"/>
      <c r="AA23" s="723">
        <v>0</v>
      </c>
      <c r="AB23" s="753">
        <f>IF(Y23="PDs",VLOOKUP(Principal!$AB$13,Tablas!W27:X37,2),0)</f>
        <v>0</v>
      </c>
      <c r="AD23" s="3227"/>
      <c r="AE23" s="3228"/>
      <c r="AF23" s="3228"/>
      <c r="AG23" s="3229"/>
      <c r="AH23" s="3230"/>
      <c r="AI23" s="1819" t="str">
        <f t="shared" si="1"/>
        <v/>
      </c>
      <c r="AJ23" s="1820" t="str">
        <f t="shared" si="2"/>
        <v/>
      </c>
      <c r="AK23" s="1607" t="str">
        <f t="shared" si="3"/>
        <v/>
      </c>
      <c r="AL23" s="716"/>
      <c r="AM23" s="2755" t="str">
        <f t="shared" si="4"/>
        <v/>
      </c>
      <c r="AN23" s="2759"/>
      <c r="AO23" s="2764"/>
      <c r="AP23" s="2759"/>
      <c r="AQ23" s="2759"/>
      <c r="AR23" s="1986"/>
      <c r="AS23" s="1986"/>
      <c r="AT23" s="1986"/>
    </row>
    <row r="24" spans="1:46" ht="12" customHeight="1" thickBot="1" x14ac:dyDescent="0.25">
      <c r="A24" s="10"/>
      <c r="B24" s="918"/>
      <c r="C24" s="1797" t="s">
        <v>1373</v>
      </c>
      <c r="D24" s="1798">
        <f>IF(Raza="Criatura",VLOOKUP(Tamaño,Tabla_CreaciónSeres,3),20)+IF(OR(Nephilim="Nephilim Turak",AND(L6="Grande",OR(Raza="Turak",Raza="Jayán"))),-10,0)</f>
        <v>20</v>
      </c>
      <c r="F24" s="3125" t="s">
        <v>1405</v>
      </c>
      <c r="G24" s="3126"/>
      <c r="H24" s="3127">
        <f>MAX(HA_final,HA_SinArmas_final)</f>
        <v>0</v>
      </c>
      <c r="I24" s="3138" t="s">
        <v>1406</v>
      </c>
      <c r="J24" s="3139"/>
      <c r="K24" s="701"/>
      <c r="L24" s="3183"/>
      <c r="M24" s="3107" t="s">
        <v>1417</v>
      </c>
      <c r="N24" s="3107"/>
      <c r="O24" s="3112"/>
      <c r="P24" s="3112"/>
      <c r="Q24" s="577">
        <f>IF(Montar_final="-","-",Montar_final+O24)</f>
        <v>-15</v>
      </c>
      <c r="R24" s="708"/>
      <c r="S24" s="1183"/>
      <c r="T24" s="1184"/>
      <c r="U24" s="1205"/>
      <c r="V24" s="3187" t="s">
        <v>1418</v>
      </c>
      <c r="W24" s="3188"/>
      <c r="X24" s="3189"/>
      <c r="Y24" s="3195"/>
      <c r="Z24" s="3196"/>
      <c r="AA24" s="723">
        <f>IF(Personalización!$L$7="Sin ajuste por Legados",0,IF(Principal!Y24="No",0,IF(SUM(Tablas!P236:P261)&gt;0,1,0)))</f>
        <v>0</v>
      </c>
      <c r="AB24" s="1618">
        <f>40*Tablas!P248+80*Tablas!P249+120*Tablas!P250</f>
        <v>0</v>
      </c>
      <c r="AD24" s="320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02"/>
      <c r="AF24" s="3202"/>
      <c r="AG24" s="3202"/>
      <c r="AH24" s="3202"/>
      <c r="AI24" s="3202"/>
      <c r="AJ24" s="3203"/>
      <c r="AK24" s="1607"/>
      <c r="AL24" s="716"/>
      <c r="AM24" s="2755" t="s">
        <v>8754</v>
      </c>
      <c r="AN24" s="2759"/>
      <c r="AO24" s="2759"/>
      <c r="AP24" s="2759"/>
      <c r="AQ24" s="2759"/>
      <c r="AR24" s="1986"/>
      <c r="AS24" s="1986"/>
      <c r="AT24" s="1986"/>
    </row>
    <row r="25" spans="1:46" ht="12" customHeight="1" x14ac:dyDescent="0.2">
      <c r="A25" s="10"/>
      <c r="B25" s="918"/>
      <c r="C25" s="1799" t="s">
        <v>1381</v>
      </c>
      <c r="D25" s="609">
        <f>Bono_Agi</f>
        <v>15</v>
      </c>
      <c r="F25" s="3125"/>
      <c r="G25" s="3126"/>
      <c r="H25" s="3127"/>
      <c r="I25" s="3142">
        <f>Combate!AD15+Combate!AF15</f>
        <v>0</v>
      </c>
      <c r="J25" s="3143"/>
      <c r="K25" s="701"/>
      <c r="L25" s="3183"/>
      <c r="M25" s="3107" t="s">
        <v>1421</v>
      </c>
      <c r="N25" s="3107"/>
      <c r="O25" s="3112">
        <f>PenNatural-MIN(MAX(LlevarArmadura_final-Combate!H16,0)+Combate!H17,0)+Combate!H17</f>
        <v>0</v>
      </c>
      <c r="P25" s="3112"/>
      <c r="Q25" s="577">
        <f>IF(Nadar_final="-","-",Nadar_final+O25)</f>
        <v>-15</v>
      </c>
      <c r="R25" s="708"/>
      <c r="S25" s="1183"/>
      <c r="T25" s="1184"/>
      <c r="U25" s="1205"/>
      <c r="V25" s="3208" t="s">
        <v>1422</v>
      </c>
      <c r="W25" s="3209"/>
      <c r="X25" s="3210"/>
      <c r="Y25" s="3195"/>
      <c r="Z25" s="3196"/>
      <c r="AA25" s="723">
        <f>IF(Personalización!$O$6="Sin ajuste por Artefactos",0,IF(Y25="Si",1,0))</f>
        <v>0</v>
      </c>
      <c r="AB25" s="868">
        <v>0</v>
      </c>
      <c r="AD25" s="3204"/>
      <c r="AE25" s="3205"/>
      <c r="AF25" s="3205"/>
      <c r="AG25" s="3205"/>
      <c r="AH25" s="3205"/>
      <c r="AI25" s="3205"/>
      <c r="AJ25" s="3206"/>
      <c r="AK25" s="1607"/>
      <c r="AL25" s="716"/>
      <c r="AM25" s="2755" t="s">
        <v>1845</v>
      </c>
      <c r="AN25" s="2767" t="b">
        <f>AND(Personalización!AN15,TipoDeCriatura="Natural")</f>
        <v>0</v>
      </c>
      <c r="AO25" s="2759"/>
      <c r="AP25" s="2759"/>
      <c r="AQ25" s="2759"/>
      <c r="AR25" s="1986"/>
      <c r="AS25" s="1986"/>
      <c r="AT25" s="1986"/>
    </row>
    <row r="26" spans="1:46" ht="12" customHeight="1" x14ac:dyDescent="0.2">
      <c r="A26" s="10"/>
      <c r="B26" s="918"/>
      <c r="C26" s="1800" t="s">
        <v>1386</v>
      </c>
      <c r="D26" s="609">
        <f>Bono_Des</f>
        <v>0</v>
      </c>
      <c r="F26" s="3128" t="str">
        <f>IF(HP_final&gt;HE_final,"H. Parada:","H. Esquiva:")</f>
        <v>H. Esquiva:</v>
      </c>
      <c r="G26" s="3129"/>
      <c r="H26" s="3130">
        <f>MAX(HP_final,HE_final,HD_SinArmas_final)</f>
        <v>15</v>
      </c>
      <c r="I26" s="3142"/>
      <c r="J26" s="3143"/>
      <c r="K26" s="701"/>
      <c r="L26" s="3183"/>
      <c r="M26" s="3107" t="s">
        <v>1424</v>
      </c>
      <c r="N26" s="3107"/>
      <c r="O26" s="3112">
        <f>PenNatural</f>
        <v>0</v>
      </c>
      <c r="P26" s="3112"/>
      <c r="Q26" s="577">
        <f>IF(Trepar_final="-","-",Trepar_final+O26)</f>
        <v>-15</v>
      </c>
      <c r="R26" s="708"/>
      <c r="S26" s="1183"/>
      <c r="T26" s="1184"/>
      <c r="U26" s="1205"/>
      <c r="V26" s="3190" t="s">
        <v>1425</v>
      </c>
      <c r="W26" s="3191"/>
      <c r="X26" s="3192"/>
      <c r="Y26" s="3193"/>
      <c r="Z26" s="3194"/>
      <c r="AA26" s="1821">
        <f>IF(Personalización!$O$7="Sin ajuste por PDs",0,ROUNDUP((AB27-AB22-AB23-AB24-AB25)/100,0))</f>
        <v>0</v>
      </c>
      <c r="AB26" s="1822"/>
      <c r="AD26" s="3204"/>
      <c r="AE26" s="3205"/>
      <c r="AF26" s="3205"/>
      <c r="AG26" s="3205"/>
      <c r="AH26" s="3205"/>
      <c r="AI26" s="3205"/>
      <c r="AJ26" s="3206"/>
      <c r="AK26" s="1607"/>
      <c r="AL26" s="716"/>
      <c r="AM26" s="2755" t="s">
        <v>1390</v>
      </c>
      <c r="AN26" s="2767" t="b">
        <f>AB13&lt;AP26</f>
        <v>0</v>
      </c>
      <c r="AO26" s="2759" t="s">
        <v>8755</v>
      </c>
      <c r="AP26" s="2759">
        <f>IF(OR(Tablas!J1757&gt;0,Tablas!J1771&gt;0,Tablas!J1806&gt;0,(AND(Raza="Ebudan",SueAman="Conseguido",Personalización!E42="Si"))),30,0)</f>
        <v>0</v>
      </c>
      <c r="AQ26" s="2759" t="s">
        <v>8756</v>
      </c>
      <c r="AR26" s="1986"/>
      <c r="AS26" s="1986"/>
      <c r="AT26" s="1986"/>
    </row>
    <row r="27" spans="1:46" ht="12" customHeight="1" thickBot="1" x14ac:dyDescent="0.25">
      <c r="A27" s="10"/>
      <c r="B27" s="918"/>
      <c r="C27" s="1800" t="s">
        <v>1416</v>
      </c>
      <c r="D27" s="609">
        <f>HLOOKUP("Turno",Bonos_Cat_Base,2,FALSE)</f>
        <v>5</v>
      </c>
      <c r="F27" s="3128"/>
      <c r="G27" s="3129"/>
      <c r="H27" s="3130"/>
      <c r="I27" s="3142"/>
      <c r="J27" s="3143"/>
      <c r="K27" s="701"/>
      <c r="L27" s="3183"/>
      <c r="M27" s="3107" t="s">
        <v>1427</v>
      </c>
      <c r="N27" s="3107"/>
      <c r="O27" s="3112">
        <f>PenNatural</f>
        <v>0</v>
      </c>
      <c r="P27" s="3112"/>
      <c r="Q27" s="577">
        <f>IF(Saltar_final="-","-",Saltar_final+O27)</f>
        <v>-30</v>
      </c>
      <c r="R27" s="708"/>
      <c r="S27" s="1183"/>
      <c r="T27" s="1184"/>
      <c r="U27" s="1205"/>
      <c r="V27" s="3213" t="str">
        <f>IF(COUNTA(Personalización!$L$6:$Q$7)&gt;0,"Sin ajuste(s)","")</f>
        <v/>
      </c>
      <c r="W27" s="3214"/>
      <c r="X27" s="3214"/>
      <c r="Y27" s="3211" t="s">
        <v>1428</v>
      </c>
      <c r="Z27" s="3212"/>
      <c r="AA27" s="1661">
        <f>SUM(AA22:AA26)</f>
        <v>0</v>
      </c>
      <c r="AB27" s="1823">
        <f>SUM(AB22:AB26)+50*Tablas!G345+100*Tablas!G346+150*Tablas!G347+Tablas!K1845</f>
        <v>0</v>
      </c>
      <c r="AD27" s="1149"/>
      <c r="AE27" s="3215" t="s">
        <v>1429</v>
      </c>
      <c r="AF27" s="3215"/>
      <c r="AG27" s="3215"/>
      <c r="AH27" s="3215"/>
      <c r="AI27" s="3215"/>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2755"/>
      <c r="AN27" s="2759"/>
      <c r="AO27" s="2759"/>
      <c r="AP27" s="2759"/>
      <c r="AQ27" s="2759"/>
      <c r="AR27" s="1986"/>
      <c r="AS27" s="1986"/>
      <c r="AT27" s="1986"/>
    </row>
    <row r="28" spans="1:46" ht="12" customHeight="1" thickBot="1" x14ac:dyDescent="0.25">
      <c r="A28" s="10"/>
      <c r="B28" s="918"/>
      <c r="C28" s="1800" t="s">
        <v>1419</v>
      </c>
      <c r="D28" s="609">
        <f>PenNatural</f>
        <v>0</v>
      </c>
      <c r="F28" s="3248" t="s">
        <v>1420</v>
      </c>
      <c r="G28" s="3249"/>
      <c r="H28" s="3252">
        <f>LlevarArmadura_final</f>
        <v>0</v>
      </c>
      <c r="I28" s="3142"/>
      <c r="J28" s="3143"/>
      <c r="K28" s="702"/>
      <c r="L28" s="3184"/>
      <c r="M28" s="3236" t="s">
        <v>6431</v>
      </c>
      <c r="N28" s="3236"/>
      <c r="O28" s="3207"/>
      <c r="P28" s="3207"/>
      <c r="Q28" s="578">
        <f>IF(Pilotar_final="-","-",Pilotar_final+O28)</f>
        <v>-30</v>
      </c>
      <c r="R28" s="708"/>
      <c r="S28" s="1183"/>
      <c r="T28" s="1184"/>
      <c r="U28" s="1205"/>
      <c r="W28" s="48"/>
      <c r="X28" s="48"/>
      <c r="Y28" s="48"/>
      <c r="Z28" s="48"/>
      <c r="AA28" s="48"/>
      <c r="AB28" s="48"/>
      <c r="AC28" s="48"/>
      <c r="AD28" s="48"/>
      <c r="AE28" s="48"/>
      <c r="AK28" s="1607"/>
      <c r="AL28" s="716"/>
      <c r="AM28" s="2755"/>
      <c r="AN28" s="2759"/>
      <c r="AO28" s="2759"/>
      <c r="AP28" s="2759"/>
      <c r="AQ28" s="2759"/>
      <c r="AR28" s="1986"/>
      <c r="AS28" s="1986"/>
      <c r="AT28" s="1986"/>
    </row>
    <row r="29" spans="1:46" ht="12" customHeight="1" thickBot="1" x14ac:dyDescent="0.25">
      <c r="A29" s="10"/>
      <c r="B29" s="918"/>
      <c r="C29" s="1800" t="s">
        <v>7480</v>
      </c>
      <c r="D29" s="609">
        <f>20+Tablas!$S$1225</f>
        <v>20</v>
      </c>
      <c r="F29" s="3250"/>
      <c r="G29" s="3251"/>
      <c r="H29" s="3253"/>
      <c r="I29" s="3144"/>
      <c r="J29" s="3145"/>
      <c r="K29" s="701"/>
      <c r="L29" s="3183" t="s">
        <v>1430</v>
      </c>
      <c r="M29" s="3107" t="s">
        <v>1431</v>
      </c>
      <c r="N29" s="3107"/>
      <c r="O29" s="3112"/>
      <c r="P29" s="3112"/>
      <c r="Q29" s="577">
        <f>IF(Estilo_final="-","-",Estilo_final+O29)</f>
        <v>-15</v>
      </c>
      <c r="R29" s="708"/>
      <c r="S29" s="1183"/>
      <c r="T29" s="1184"/>
      <c r="U29" s="1205"/>
      <c r="V29" s="3156" t="s">
        <v>1434</v>
      </c>
      <c r="W29" s="3156"/>
      <c r="X29" s="3156"/>
      <c r="Y29" s="3156"/>
      <c r="Z29" s="3156"/>
      <c r="AA29" s="3156"/>
      <c r="AB29" s="3156"/>
      <c r="AC29" s="3156"/>
      <c r="AD29" s="3156"/>
      <c r="AE29" s="3156"/>
      <c r="AF29" s="3384" t="s">
        <v>1435</v>
      </c>
      <c r="AG29" s="3384"/>
      <c r="AH29" s="3384"/>
      <c r="AI29" s="3384"/>
      <c r="AJ29" s="3384"/>
      <c r="AK29" s="1607"/>
      <c r="AL29" s="716"/>
      <c r="AM29" s="2760"/>
      <c r="AN29" s="2759"/>
      <c r="AO29" s="2759"/>
      <c r="AP29" s="2759"/>
      <c r="AQ29" s="2759"/>
      <c r="AR29" s="1986"/>
      <c r="AS29" s="1986"/>
      <c r="AT29" s="1986"/>
    </row>
    <row r="30" spans="1:46" ht="12" customHeight="1" x14ac:dyDescent="0.2">
      <c r="A30" s="10"/>
      <c r="B30" s="918"/>
      <c r="C30" s="1801" t="s">
        <v>1426</v>
      </c>
      <c r="D30" s="2629"/>
      <c r="F30" s="3102" t="str">
        <f>IF(Tablas!G519&gt;0,"Arma exclusiva:","Arma desarrollada:")</f>
        <v>Arma desarrollada:</v>
      </c>
      <c r="G30" s="3103"/>
      <c r="H30" s="3104"/>
      <c r="I30" s="3105"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106"/>
      <c r="K30" s="701"/>
      <c r="L30" s="3183"/>
      <c r="M30" s="3107" t="s">
        <v>1433</v>
      </c>
      <c r="N30" s="3107"/>
      <c r="O30" s="3112"/>
      <c r="P30" s="3112"/>
      <c r="Q30" s="577">
        <f>IF(Intimidar_final="-","-",Intimidar_final+O30)</f>
        <v>-30</v>
      </c>
      <c r="R30" s="708"/>
      <c r="S30" s="1183"/>
      <c r="T30" s="1184"/>
      <c r="U30" s="1205"/>
      <c r="V30" s="3376" t="str">
        <f>IF(Raza="","",VLOOKUP(Raza,Tabla_Razas,20,FALSE))</f>
        <v/>
      </c>
      <c r="W30" s="3240"/>
      <c r="X30" s="3240"/>
      <c r="Y30" s="3240"/>
      <c r="Z30" s="3240"/>
      <c r="AA30" s="3240"/>
      <c r="AB30" s="3240"/>
      <c r="AC30" s="3240"/>
      <c r="AD30" s="3240"/>
      <c r="AE30" s="3377"/>
      <c r="AF30" s="3239" t="str">
        <f>Tablas!R266</f>
        <v/>
      </c>
      <c r="AG30" s="3240"/>
      <c r="AH30" s="3240"/>
      <c r="AI30" s="3240"/>
      <c r="AJ30" s="3241"/>
      <c r="AK30" s="1609">
        <f>IF($G$48=0,0,VLOOKUP($G$48,Tabla_LegadosSangre,7,FALSE))</f>
        <v>0</v>
      </c>
      <c r="AL30" s="716"/>
      <c r="AM30" s="2768"/>
      <c r="AN30" s="2759"/>
      <c r="AO30" s="2759"/>
      <c r="AP30" s="2759"/>
      <c r="AQ30" s="2759"/>
      <c r="AR30" s="1986"/>
      <c r="AS30" s="1986"/>
      <c r="AT30" s="1986"/>
    </row>
    <row r="31" spans="1:46" ht="12" customHeight="1" thickBot="1" x14ac:dyDescent="0.25">
      <c r="A31" s="10"/>
      <c r="B31" s="918"/>
      <c r="C31" s="3121" t="s">
        <v>1357</v>
      </c>
      <c r="D31" s="3231">
        <f>SUM(D24:D30)+25*Tablas!G308+45*Tablas!G309+60*Tablas!G310-30*Tablas!G520-50*Tablas!G521+IF(Ki!P40="-",10,0)+IF(Mod_ATA&lt;0,TRUNC(Mod_ATA/2,0),0)+IF(Raza="Nephilim Turak",-10)+IF(Raza="Turak",-20)+'Tablas psiquica'!$AH$58</f>
        <v>60</v>
      </c>
      <c r="F31" s="3233" t="s">
        <v>2142</v>
      </c>
      <c r="G31" s="3234"/>
      <c r="H31" s="3235"/>
      <c r="I31" s="3105"/>
      <c r="J31" s="3106"/>
      <c r="K31" s="701"/>
      <c r="L31" s="3183"/>
      <c r="M31" s="3107" t="s">
        <v>1436</v>
      </c>
      <c r="N31" s="3107"/>
      <c r="O31" s="3112"/>
      <c r="P31" s="3112"/>
      <c r="Q31" s="577">
        <f>IF(Liderazgo_final="-","-",Liderazgo_final+O31)</f>
        <v>-15</v>
      </c>
      <c r="R31" s="708"/>
      <c r="S31" s="1183"/>
      <c r="T31" s="1184"/>
      <c r="U31" s="1205"/>
      <c r="V31" s="3378"/>
      <c r="W31" s="3243"/>
      <c r="X31" s="3243"/>
      <c r="Y31" s="3243"/>
      <c r="Z31" s="3243"/>
      <c r="AA31" s="3243"/>
      <c r="AB31" s="3243"/>
      <c r="AC31" s="3243"/>
      <c r="AD31" s="3243"/>
      <c r="AE31" s="3379"/>
      <c r="AF31" s="3242"/>
      <c r="AG31" s="3243"/>
      <c r="AH31" s="3243"/>
      <c r="AI31" s="3243"/>
      <c r="AJ31" s="3244"/>
      <c r="AK31" s="1609"/>
      <c r="AL31" s="716"/>
      <c r="AM31" s="2755" t="s">
        <v>7450</v>
      </c>
      <c r="AN31" s="2759"/>
      <c r="AO31" s="2759"/>
      <c r="AP31" s="2759"/>
      <c r="AQ31" s="2759"/>
      <c r="AR31" s="1986"/>
      <c r="AS31" s="1986"/>
      <c r="AT31" s="1986"/>
    </row>
    <row r="32" spans="1:46" ht="12" customHeight="1" thickBot="1" x14ac:dyDescent="0.25">
      <c r="A32" s="10"/>
      <c r="B32" s="918"/>
      <c r="C32" s="3122"/>
      <c r="D32" s="3232"/>
      <c r="F32" s="3237" t="s">
        <v>1432</v>
      </c>
      <c r="G32" s="3238"/>
      <c r="H32" s="3238"/>
      <c r="I32" s="3238"/>
      <c r="J32" s="1486">
        <f>VLOOKUP(G13+G11,Tabla_NumAcciones,2)</f>
        <v>3</v>
      </c>
      <c r="K32" s="701"/>
      <c r="L32" s="3183"/>
      <c r="M32" s="3107" t="s">
        <v>1438</v>
      </c>
      <c r="N32" s="3107"/>
      <c r="O32" s="3112"/>
      <c r="P32" s="3112"/>
      <c r="Q32" s="577">
        <f>IF(Persuasión_final="-","-",Persuasión_final+O32)</f>
        <v>-30</v>
      </c>
      <c r="R32" s="708"/>
      <c r="S32" s="1183"/>
      <c r="T32" s="1184"/>
      <c r="U32" s="1205"/>
      <c r="V32" s="3378"/>
      <c r="W32" s="3243"/>
      <c r="X32" s="3243"/>
      <c r="Y32" s="3243"/>
      <c r="Z32" s="3243"/>
      <c r="AA32" s="3243"/>
      <c r="AB32" s="3243"/>
      <c r="AC32" s="3243"/>
      <c r="AD32" s="3243"/>
      <c r="AE32" s="3379"/>
      <c r="AF32" s="3242"/>
      <c r="AG32" s="3243"/>
      <c r="AH32" s="3243"/>
      <c r="AI32" s="3243"/>
      <c r="AJ32" s="3244"/>
      <c r="AK32" s="1609"/>
      <c r="AL32" s="716"/>
      <c r="AM32" s="2755" t="s">
        <v>6744</v>
      </c>
      <c r="AN32" s="2759" t="str">
        <f>IF(AND(Raza="Criatura",AN39,AB13&lt;30),"$AO$36",Lista_VentajasComun)</f>
        <v>Tablas!$C$257:$C$390</v>
      </c>
      <c r="AO32" s="2759"/>
      <c r="AP32" s="2759"/>
      <c r="AQ32" s="2759"/>
      <c r="AR32" s="1986"/>
      <c r="AS32" s="1986"/>
      <c r="AT32" s="1986"/>
    </row>
    <row r="33" spans="1:46" ht="12" customHeight="1" thickBot="1" x14ac:dyDescent="0.25">
      <c r="A33" s="10"/>
      <c r="B33" s="918"/>
      <c r="K33" s="701"/>
      <c r="L33" s="3183"/>
      <c r="M33" s="3107" t="s">
        <v>819</v>
      </c>
      <c r="N33" s="3107"/>
      <c r="O33" s="3112"/>
      <c r="P33" s="3112"/>
      <c r="Q33" s="577">
        <f>IF(Comercio_final="-","-",Comercio_final+O33)</f>
        <v>-30</v>
      </c>
      <c r="R33" s="708"/>
      <c r="S33" s="1183"/>
      <c r="T33" s="1184"/>
      <c r="U33" s="1205"/>
      <c r="V33" s="3378"/>
      <c r="W33" s="3243"/>
      <c r="X33" s="3243"/>
      <c r="Y33" s="3243"/>
      <c r="Z33" s="3243"/>
      <c r="AA33" s="3243"/>
      <c r="AB33" s="3243"/>
      <c r="AC33" s="3243"/>
      <c r="AD33" s="3243"/>
      <c r="AE33" s="3379"/>
      <c r="AF33" s="3242"/>
      <c r="AG33" s="3243"/>
      <c r="AH33" s="3243"/>
      <c r="AI33" s="3243"/>
      <c r="AJ33" s="3244"/>
      <c r="AK33" s="1609"/>
      <c r="AL33" s="716"/>
      <c r="AM33" s="2755" t="s">
        <v>6745</v>
      </c>
      <c r="AN33" s="2759" t="str">
        <f>IF(AND(Raza="Criatura",AN39,AB13&lt;30),"$AO$36",IF(AND(Don,Psíquico),"Lista_VentajasDonYPsi",IF(Don,"Lista_VentajasDon",IF(Psíquico,"Lista_VentajasPsi","$AO$37"))))</f>
        <v>$AO$37</v>
      </c>
      <c r="AO33" s="2759"/>
      <c r="AP33" s="2759"/>
      <c r="AQ33" s="2759"/>
      <c r="AR33" s="1986"/>
      <c r="AS33" s="1986"/>
      <c r="AT33" s="1986"/>
    </row>
    <row r="34" spans="1:46" ht="12" customHeight="1" x14ac:dyDescent="0.2">
      <c r="A34" s="10"/>
      <c r="B34" s="918"/>
      <c r="C34" s="3119" t="s">
        <v>1437</v>
      </c>
      <c r="D34" s="3120"/>
      <c r="E34" s="3120"/>
      <c r="F34" s="3120"/>
      <c r="G34" s="2848"/>
      <c r="H34" s="2848"/>
      <c r="I34" s="2849"/>
      <c r="J34" s="1736">
        <f>IF(AND(Raza="Criatura",AN39),0,3)+TRUNC(Nivel_Total/2)+IF(Nivel_Total&gt;=16,(TRUNC((Nivel_Total-14)/2)^2+TRUNC((Nivel_Total-14)/2))/2)-Tablas!C234+IF(Y23="PDs",0,IF($AB$13=0,0,VLOOKUP($AB$13,Tabla_Gnosis,3,FALSE)))</f>
        <v>2</v>
      </c>
      <c r="K34" s="771"/>
      <c r="L34" s="3183"/>
      <c r="M34" s="3107" t="s">
        <v>820</v>
      </c>
      <c r="N34" s="3107"/>
      <c r="O34" s="3111"/>
      <c r="P34" s="3111"/>
      <c r="Q34" s="577">
        <f>IF(Callejeo_final="-","-",Callejeo_final+O34)</f>
        <v>-30</v>
      </c>
      <c r="R34" s="708"/>
      <c r="S34" s="1183"/>
      <c r="T34" s="1184"/>
      <c r="U34" s="1205"/>
      <c r="V34" s="3378"/>
      <c r="W34" s="3243"/>
      <c r="X34" s="3243"/>
      <c r="Y34" s="3243"/>
      <c r="Z34" s="3243"/>
      <c r="AA34" s="3243"/>
      <c r="AB34" s="3243"/>
      <c r="AC34" s="3243"/>
      <c r="AD34" s="3243"/>
      <c r="AE34" s="3379"/>
      <c r="AF34" s="3245"/>
      <c r="AG34" s="3246"/>
      <c r="AH34" s="3246"/>
      <c r="AI34" s="3246"/>
      <c r="AJ34" s="3247"/>
      <c r="AK34" s="1609">
        <f>IF($G$48=0,0,VLOOKUP($G$48,Tabla_LegadosSangre,10,FALSE))</f>
        <v>0</v>
      </c>
      <c r="AL34" s="716"/>
      <c r="AM34" s="2755" t="s">
        <v>6746</v>
      </c>
      <c r="AN34" s="2769" t="str">
        <f>IF(AND(Raza="Criatura",AN39,AB13&lt;30),"$AO$36","Lista_VentajasTrasfondo")</f>
        <v>Lista_VentajasTrasfondo</v>
      </c>
      <c r="AO34" s="2759"/>
      <c r="AP34" s="2759"/>
      <c r="AQ34" s="2759"/>
      <c r="AR34" s="1986"/>
      <c r="AS34" s="1986"/>
      <c r="AT34" s="1986"/>
    </row>
    <row r="35" spans="1:46" ht="12" customHeight="1" thickBot="1" x14ac:dyDescent="0.25">
      <c r="A35" s="10"/>
      <c r="B35" s="918"/>
      <c r="C35" s="3113" t="s">
        <v>2481</v>
      </c>
      <c r="D35" s="3114"/>
      <c r="E35" s="3114"/>
      <c r="F35" s="3115"/>
      <c r="G35" s="3268"/>
      <c r="H35" s="3269"/>
      <c r="I35" s="3269"/>
      <c r="J35" s="3270"/>
      <c r="K35" s="771"/>
      <c r="L35" s="3183"/>
      <c r="M35" s="3107" t="s">
        <v>821</v>
      </c>
      <c r="N35" s="3107"/>
      <c r="O35" s="3111"/>
      <c r="P35" s="3111"/>
      <c r="Q35" s="577">
        <f>IF(Etiqueta_final="-","-",Etiqueta_final+O35)</f>
        <v>-30</v>
      </c>
      <c r="R35" s="708"/>
      <c r="S35" s="1183"/>
      <c r="T35" s="1184"/>
      <c r="U35" s="1205"/>
      <c r="V35" s="3380"/>
      <c r="W35" s="3381"/>
      <c r="X35" s="3381"/>
      <c r="Y35" s="3381"/>
      <c r="Z35" s="3381"/>
      <c r="AA35" s="3381"/>
      <c r="AB35" s="3381"/>
      <c r="AC35" s="3381"/>
      <c r="AD35" s="3381"/>
      <c r="AE35" s="3382"/>
      <c r="AF35" s="3383" t="str">
        <f>IF(ISNUMBER(SEARCH("Afinidad Elemental",AF30)),"+10 Daño base ataques elemento afín","")</f>
        <v/>
      </c>
      <c r="AG35" s="3383"/>
      <c r="AH35" s="3383"/>
      <c r="AI35" s="3383"/>
      <c r="AJ35" s="3383"/>
      <c r="AK35" s="1609">
        <f>IF($G$48=0,0,VLOOKUP($G$48,Tabla_LegadosSangre,13,FALSE))</f>
        <v>0</v>
      </c>
      <c r="AL35" s="716"/>
      <c r="AM35" s="2755" t="s">
        <v>6747</v>
      </c>
      <c r="AN35" s="2759" t="str">
        <f>IF(AND(Raza="Criatura",AN39,AB13&lt;30),"$AO$36","Lista_LegadosSangre")</f>
        <v>Lista_LegadosSangre</v>
      </c>
      <c r="AO35" s="2759"/>
      <c r="AP35" s="2759"/>
      <c r="AQ35" s="2759"/>
      <c r="AR35" s="1986"/>
      <c r="AS35" s="1986"/>
      <c r="AT35" s="1986"/>
    </row>
    <row r="36" spans="1:46" ht="12" customHeight="1" thickBot="1" x14ac:dyDescent="0.25">
      <c r="A36" s="10"/>
      <c r="B36" s="918"/>
      <c r="C36" s="3108"/>
      <c r="D36" s="3109"/>
      <c r="E36" s="3109"/>
      <c r="F36" s="3110"/>
      <c r="G36" s="3116"/>
      <c r="H36" s="3117"/>
      <c r="I36" s="3117"/>
      <c r="J36" s="3118"/>
      <c r="K36" s="771"/>
      <c r="L36" s="3182" t="s">
        <v>1439</v>
      </c>
      <c r="M36" s="3133" t="s">
        <v>1440</v>
      </c>
      <c r="N36" s="3133"/>
      <c r="O36" s="3131">
        <f>IF(Combate!$C$15=0,0,VLOOKUP(Combate!$C$15,Tabla_Yelmos,3,FALSE))</f>
        <v>0</v>
      </c>
      <c r="P36" s="3131"/>
      <c r="Q36" s="576">
        <f>IF(Advertir_final="-","-",Advertir_final+O36)</f>
        <v>-30</v>
      </c>
      <c r="R36" s="708"/>
      <c r="S36" s="1183"/>
      <c r="T36" s="1184"/>
      <c r="U36" s="1205"/>
      <c r="V36" s="3026" t="s">
        <v>7323</v>
      </c>
      <c r="W36" s="3027"/>
      <c r="X36" s="3027"/>
      <c r="Y36" s="3027"/>
      <c r="Z36" s="3027"/>
      <c r="AA36" s="3027"/>
      <c r="AB36" s="3027"/>
      <c r="AC36" s="3027"/>
      <c r="AD36" s="3027"/>
      <c r="AE36" s="3027"/>
      <c r="AF36" s="3027"/>
      <c r="AG36" s="3027"/>
      <c r="AH36" s="3027"/>
      <c r="AI36" s="3027"/>
      <c r="AJ36" s="3028"/>
      <c r="AK36" s="1609">
        <f>IF($G$44=0,0,VLOOKUP($G$44,Tabla_LegadosSangre,7,FALSE))</f>
        <v>0</v>
      </c>
      <c r="AL36" s="716"/>
      <c r="AM36" s="2755" t="s">
        <v>6748</v>
      </c>
      <c r="AN36" s="2759" t="b">
        <f>OR(ISNUMBER(SEARCH("Don",$C35&amp;$C36&amp;$C37&amp;$C38&amp;$C39&amp;$C40&amp;$C41&amp;$C42)),Tablas!H1208&gt;0)</f>
        <v>0</v>
      </c>
      <c r="AO36" s="2759" t="s">
        <v>8590</v>
      </c>
      <c r="AP36" s="2759"/>
      <c r="AQ36" s="2759"/>
      <c r="AR36" s="1986"/>
      <c r="AS36" s="1986"/>
      <c r="AT36" s="1986"/>
    </row>
    <row r="37" spans="1:46" ht="12" customHeight="1" x14ac:dyDescent="0.2">
      <c r="A37" s="10"/>
      <c r="B37" s="918"/>
      <c r="C37" s="3108"/>
      <c r="D37" s="3109"/>
      <c r="E37" s="3109"/>
      <c r="F37" s="3110"/>
      <c r="G37" s="3116"/>
      <c r="H37" s="3117"/>
      <c r="I37" s="3117"/>
      <c r="J37" s="3118"/>
      <c r="K37" s="771"/>
      <c r="L37" s="3183"/>
      <c r="M37" s="3107" t="s">
        <v>1441</v>
      </c>
      <c r="N37" s="3107"/>
      <c r="O37" s="3112">
        <f>IF(Combate!$C$15=0,0,VLOOKUP(Combate!$C$15,Tabla_Yelmos,3,FALSE))</f>
        <v>0</v>
      </c>
      <c r="P37" s="3112"/>
      <c r="Q37" s="577">
        <f>IF(Buscar_final="-","-",Buscar_final+O37)</f>
        <v>-30</v>
      </c>
      <c r="R37" s="708"/>
      <c r="S37" s="1183"/>
      <c r="T37" s="1184"/>
      <c r="U37" s="1205"/>
      <c r="V37" s="3402" t="str">
        <f>IF(Nephilim="","",VLOOKUP(Nephilim,Tabla_Razas,20,FALSE))</f>
        <v/>
      </c>
      <c r="W37" s="3403"/>
      <c r="X37" s="3403"/>
      <c r="Y37" s="3403"/>
      <c r="Z37" s="3403"/>
      <c r="AA37" s="3403"/>
      <c r="AB37" s="3403"/>
      <c r="AC37" s="3403"/>
      <c r="AD37" s="3403"/>
      <c r="AE37" s="3403"/>
      <c r="AF37" s="3403"/>
      <c r="AG37" s="3403"/>
      <c r="AH37" s="3403"/>
      <c r="AI37" s="3403"/>
      <c r="AJ37" s="3404"/>
      <c r="AK37" s="1609">
        <f>IF($G$44=0,0,VLOOKUP($G$44,Tabla_LegadosSangre,10,FALSE))</f>
        <v>0</v>
      </c>
      <c r="AL37" s="716"/>
      <c r="AM37" s="2755" t="s">
        <v>6749</v>
      </c>
      <c r="AN37" s="2759" t="b">
        <f>OR(ISNUMBER(SEARCH("psiquica",$C35&amp;$C36&amp;$C37&amp;$C38&amp;$C39&amp;$C40&amp;$C41&amp;$C42)),Tablas!H1209&gt;0,Tablas!H1210&gt;0)</f>
        <v>0</v>
      </c>
      <c r="AO37" s="2759" t="s">
        <v>7449</v>
      </c>
      <c r="AP37" s="2759"/>
      <c r="AQ37" s="2759"/>
      <c r="AR37" s="1986"/>
      <c r="AS37" s="1986"/>
      <c r="AT37" s="1986"/>
    </row>
    <row r="38" spans="1:46" ht="12" customHeight="1" thickBot="1" x14ac:dyDescent="0.25">
      <c r="A38" s="10"/>
      <c r="B38" s="542"/>
      <c r="C38" s="3108"/>
      <c r="D38" s="3109"/>
      <c r="E38" s="3109"/>
      <c r="F38" s="3110"/>
      <c r="G38" s="3116"/>
      <c r="H38" s="3117"/>
      <c r="I38" s="3117"/>
      <c r="J38" s="3118"/>
      <c r="K38" s="771"/>
      <c r="L38" s="3184"/>
      <c r="M38" s="3236" t="s">
        <v>1442</v>
      </c>
      <c r="N38" s="3236"/>
      <c r="O38" s="3207"/>
      <c r="P38" s="3207"/>
      <c r="Q38" s="578">
        <f>IF(Rastrear_final="-","-",Rastrear_final+O38)</f>
        <v>-30</v>
      </c>
      <c r="R38" s="708"/>
      <c r="S38" s="1183"/>
      <c r="T38" s="1184"/>
      <c r="U38" s="1205"/>
      <c r="V38" s="3405"/>
      <c r="W38" s="3406"/>
      <c r="X38" s="3406"/>
      <c r="Y38" s="3406"/>
      <c r="Z38" s="3406"/>
      <c r="AA38" s="3406"/>
      <c r="AB38" s="3406"/>
      <c r="AC38" s="3406"/>
      <c r="AD38" s="3406"/>
      <c r="AE38" s="3406"/>
      <c r="AF38" s="3406"/>
      <c r="AG38" s="3406"/>
      <c r="AH38" s="3406"/>
      <c r="AI38" s="3406"/>
      <c r="AJ38" s="3407"/>
      <c r="AK38" s="1608"/>
      <c r="AL38" s="716"/>
      <c r="AM38" s="2755" t="s">
        <v>9079</v>
      </c>
      <c r="AN38" s="2759" t="str">
        <f>IF(AND(Raza="Criatura",AN39,AB13&lt;30),"$AO$36",Lista_Desventajas)</f>
        <v>Tablas!$C$492:$C$548</v>
      </c>
      <c r="AO38" s="2759"/>
      <c r="AP38" s="2759"/>
      <c r="AQ38" s="2759"/>
      <c r="AR38" s="1986"/>
      <c r="AS38" s="1986"/>
      <c r="AT38" s="1986"/>
    </row>
    <row r="39" spans="1:46" ht="12" customHeight="1" thickBot="1" x14ac:dyDescent="0.25">
      <c r="A39" s="10"/>
      <c r="B39" s="542"/>
      <c r="C39" s="3108"/>
      <c r="D39" s="3109"/>
      <c r="E39" s="3109"/>
      <c r="F39" s="3110"/>
      <c r="G39" s="3116"/>
      <c r="H39" s="3117"/>
      <c r="I39" s="3117"/>
      <c r="J39" s="3118"/>
      <c r="K39" s="771"/>
      <c r="L39" s="3183" t="s">
        <v>1443</v>
      </c>
      <c r="M39" s="3107" t="s">
        <v>1444</v>
      </c>
      <c r="N39" s="3107"/>
      <c r="O39" s="3112"/>
      <c r="P39" s="3112"/>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2755" t="s">
        <v>9620</v>
      </c>
      <c r="AN39" s="2759" t="b">
        <f>Personalización!F17&lt;&gt;"Si (No oficial)"</f>
        <v>1</v>
      </c>
      <c r="AO39" s="2759"/>
      <c r="AP39" s="2759"/>
      <c r="AQ39" s="2759"/>
      <c r="AR39" s="1986"/>
      <c r="AS39" s="1986"/>
      <c r="AT39" s="1986"/>
    </row>
    <row r="40" spans="1:46" ht="12" customHeight="1" thickBot="1" x14ac:dyDescent="0.25">
      <c r="A40" s="10"/>
      <c r="B40" s="542"/>
      <c r="C40" s="3108"/>
      <c r="D40" s="3109"/>
      <c r="E40" s="3109"/>
      <c r="F40" s="3110"/>
      <c r="G40" s="3116"/>
      <c r="H40" s="3117"/>
      <c r="I40" s="3117"/>
      <c r="J40" s="3118"/>
      <c r="K40" s="771"/>
      <c r="L40" s="3183"/>
      <c r="M40" s="3107" t="s">
        <v>1445</v>
      </c>
      <c r="N40" s="3107"/>
      <c r="O40" s="3112"/>
      <c r="P40" s="3112"/>
      <c r="Q40" s="577" t="str">
        <f>IF(Ciencia_final="-","-",Ciencia_final+O40)</f>
        <v>-</v>
      </c>
      <c r="R40" s="708"/>
      <c r="S40" s="1183"/>
      <c r="T40" s="1184"/>
      <c r="U40" s="1205"/>
      <c r="V40" s="2944" t="s">
        <v>1447</v>
      </c>
      <c r="W40" s="2945"/>
      <c r="X40" s="2945"/>
      <c r="Y40" s="2945"/>
      <c r="Z40" s="2945"/>
      <c r="AA40" s="2945"/>
      <c r="AB40" s="2993"/>
      <c r="AC40" s="2993"/>
      <c r="AD40" s="2993"/>
      <c r="AE40" s="2993"/>
      <c r="AF40" s="2945"/>
      <c r="AG40" s="2946"/>
      <c r="AH40" s="3408" t="s">
        <v>1380</v>
      </c>
      <c r="AI40" s="3409"/>
      <c r="AJ40" s="1817">
        <f>IF(ISNUMBER(SUM(AJ42:AJ69)+AJ70),SUM(AJ42:AJ69)+AJ70,0)</f>
        <v>0</v>
      </c>
      <c r="AK40" s="1607"/>
      <c r="AL40" s="716"/>
      <c r="AM40" s="2755"/>
      <c r="AN40" s="2759"/>
      <c r="AO40" s="2759"/>
      <c r="AP40" s="2770"/>
      <c r="AQ40" s="2759"/>
      <c r="AR40" s="1986"/>
      <c r="AS40" s="1986"/>
      <c r="AT40" s="1986"/>
    </row>
    <row r="41" spans="1:46" ht="12" customHeight="1" x14ac:dyDescent="0.2">
      <c r="A41" s="10"/>
      <c r="B41" s="542"/>
      <c r="C41" s="3108"/>
      <c r="D41" s="3109"/>
      <c r="E41" s="3109"/>
      <c r="F41" s="3110"/>
      <c r="G41" s="3116"/>
      <c r="H41" s="3117"/>
      <c r="I41" s="3117"/>
      <c r="J41" s="3118"/>
      <c r="K41" s="771"/>
      <c r="L41" s="3183"/>
      <c r="M41" s="3107" t="s">
        <v>2639</v>
      </c>
      <c r="N41" s="3107"/>
      <c r="O41" s="3112"/>
      <c r="P41" s="3112"/>
      <c r="Q41" s="577">
        <f>IF(Ley_final="-","-",Ley_final+O41)</f>
        <v>-30</v>
      </c>
      <c r="R41" s="708"/>
      <c r="S41" s="1183"/>
      <c r="T41" s="1184"/>
      <c r="U41" s="1205"/>
      <c r="V41" s="3413" t="s">
        <v>8582</v>
      </c>
      <c r="W41" s="3414"/>
      <c r="X41" s="3414"/>
      <c r="Y41" s="3414"/>
      <c r="Z41" s="3414"/>
      <c r="AA41" s="3415"/>
      <c r="AB41" s="3396" t="s">
        <v>9588</v>
      </c>
      <c r="AC41" s="3419"/>
      <c r="AD41" s="3419"/>
      <c r="AE41" s="3420"/>
      <c r="AF41" s="3421" t="s">
        <v>7588</v>
      </c>
      <c r="AG41" s="3421"/>
      <c r="AH41" s="3422"/>
      <c r="AI41" s="1824" t="s">
        <v>1384</v>
      </c>
      <c r="AJ41" s="1825" t="s">
        <v>1385</v>
      </c>
      <c r="AK41" s="1607"/>
      <c r="AL41" s="716"/>
      <c r="AM41" s="2755" t="s">
        <v>8580</v>
      </c>
      <c r="AN41" s="2759"/>
      <c r="AO41" s="2759" t="s">
        <v>8581</v>
      </c>
      <c r="AP41" s="2759"/>
      <c r="AQ41" s="2759"/>
      <c r="AR41" s="1986"/>
      <c r="AS41" s="1986" t="str">
        <f>AK44</f>
        <v/>
      </c>
      <c r="AT41" s="1986"/>
    </row>
    <row r="42" spans="1:46" ht="12" customHeight="1" x14ac:dyDescent="0.2">
      <c r="A42" s="10"/>
      <c r="B42" s="542"/>
      <c r="C42" s="3265"/>
      <c r="D42" s="3266"/>
      <c r="E42" s="3266"/>
      <c r="F42" s="3267"/>
      <c r="G42" s="3387"/>
      <c r="H42" s="3374"/>
      <c r="I42" s="3374"/>
      <c r="J42" s="3375"/>
      <c r="K42" s="771"/>
      <c r="L42" s="3183"/>
      <c r="M42" s="3107" t="s">
        <v>1446</v>
      </c>
      <c r="N42" s="3107"/>
      <c r="O42" s="3112"/>
      <c r="P42" s="3112"/>
      <c r="Q42" s="577">
        <f>IF(Herbolaria_final="-","-",Herbolaria_final+O42)</f>
        <v>-30</v>
      </c>
      <c r="R42" s="708"/>
      <c r="S42" s="1183">
        <f>IF(V42="",MAX($S$41:S41)+1,0)</f>
        <v>1</v>
      </c>
      <c r="T42" s="1184">
        <f>IF(V42="",0,MAX($T$41:T41)+1)</f>
        <v>0</v>
      </c>
      <c r="U42" s="1206">
        <f>IF(V42="",Tablas!A1,V42&amp;1)</f>
        <v>1</v>
      </c>
      <c r="V42" s="3410"/>
      <c r="W42" s="3411"/>
      <c r="X42" s="3411"/>
      <c r="Y42" s="3411"/>
      <c r="Z42" s="3411"/>
      <c r="AA42" s="3412"/>
      <c r="AB42" s="3416"/>
      <c r="AC42" s="3417"/>
      <c r="AD42" s="3417"/>
      <c r="AE42" s="3418"/>
      <c r="AF42" s="3401"/>
      <c r="AG42" s="3114"/>
      <c r="AH42" s="3115"/>
      <c r="AI42" s="1787"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2755" t="str">
        <f>AB42&amp;IF(AF42="",""," "&amp;AF42)</f>
        <v/>
      </c>
      <c r="AN42" s="2759"/>
      <c r="AO42" s="1986">
        <f>COUNTIF($AB$41:AB41,AB42&amp;"*")</f>
        <v>1</v>
      </c>
      <c r="AP42" s="2759"/>
      <c r="AQ42" s="2755" t="s">
        <v>6743</v>
      </c>
      <c r="AR42" s="1986"/>
      <c r="AS42" s="2755" t="s">
        <v>6743</v>
      </c>
      <c r="AT42" s="1986"/>
    </row>
    <row r="43" spans="1:46" ht="12" customHeight="1" x14ac:dyDescent="0.2">
      <c r="A43" s="10"/>
      <c r="B43" s="542"/>
      <c r="C43" s="3388"/>
      <c r="D43" s="3389"/>
      <c r="E43" s="3389"/>
      <c r="F43" s="3390"/>
      <c r="G43" s="3260"/>
      <c r="H43" s="3261"/>
      <c r="I43" s="3261"/>
      <c r="J43" s="3262"/>
      <c r="K43" s="771"/>
      <c r="L43" s="3183"/>
      <c r="M43" s="3107" t="s">
        <v>1448</v>
      </c>
      <c r="N43" s="3107"/>
      <c r="O43" s="3112"/>
      <c r="P43" s="3112"/>
      <c r="Q43" s="577" t="str">
        <f>IF(Historia_final="-","-",Historia_final+O43)</f>
        <v>-</v>
      </c>
      <c r="R43" s="708"/>
      <c r="S43" s="1183">
        <f>IF(V43="",MAX($S$41:S42)+1,0)</f>
        <v>2</v>
      </c>
      <c r="T43" s="1184">
        <f>IF(V43="",0,MAX($T$41:T42)+1)</f>
        <v>0</v>
      </c>
      <c r="U43" s="1206">
        <f>IF(V43="",Tablas!A2,IF(COUNTIF(V$42:V42,V43)&gt;0,V43&amp;COUNTIF(V$42:V42,V43)+1,V43&amp;1))</f>
        <v>2</v>
      </c>
      <c r="V43" s="3317"/>
      <c r="W43" s="3318"/>
      <c r="X43" s="3318"/>
      <c r="Y43" s="3318"/>
      <c r="Z43" s="3318"/>
      <c r="AA43" s="3319"/>
      <c r="AB43" s="3274"/>
      <c r="AC43" s="3275"/>
      <c r="AD43" s="3275"/>
      <c r="AE43" s="3276"/>
      <c r="AF43" s="3271"/>
      <c r="AG43" s="3272"/>
      <c r="AH43" s="3273"/>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2755" t="str">
        <f t="shared" ref="AM43:AM69" si="9">AB43&amp;IF(AF43="",""," "&amp;AF43)</f>
        <v/>
      </c>
      <c r="AN43" s="2759"/>
      <c r="AO43" s="1986">
        <f>COUNTIF($AB$41:AB42,AB43&amp;"*")</f>
        <v>1</v>
      </c>
      <c r="AP43" s="2759"/>
      <c r="AQ43" s="2760" t="str">
        <f>IF(A48="","",VLOOKUP(A48,Tablas!$E$491:$J$557,6,FALSE))</f>
        <v/>
      </c>
      <c r="AR43" s="1986"/>
      <c r="AS43" s="2760" t="str">
        <f>IF(C51="","",VLOOKUP(C51,Tablas!$E$491:$J$557,6,FALSE))</f>
        <v>Comunes</v>
      </c>
      <c r="AT43" s="1986"/>
    </row>
    <row r="44" spans="1:46" ht="12" customHeight="1" x14ac:dyDescent="0.2">
      <c r="A44" s="10"/>
      <c r="B44" s="542"/>
      <c r="C44" s="3108"/>
      <c r="D44" s="3109"/>
      <c r="E44" s="3109"/>
      <c r="F44" s="3314"/>
      <c r="G44" s="3368"/>
      <c r="H44" s="3369"/>
      <c r="I44" s="3369"/>
      <c r="J44" s="3370"/>
      <c r="K44" s="703"/>
      <c r="L44" s="3183"/>
      <c r="M44" s="3107" t="s">
        <v>822</v>
      </c>
      <c r="N44" s="3107"/>
      <c r="O44" s="3112"/>
      <c r="P44" s="3112"/>
      <c r="Q44" s="577">
        <f>IF(Tactica_final="-","-",Tactica_final+O44)</f>
        <v>-30</v>
      </c>
      <c r="R44" s="708"/>
      <c r="S44" s="1183">
        <f>IF(V44="",MAX($S$41:S43)+1,0)</f>
        <v>3</v>
      </c>
      <c r="T44" s="1184">
        <f>IF(V44="",0,MAX($T$41:T43)+1)</f>
        <v>0</v>
      </c>
      <c r="U44" s="1206">
        <f>IF(V44="",Tablas!A3,IF(COUNTIF(V$42:V43,V44)&gt;0,V44&amp;COUNTIF(V$42:V43,V44)+1,V44&amp;1))</f>
        <v>3</v>
      </c>
      <c r="V44" s="3317"/>
      <c r="W44" s="3318"/>
      <c r="X44" s="3318"/>
      <c r="Y44" s="3318"/>
      <c r="Z44" s="3318"/>
      <c r="AA44" s="3319"/>
      <c r="AB44" s="3274"/>
      <c r="AC44" s="3275"/>
      <c r="AD44" s="3275"/>
      <c r="AE44" s="3276"/>
      <c r="AF44" s="3400"/>
      <c r="AG44" s="3109"/>
      <c r="AH44" s="3110"/>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2755" t="str">
        <f t="shared" si="9"/>
        <v/>
      </c>
      <c r="AN44" s="2759"/>
      <c r="AO44" s="1986">
        <f>COUNTIF($AB$41:AB43,AB44&amp;"*")</f>
        <v>1</v>
      </c>
      <c r="AP44" s="2759"/>
      <c r="AQ44" s="2760" t="str">
        <f>IF(A49="","",VLOOKUP(A49,Tablas!$E$491:$J$557,6,FALSE))</f>
        <v/>
      </c>
      <c r="AR44" s="1986"/>
      <c r="AS44" s="2760" t="str">
        <f>IF(C52="","",VLOOKUP(C52,Tablas!$E$491:$J$557,6,FALSE))</f>
        <v/>
      </c>
      <c r="AT44" s="1986"/>
    </row>
    <row r="45" spans="1:46" ht="12" customHeight="1" x14ac:dyDescent="0.2">
      <c r="A45" s="10"/>
      <c r="B45" s="918"/>
      <c r="C45" s="3108"/>
      <c r="D45" s="3109"/>
      <c r="E45" s="3109"/>
      <c r="F45" s="3314"/>
      <c r="G45" s="3368"/>
      <c r="H45" s="3369"/>
      <c r="I45" s="3369"/>
      <c r="J45" s="3370"/>
      <c r="K45" s="703"/>
      <c r="L45" s="3183"/>
      <c r="M45" s="3107" t="s">
        <v>1451</v>
      </c>
      <c r="N45" s="3107"/>
      <c r="O45" s="3112"/>
      <c r="P45" s="3112"/>
      <c r="Q45" s="577" t="str">
        <f>IF(Medicina_final="-","-",Medicina_final+O45)</f>
        <v>-</v>
      </c>
      <c r="R45" s="708"/>
      <c r="S45" s="1183">
        <f>IF(V45="",MAX($S$41:S44)+1,0)</f>
        <v>4</v>
      </c>
      <c r="T45" s="1184">
        <f>IF(V45="",0,MAX($T$41:T44)+1)</f>
        <v>0</v>
      </c>
      <c r="U45" s="1206">
        <f>IF(V45="",Tablas!A4,IF(COUNTIF(V$42:V44,V45)&gt;0,V45&amp;COUNTIF(V$42:V44,V45)+1,V45&amp;1))</f>
        <v>4</v>
      </c>
      <c r="V45" s="3317"/>
      <c r="W45" s="3318"/>
      <c r="X45" s="3318"/>
      <c r="Y45" s="3318"/>
      <c r="Z45" s="3318"/>
      <c r="AA45" s="3319"/>
      <c r="AB45" s="3274"/>
      <c r="AC45" s="3275"/>
      <c r="AD45" s="3275"/>
      <c r="AE45" s="3276"/>
      <c r="AF45" s="3271"/>
      <c r="AG45" s="3272"/>
      <c r="AH45" s="3273"/>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2755" t="str">
        <f t="shared" si="9"/>
        <v/>
      </c>
      <c r="AN45" s="2759"/>
      <c r="AO45" s="1986">
        <f>COUNTIF($AB$41:AB44,AB45&amp;"*")</f>
        <v>1</v>
      </c>
      <c r="AP45" s="2759"/>
      <c r="AQ45" s="2759"/>
      <c r="AR45" s="1986"/>
      <c r="AS45" s="2760" t="str">
        <f>IF(C53="","",VLOOKUP(C53,Tablas!$E$491:$J$557,6,FALSE))</f>
        <v/>
      </c>
      <c r="AT45" s="1986"/>
    </row>
    <row r="46" spans="1:46" ht="12" customHeight="1" x14ac:dyDescent="0.2">
      <c r="A46" s="10"/>
      <c r="B46" s="918"/>
      <c r="C46" s="3108"/>
      <c r="D46" s="3109"/>
      <c r="E46" s="3109"/>
      <c r="F46" s="3314"/>
      <c r="G46" s="3320"/>
      <c r="H46" s="3321"/>
      <c r="I46" s="3321"/>
      <c r="J46" s="3322"/>
      <c r="K46" s="703"/>
      <c r="L46" s="3183"/>
      <c r="M46" s="3107" t="s">
        <v>1452</v>
      </c>
      <c r="N46" s="3107"/>
      <c r="O46" s="3112"/>
      <c r="P46" s="3112"/>
      <c r="Q46" s="577">
        <f>IF(Memorizar_final="-","-",Memorizar_final+O46)</f>
        <v>-30</v>
      </c>
      <c r="R46" s="708"/>
      <c r="S46" s="1183">
        <f>IF(V46="",MAX($S$41:S45)+1,0)</f>
        <v>5</v>
      </c>
      <c r="T46" s="1184">
        <f>IF(V46="",0,MAX($T$41:T45)+1)</f>
        <v>0</v>
      </c>
      <c r="U46" s="1206">
        <f>IF(V46="",Tablas!A5,IF(COUNTIF(V$42:V45,V46)&gt;0,V46&amp;COUNTIF(V$42:V45,V46)+1,V46&amp;1))</f>
        <v>5</v>
      </c>
      <c r="V46" s="3317"/>
      <c r="W46" s="3318"/>
      <c r="X46" s="3318"/>
      <c r="Y46" s="3318"/>
      <c r="Z46" s="3318"/>
      <c r="AA46" s="3319"/>
      <c r="AB46" s="3274"/>
      <c r="AC46" s="3275"/>
      <c r="AD46" s="3275"/>
      <c r="AE46" s="3276"/>
      <c r="AF46" s="3271"/>
      <c r="AG46" s="3272"/>
      <c r="AH46" s="3273"/>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2755" t="str">
        <f t="shared" si="9"/>
        <v/>
      </c>
      <c r="AN46" s="2759"/>
      <c r="AO46" s="2759"/>
      <c r="AP46" s="2759"/>
      <c r="AQ46" s="2759"/>
      <c r="AR46" s="1986"/>
      <c r="AS46" s="1986"/>
      <c r="AT46" s="1986"/>
    </row>
    <row r="47" spans="1:46" ht="12" customHeight="1" x14ac:dyDescent="0.2">
      <c r="A47" s="10"/>
      <c r="B47" s="918"/>
      <c r="C47" s="3108"/>
      <c r="D47" s="3109"/>
      <c r="E47" s="3109"/>
      <c r="F47" s="3314"/>
      <c r="G47" s="3260"/>
      <c r="H47" s="3261"/>
      <c r="I47" s="3261"/>
      <c r="J47" s="3262"/>
      <c r="L47" s="3183"/>
      <c r="M47" s="3107" t="s">
        <v>1453</v>
      </c>
      <c r="N47" s="3107"/>
      <c r="O47" s="3112"/>
      <c r="P47" s="3112"/>
      <c r="Q47" s="577">
        <f>IF(Navegación_final="-","-",Navegación_final+O47)</f>
        <v>-30</v>
      </c>
      <c r="R47" s="708"/>
      <c r="S47" s="1183">
        <f>IF(V47="",MAX($S$41:S46)+1,0)</f>
        <v>6</v>
      </c>
      <c r="T47" s="1184">
        <f>IF(V47="",0,MAX($T$41:T46)+1)</f>
        <v>0</v>
      </c>
      <c r="U47" s="1206">
        <f>IF(V47="",Tablas!A6,IF(COUNTIF(V$42:V46,V47)&gt;0,V47&amp;COUNTIF(V$42:V46,V47)+1,V47&amp;1))</f>
        <v>6</v>
      </c>
      <c r="V47" s="3317"/>
      <c r="W47" s="3318"/>
      <c r="X47" s="3318"/>
      <c r="Y47" s="3318"/>
      <c r="Z47" s="3318"/>
      <c r="AA47" s="3319"/>
      <c r="AB47" s="3274"/>
      <c r="AC47" s="3275"/>
      <c r="AD47" s="3275"/>
      <c r="AE47" s="3276"/>
      <c r="AF47" s="3271"/>
      <c r="AG47" s="3272"/>
      <c r="AH47" s="3273"/>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2755" t="str">
        <f t="shared" si="9"/>
        <v/>
      </c>
      <c r="AN47" s="2762"/>
      <c r="AO47" s="2759"/>
      <c r="AP47" s="2759"/>
      <c r="AQ47" s="2759"/>
      <c r="AR47" s="1986"/>
      <c r="AS47" s="1986"/>
      <c r="AT47" s="1986"/>
    </row>
    <row r="48" spans="1:46" ht="12" customHeight="1" x14ac:dyDescent="0.2">
      <c r="A48" s="10"/>
      <c r="B48" s="918"/>
      <c r="C48" s="3108"/>
      <c r="D48" s="3109"/>
      <c r="E48" s="3109"/>
      <c r="F48" s="3314"/>
      <c r="G48" s="3257"/>
      <c r="H48" s="3258"/>
      <c r="I48" s="3258"/>
      <c r="J48" s="3259"/>
      <c r="K48" s="703"/>
      <c r="L48" s="3183"/>
      <c r="M48" s="3107" t="s">
        <v>1454</v>
      </c>
      <c r="N48" s="3107"/>
      <c r="O48" s="3112"/>
      <c r="P48" s="3112"/>
      <c r="Q48" s="577">
        <f>IF(Ocultismo_final="-","-",Ocultismo_final+O48)</f>
        <v>-30</v>
      </c>
      <c r="R48" s="708"/>
      <c r="S48" s="1183">
        <f>IF(V48="",MAX($S$41:S47)+1,0)</f>
        <v>7</v>
      </c>
      <c r="T48" s="1184">
        <f>IF(V48="",0,MAX($T$41:T47)+1)</f>
        <v>0</v>
      </c>
      <c r="U48" s="1206">
        <f>IF(V48="",Tablas!A7,IF(COUNTIF(V$42:V47,V48)&gt;0,V48&amp;COUNTIF(V$42:V47,V48)+1,V48&amp;1))</f>
        <v>7</v>
      </c>
      <c r="V48" s="3317"/>
      <c r="W48" s="3318"/>
      <c r="X48" s="3318"/>
      <c r="Y48" s="3318"/>
      <c r="Z48" s="3318"/>
      <c r="AA48" s="3319"/>
      <c r="AB48" s="3274"/>
      <c r="AC48" s="3275"/>
      <c r="AD48" s="3275"/>
      <c r="AE48" s="3276"/>
      <c r="AF48" s="3271"/>
      <c r="AG48" s="3272"/>
      <c r="AH48" s="3273"/>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2755" t="str">
        <f t="shared" si="9"/>
        <v/>
      </c>
      <c r="AN48" s="2762"/>
      <c r="AO48" s="2759"/>
      <c r="AP48" s="2759"/>
      <c r="AQ48" s="2759"/>
      <c r="AR48" s="1986"/>
      <c r="AS48" s="1986"/>
      <c r="AT48" s="1986"/>
    </row>
    <row r="49" spans="1:46" ht="12" customHeight="1" x14ac:dyDescent="0.2">
      <c r="A49" s="10"/>
      <c r="B49" s="918"/>
      <c r="C49" s="3371"/>
      <c r="D49" s="3372"/>
      <c r="E49" s="3372"/>
      <c r="F49" s="3373"/>
      <c r="G49" s="3257"/>
      <c r="H49" s="3258"/>
      <c r="I49" s="3258"/>
      <c r="J49" s="3259"/>
      <c r="K49" s="701"/>
      <c r="L49" s="3183"/>
      <c r="M49" s="3107" t="s">
        <v>1455</v>
      </c>
      <c r="N49" s="3107"/>
      <c r="O49" s="3112"/>
      <c r="P49" s="3112"/>
      <c r="Q49" s="577" t="str">
        <f>IF(Tasación_final="-","-",Tasación_final+O49)</f>
        <v>-</v>
      </c>
      <c r="R49" s="708"/>
      <c r="S49" s="1183">
        <f>IF(V49="",MAX($S$41:S48)+1,0)</f>
        <v>8</v>
      </c>
      <c r="T49" s="1184">
        <f>IF(V49="",0,MAX($T$41:T48)+1)</f>
        <v>0</v>
      </c>
      <c r="U49" s="1206">
        <f>IF(V49="",Tablas!A8,IF(COUNTIF(V$42:V48,V49)&gt;0,V49&amp;COUNTIF(V$42:V48,V49)+1,V49&amp;1))</f>
        <v>8</v>
      </c>
      <c r="V49" s="3317"/>
      <c r="W49" s="3318"/>
      <c r="X49" s="3318"/>
      <c r="Y49" s="3318"/>
      <c r="Z49" s="3318"/>
      <c r="AA49" s="3319"/>
      <c r="AB49" s="3274"/>
      <c r="AC49" s="3275"/>
      <c r="AD49" s="3275"/>
      <c r="AE49" s="3276"/>
      <c r="AF49" s="3271"/>
      <c r="AG49" s="3272"/>
      <c r="AH49" s="3273"/>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2755" t="str">
        <f t="shared" si="9"/>
        <v/>
      </c>
      <c r="AN49" s="2759"/>
      <c r="AO49" s="2759"/>
      <c r="AP49" s="2759"/>
      <c r="AQ49" s="2759"/>
      <c r="AR49" s="1986"/>
      <c r="AS49" s="1986"/>
      <c r="AT49" s="1986"/>
    </row>
    <row r="50" spans="1:46" ht="12" customHeight="1" x14ac:dyDescent="0.2">
      <c r="A50" s="10"/>
      <c r="B50" s="918"/>
      <c r="C50" s="3391" t="s">
        <v>2905</v>
      </c>
      <c r="D50" s="3392"/>
      <c r="E50" s="3392"/>
      <c r="F50" s="3393"/>
      <c r="G50" s="3257"/>
      <c r="H50" s="3258"/>
      <c r="I50" s="3258"/>
      <c r="J50" s="3259"/>
      <c r="K50" s="701"/>
      <c r="L50" s="3183"/>
      <c r="M50" s="3107" t="s">
        <v>1456</v>
      </c>
      <c r="N50" s="3107"/>
      <c r="O50" s="3112"/>
      <c r="P50" s="3112"/>
      <c r="Q50" s="577" t="str">
        <f>IF(V.Mágica_final="-","-",V.Mágica_final+O50)</f>
        <v>-</v>
      </c>
      <c r="R50" s="708"/>
      <c r="S50" s="1183">
        <f>IF(V50="",MAX($S$41:S49)+1,0)</f>
        <v>9</v>
      </c>
      <c r="T50" s="1184">
        <f>IF(V50="",0,MAX($T$41:T49)+1)</f>
        <v>0</v>
      </c>
      <c r="U50" s="1206">
        <f>IF(V50="",Tablas!A9,IF(COUNTIF(V$42:V49,V50)&gt;0,V50&amp;COUNTIF(V$42:V49,V50)+1,V50&amp;1))</f>
        <v>9</v>
      </c>
      <c r="V50" s="3317"/>
      <c r="W50" s="3318"/>
      <c r="X50" s="3318"/>
      <c r="Y50" s="3318"/>
      <c r="Z50" s="3318"/>
      <c r="AA50" s="3319"/>
      <c r="AB50" s="3274"/>
      <c r="AC50" s="3275"/>
      <c r="AD50" s="3275"/>
      <c r="AE50" s="3276"/>
      <c r="AF50" s="3271"/>
      <c r="AG50" s="3272"/>
      <c r="AH50" s="3273"/>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2755" t="str">
        <f t="shared" si="9"/>
        <v/>
      </c>
      <c r="AN50" s="2759"/>
      <c r="AO50" s="2759"/>
      <c r="AP50" s="2759"/>
      <c r="AQ50" s="2759"/>
      <c r="AR50" s="1986"/>
      <c r="AS50" s="1986"/>
      <c r="AT50" s="1986"/>
    </row>
    <row r="51" spans="1:46" ht="12" customHeight="1" x14ac:dyDescent="0.2">
      <c r="A51" s="10"/>
      <c r="B51" s="918"/>
      <c r="C51" s="3254" t="s">
        <v>2503</v>
      </c>
      <c r="D51" s="3255"/>
      <c r="E51" s="3255"/>
      <c r="F51" s="3256"/>
      <c r="G51" s="3257"/>
      <c r="H51" s="3258"/>
      <c r="I51" s="3258"/>
      <c r="J51" s="3259"/>
      <c r="K51" s="701"/>
      <c r="L51" s="3182" t="s">
        <v>1457</v>
      </c>
      <c r="M51" s="3133" t="s">
        <v>1458</v>
      </c>
      <c r="N51" s="3133"/>
      <c r="O51" s="3131"/>
      <c r="P51" s="3131"/>
      <c r="Q51" s="576">
        <f>IF(Frialdad_final="-","-",Frialdad_final+O51)</f>
        <v>-30</v>
      </c>
      <c r="R51" s="708"/>
      <c r="S51" s="1183">
        <f>IF(V51="",MAX($S$41:S50)+1,0)</f>
        <v>10</v>
      </c>
      <c r="T51" s="1184">
        <f>IF(V51="",0,MAX($T$41:T50)+1)</f>
        <v>0</v>
      </c>
      <c r="U51" s="1206">
        <f>IF(V51="",Tablas!A10,IF(COUNTIF(V$42:V50,V51)&gt;0,V51&amp;COUNTIF(V$42:V50,V51)+1,V51&amp;1))</f>
        <v>10</v>
      </c>
      <c r="V51" s="3317"/>
      <c r="W51" s="3318"/>
      <c r="X51" s="3318"/>
      <c r="Y51" s="3318"/>
      <c r="Z51" s="3318"/>
      <c r="AA51" s="3319"/>
      <c r="AB51" s="3274"/>
      <c r="AC51" s="3275"/>
      <c r="AD51" s="3275"/>
      <c r="AE51" s="3276"/>
      <c r="AF51" s="3271"/>
      <c r="AG51" s="3272"/>
      <c r="AH51" s="3273"/>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2755" t="str">
        <f t="shared" si="9"/>
        <v/>
      </c>
      <c r="AN51" s="2759"/>
      <c r="AO51" s="2759"/>
      <c r="AP51" s="2759"/>
      <c r="AQ51" s="2759"/>
      <c r="AR51" s="1986"/>
      <c r="AS51" s="1986"/>
      <c r="AT51" s="1986"/>
    </row>
    <row r="52" spans="1:46" ht="12" customHeight="1" x14ac:dyDescent="0.2">
      <c r="A52" s="10"/>
      <c r="B52" s="918"/>
      <c r="C52" s="3263"/>
      <c r="D52" s="3117"/>
      <c r="E52" s="3117"/>
      <c r="F52" s="3264"/>
      <c r="G52" s="3257"/>
      <c r="H52" s="3258"/>
      <c r="I52" s="3258"/>
      <c r="J52" s="3259"/>
      <c r="K52" s="928"/>
      <c r="L52" s="3183"/>
      <c r="M52" s="3107" t="s">
        <v>1459</v>
      </c>
      <c r="N52" s="3107"/>
      <c r="O52" s="3112">
        <f>PenNatural</f>
        <v>0</v>
      </c>
      <c r="P52" s="3112"/>
      <c r="Q52" s="577">
        <f>IF(P.Fuerza_final="-","-",P.Fuerza_final+O52)</f>
        <v>-30</v>
      </c>
      <c r="R52" s="708"/>
      <c r="S52" s="1183">
        <f>IF(V52="",MAX($S$41:S51)+1,0)</f>
        <v>11</v>
      </c>
      <c r="T52" s="1184">
        <f>IF(V52="",0,MAX($T$41:T51)+1)</f>
        <v>0</v>
      </c>
      <c r="U52" s="1206">
        <f>IF(V52="",Tablas!A11,IF(COUNTIF(V$42:V51,V52)&gt;0,V52&amp;COUNTIF(V$42:V51,V52)+1,V52&amp;1))</f>
        <v>11</v>
      </c>
      <c r="V52" s="3317"/>
      <c r="W52" s="3318"/>
      <c r="X52" s="3318"/>
      <c r="Y52" s="3318"/>
      <c r="Z52" s="3318"/>
      <c r="AA52" s="3319"/>
      <c r="AB52" s="3274"/>
      <c r="AC52" s="3275"/>
      <c r="AD52" s="3275"/>
      <c r="AE52" s="3276"/>
      <c r="AF52" s="3271"/>
      <c r="AG52" s="3272"/>
      <c r="AH52" s="3273"/>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2755" t="str">
        <f t="shared" si="9"/>
        <v/>
      </c>
      <c r="AN52" s="2759"/>
      <c r="AO52" s="2759"/>
      <c r="AP52" s="2759"/>
      <c r="AQ52" s="2759"/>
      <c r="AR52" s="1986"/>
      <c r="AS52" s="1986"/>
      <c r="AT52" s="1986"/>
    </row>
    <row r="53" spans="1:46" ht="12" customHeight="1" thickBot="1" x14ac:dyDescent="0.25">
      <c r="A53" s="10"/>
      <c r="B53" s="918"/>
      <c r="C53" s="3308"/>
      <c r="D53" s="3309"/>
      <c r="E53" s="3309"/>
      <c r="F53" s="3310"/>
      <c r="G53" s="3311"/>
      <c r="H53" s="3312"/>
      <c r="I53" s="3312"/>
      <c r="J53" s="3313"/>
      <c r="K53" s="928"/>
      <c r="L53" s="3184"/>
      <c r="M53" s="3236" t="s">
        <v>1462</v>
      </c>
      <c r="N53" s="3236"/>
      <c r="O53" s="3207"/>
      <c r="P53" s="3207"/>
      <c r="Q53" s="578">
        <f>IF(Res.Dolor_final="-","-",Res.Dolor_final+O53)</f>
        <v>-30</v>
      </c>
      <c r="R53" s="708"/>
      <c r="S53" s="1183">
        <f>IF(V53="",MAX($S$41:S52)+1,0)</f>
        <v>12</v>
      </c>
      <c r="T53" s="1184">
        <f>IF(V53="",0,MAX($T$41:T52)+1)</f>
        <v>0</v>
      </c>
      <c r="U53" s="1206">
        <f>IF(V53="",Tablas!A12,IF(COUNTIF(V$42:V52,V53)&gt;0,V53&amp;COUNTIF(V$42:V52,V53)+1,V53&amp;1))</f>
        <v>12</v>
      </c>
      <c r="V53" s="3317"/>
      <c r="W53" s="3318"/>
      <c r="X53" s="3318"/>
      <c r="Y53" s="3318"/>
      <c r="Z53" s="3318"/>
      <c r="AA53" s="3319"/>
      <c r="AB53" s="3274"/>
      <c r="AC53" s="3275"/>
      <c r="AD53" s="3275"/>
      <c r="AE53" s="3276"/>
      <c r="AF53" s="3271"/>
      <c r="AG53" s="3272"/>
      <c r="AH53" s="3273"/>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2755" t="str">
        <f t="shared" si="9"/>
        <v/>
      </c>
      <c r="AN53" s="2759"/>
      <c r="AO53" s="2759"/>
      <c r="AP53" s="2759"/>
      <c r="AQ53" s="2759"/>
      <c r="AR53" s="1986"/>
      <c r="AS53" s="1986"/>
      <c r="AT53" s="1986"/>
    </row>
    <row r="54" spans="1:46" ht="12" customHeight="1" x14ac:dyDescent="0.2">
      <c r="A54" s="10"/>
      <c r="B54" s="918"/>
      <c r="C54" s="3307" t="str">
        <f>IF(F54&lt;=0,"",IF(COUNTIF(Principal!$AS$43:$AS$45,"Trasfondo")&gt;0,"PC exclusivos trasfondo",""))</f>
        <v/>
      </c>
      <c r="D54" s="3307"/>
      <c r="E54" s="3307"/>
      <c r="F54" s="2472">
        <f>-Tablas!$F$234</f>
        <v>0</v>
      </c>
      <c r="G54" s="3307" t="str">
        <f>IF(J54&lt;=0,"",IF(AND(COUNTIF(Principal!$AS$43:$AS$45,"Don")&gt;0,COUNTIF(Principal!$AS$43:$AS$45,"Psiquicos")&gt;0),"PC exclusivos Don/Psíquicos",IF(COUNTIF(Principal!$AS$43:$AS$45,"Don")&gt;0,"PC exclusivos Don",IF(COUNTIF(Principal!$AS$43:$AS$45,"Psiquicos")&gt;0,"PC exclusivos Psíquica",""))))</f>
        <v/>
      </c>
      <c r="H54" s="3307"/>
      <c r="I54" s="3307"/>
      <c r="J54" s="2472">
        <f>-Tablas!E234</f>
        <v>0</v>
      </c>
      <c r="K54" s="701"/>
      <c r="L54" s="3183" t="s">
        <v>1465</v>
      </c>
      <c r="M54" s="3107" t="s">
        <v>1466</v>
      </c>
      <c r="N54" s="3107"/>
      <c r="O54" s="3112"/>
      <c r="P54" s="3112"/>
      <c r="Q54" s="577">
        <f>IF(Cerrajería_final="-","-",Cerrajería_final+O54)</f>
        <v>-30</v>
      </c>
      <c r="R54" s="708"/>
      <c r="S54" s="1183">
        <f>IF(V54="",MAX($S$41:S53)+1,0)</f>
        <v>13</v>
      </c>
      <c r="T54" s="1184">
        <f>IF(V54="",0,MAX($T$41:T53)+1)</f>
        <v>0</v>
      </c>
      <c r="U54" s="1206">
        <f>IF(V54="",Tablas!A13,IF(COUNTIF(V$42:V53,V54)&gt;0,V54&amp;COUNTIF(V$42:V53,V54)+1,V54&amp;1))</f>
        <v>13</v>
      </c>
      <c r="V54" s="3317"/>
      <c r="W54" s="3318"/>
      <c r="X54" s="3318"/>
      <c r="Y54" s="3318"/>
      <c r="Z54" s="3318"/>
      <c r="AA54" s="3319"/>
      <c r="AB54" s="3274"/>
      <c r="AC54" s="3275"/>
      <c r="AD54" s="3275"/>
      <c r="AE54" s="3276"/>
      <c r="AF54" s="3271"/>
      <c r="AG54" s="3272"/>
      <c r="AH54" s="3273"/>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2755" t="str">
        <f t="shared" si="9"/>
        <v/>
      </c>
      <c r="AN54" s="2759"/>
      <c r="AO54" s="2759"/>
      <c r="AP54" s="2759"/>
      <c r="AQ54" s="2759"/>
      <c r="AR54" s="1986"/>
      <c r="AS54" s="1986"/>
      <c r="AT54" s="1986"/>
    </row>
    <row r="55" spans="1:46" ht="12" customHeight="1" thickBot="1" x14ac:dyDescent="0.25">
      <c r="A55" s="10"/>
      <c r="B55" s="918"/>
      <c r="K55" s="701"/>
      <c r="L55" s="3183"/>
      <c r="M55" s="3107" t="s">
        <v>1468</v>
      </c>
      <c r="N55" s="3107"/>
      <c r="O55" s="3112"/>
      <c r="P55" s="3112"/>
      <c r="Q55" s="577">
        <f>IF(Disfraz_final="-","-",Disfraz_final+O55)</f>
        <v>-30</v>
      </c>
      <c r="R55" s="708"/>
      <c r="S55" s="1183">
        <f>IF(V55="",MAX($S$41:S54)+1,0)</f>
        <v>14</v>
      </c>
      <c r="T55" s="1184">
        <f>IF(V55="",0,MAX($T$41:T54)+1)</f>
        <v>0</v>
      </c>
      <c r="U55" s="1206">
        <f>IF(V55="",Tablas!A14,IF(COUNTIF(V$42:V54,V55)&gt;0,V55&amp;COUNTIF(V$42:V54,V55)+1,V55&amp;1))</f>
        <v>14</v>
      </c>
      <c r="V55" s="3317"/>
      <c r="W55" s="3318"/>
      <c r="X55" s="3318"/>
      <c r="Y55" s="3318"/>
      <c r="Z55" s="3318"/>
      <c r="AA55" s="3319"/>
      <c r="AB55" s="3274"/>
      <c r="AC55" s="3275"/>
      <c r="AD55" s="3275"/>
      <c r="AE55" s="3276"/>
      <c r="AF55" s="3271"/>
      <c r="AG55" s="3272"/>
      <c r="AH55" s="3273"/>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2755" t="str">
        <f t="shared" si="9"/>
        <v/>
      </c>
      <c r="AN55" s="2759"/>
      <c r="AO55" s="2759"/>
      <c r="AP55" s="2759"/>
      <c r="AQ55" s="2759"/>
      <c r="AR55" s="1986"/>
      <c r="AS55" s="1986"/>
      <c r="AT55" s="1986"/>
    </row>
    <row r="56" spans="1:46" ht="12" customHeight="1" x14ac:dyDescent="0.2">
      <c r="A56" s="10"/>
      <c r="B56" s="918"/>
      <c r="C56" s="3299" t="s">
        <v>1460</v>
      </c>
      <c r="D56" s="3002"/>
      <c r="E56" s="3003"/>
      <c r="F56" s="1802" t="s">
        <v>1373</v>
      </c>
      <c r="G56" s="1664" t="s">
        <v>1375</v>
      </c>
      <c r="H56" s="1664" t="s">
        <v>1461</v>
      </c>
      <c r="I56" s="1803" t="s">
        <v>1426</v>
      </c>
      <c r="J56" s="1804" t="s">
        <v>1357</v>
      </c>
      <c r="K56" s="701"/>
      <c r="L56" s="3183"/>
      <c r="M56" s="3107" t="s">
        <v>1470</v>
      </c>
      <c r="N56" s="3107"/>
      <c r="O56" s="3112">
        <f>PenNatural</f>
        <v>0</v>
      </c>
      <c r="P56" s="3112"/>
      <c r="Q56" s="577">
        <f>IF(Ocultarse_final="-","-",Ocultarse_final+O56)</f>
        <v>-30</v>
      </c>
      <c r="R56" s="708"/>
      <c r="S56" s="1183">
        <f>IF(V56="",MAX($S$41:S55)+1,0)</f>
        <v>15</v>
      </c>
      <c r="T56" s="1184">
        <f>IF(V56="",0,MAX($T$41:T55)+1)</f>
        <v>0</v>
      </c>
      <c r="U56" s="1206">
        <f>IF(V56="",Tablas!A15,IF(COUNTIF(V$42:V55,V56)&gt;0,V56&amp;COUNTIF(V$42:V55,V56)+1,V56&amp;1))</f>
        <v>15</v>
      </c>
      <c r="V56" s="3317"/>
      <c r="W56" s="3318"/>
      <c r="X56" s="3318"/>
      <c r="Y56" s="3318"/>
      <c r="Z56" s="3318"/>
      <c r="AA56" s="3319"/>
      <c r="AB56" s="3274"/>
      <c r="AC56" s="3275"/>
      <c r="AD56" s="3275"/>
      <c r="AE56" s="3276"/>
      <c r="AF56" s="3271"/>
      <c r="AG56" s="3272"/>
      <c r="AH56" s="3273"/>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2755" t="str">
        <f t="shared" si="9"/>
        <v/>
      </c>
      <c r="AN56" s="2759"/>
      <c r="AO56" s="2759"/>
      <c r="AP56" s="2759"/>
      <c r="AQ56" s="2759"/>
      <c r="AR56" s="1986"/>
      <c r="AS56" s="1986"/>
      <c r="AT56" s="1986"/>
    </row>
    <row r="57" spans="1:46" ht="12" customHeight="1" x14ac:dyDescent="0.2">
      <c r="A57" s="10"/>
      <c r="B57" s="918"/>
      <c r="C57" s="3300"/>
      <c r="D57" s="3360" t="s">
        <v>1463</v>
      </c>
      <c r="E57" s="3361"/>
      <c r="F57" s="1777">
        <f>IF(SUM(PDs!$S$5:$S$14)=0,20,25+(SUM(PDs!$S$5:$S$14)*5))</f>
        <v>30</v>
      </c>
      <c r="G57" s="1778" t="s">
        <v>1464</v>
      </c>
      <c r="H57" s="1778" t="s">
        <v>1464</v>
      </c>
      <c r="I57" s="2590"/>
      <c r="J57" s="1805">
        <f>F57+I57</f>
        <v>30</v>
      </c>
      <c r="K57" s="928"/>
      <c r="L57" s="3183"/>
      <c r="M57" s="3107" t="s">
        <v>1472</v>
      </c>
      <c r="N57" s="3107"/>
      <c r="O57" s="3112"/>
      <c r="P57" s="3112"/>
      <c r="Q57" s="577">
        <f>IF(Robo_final="-","-",Robo_final+O57)</f>
        <v>-30</v>
      </c>
      <c r="R57" s="708"/>
      <c r="S57" s="1183">
        <f>IF(V57="",MAX($S$41:S56)+1,0)</f>
        <v>16</v>
      </c>
      <c r="T57" s="1184">
        <f>IF(V57="",0,MAX($T$41:T56)+1)</f>
        <v>0</v>
      </c>
      <c r="U57" s="1206">
        <f>IF(V57="",Tablas!A16,IF(COUNTIF(V$42:V56,V57)&gt;0,V57&amp;COUNTIF(V$42:V56,V57)+1,V57&amp;1))</f>
        <v>16</v>
      </c>
      <c r="V57" s="3317"/>
      <c r="W57" s="3318"/>
      <c r="X57" s="3318"/>
      <c r="Y57" s="3318"/>
      <c r="Z57" s="3318"/>
      <c r="AA57" s="3319"/>
      <c r="AB57" s="3274"/>
      <c r="AC57" s="3275"/>
      <c r="AD57" s="3275"/>
      <c r="AE57" s="3276"/>
      <c r="AF57" s="3271"/>
      <c r="AG57" s="3272"/>
      <c r="AH57" s="3273"/>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2755" t="str">
        <f t="shared" si="9"/>
        <v/>
      </c>
      <c r="AN57" s="2759"/>
      <c r="AO57" s="2759"/>
      <c r="AP57" s="2759"/>
      <c r="AQ57" s="2759"/>
      <c r="AR57" s="1986"/>
      <c r="AS57" s="1986"/>
      <c r="AT57" s="1986"/>
    </row>
    <row r="58" spans="1:46" ht="12" customHeight="1" x14ac:dyDescent="0.2">
      <c r="A58" s="10"/>
      <c r="B58" s="918"/>
      <c r="C58" s="3300"/>
      <c r="D58" s="3303" t="s">
        <v>1467</v>
      </c>
      <c r="E58" s="3304"/>
      <c r="F58" s="1779">
        <f>$F$57</f>
        <v>30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1"/>
      <c r="J58" s="1618">
        <f>TRUNC((SUM(F58:I58)+IF(Dominiofísico,10,0)+IF(CuerpodeVacío,20,0)+Tablas!$G$259*25+Tablas!$G$260*50+10*Tablas!$P$242+Tablas!$K$1724+Tablas!$K$1790+Tablas!$S$1375+'Tablas psiquica'!$AH$60+Tablas!$K$1724)*IF(Tablas!$G$507&gt;0,0.5,1),0)</f>
        <v>30</v>
      </c>
      <c r="K58" s="701"/>
      <c r="L58" s="3183"/>
      <c r="M58" s="3107" t="s">
        <v>1474</v>
      </c>
      <c r="N58" s="3107"/>
      <c r="O58" s="3112">
        <f>PenNatural-MIN(MAX(LlevarArmadura_final-Combate!H16,0)+Combate!H17,0)+MIN(Combate!H17+MAX(LlevarArmadura_final-Combate!H16,0),ROUNDDOWN(Combate!H17/2,0))</f>
        <v>0</v>
      </c>
      <c r="P58" s="3112"/>
      <c r="Q58" s="577">
        <f>IF(Sigilo_final="-","-",Sigilo_final+O58)</f>
        <v>-15</v>
      </c>
      <c r="R58" s="708"/>
      <c r="S58" s="1183">
        <f>IF(V58="",MAX($S$41:S57)+1,0)</f>
        <v>17</v>
      </c>
      <c r="T58" s="1184">
        <f>IF(V58="",0,MAX($T$41:T57)+1)</f>
        <v>0</v>
      </c>
      <c r="U58" s="1206">
        <f>IF(V58="",Tablas!A17,IF(COUNTIF(V$42:V57,V58)&gt;0,V58&amp;COUNTIF(V$42:V57,V58)+1,V58&amp;1))</f>
        <v>17</v>
      </c>
      <c r="V58" s="3317"/>
      <c r="W58" s="3318"/>
      <c r="X58" s="3318"/>
      <c r="Y58" s="3318"/>
      <c r="Z58" s="3318"/>
      <c r="AA58" s="3319"/>
      <c r="AB58" s="3274"/>
      <c r="AC58" s="3275"/>
      <c r="AD58" s="3275"/>
      <c r="AE58" s="3276"/>
      <c r="AF58" s="3271"/>
      <c r="AG58" s="3272"/>
      <c r="AH58" s="3273"/>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2755" t="str">
        <f t="shared" si="9"/>
        <v/>
      </c>
      <c r="AN58" s="2759"/>
      <c r="AO58" s="2759"/>
      <c r="AP58" s="2759"/>
      <c r="AQ58" s="2759"/>
      <c r="AR58" s="1986"/>
      <c r="AS58" s="1986"/>
      <c r="AT58" s="1986"/>
    </row>
    <row r="59" spans="1:46" ht="12" customHeight="1" x14ac:dyDescent="0.2">
      <c r="A59" s="10"/>
      <c r="B59" s="918"/>
      <c r="C59" s="3300"/>
      <c r="D59" s="3303" t="s">
        <v>1469</v>
      </c>
      <c r="E59" s="3304"/>
      <c r="F59" s="1779">
        <f>$F$57</f>
        <v>30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1"/>
      <c r="J59" s="1618">
        <f>TRUNC((SUM(F59:I59)+IF(CuerpodeVacío,20,0)+Tablas!$G$259*25+Tablas!$G$260*50+Tablas!$K$1724+Tablas!S1376+Tablas!$K$1724)*IF(Tablas!$G$501&gt;0,0.5,1),0)</f>
        <v>30</v>
      </c>
      <c r="K59" s="701"/>
      <c r="L59" s="3183"/>
      <c r="M59" s="3107" t="s">
        <v>1476</v>
      </c>
      <c r="N59" s="3107"/>
      <c r="O59" s="3112"/>
      <c r="P59" s="3112"/>
      <c r="Q59" s="577">
        <f>IF(Trampería_final="-","-",Trampería_final+O59)</f>
        <v>-30</v>
      </c>
      <c r="R59" s="708"/>
      <c r="S59" s="1183">
        <f>IF(V59="",MAX($S$41:S58)+1,0)</f>
        <v>18</v>
      </c>
      <c r="T59" s="1184">
        <f>IF(V59="",0,MAX($T$41:T58)+1)</f>
        <v>0</v>
      </c>
      <c r="U59" s="1206">
        <f>IF(V59="",Tablas!A18,IF(COUNTIF(V$42:V58,V59)&gt;0,V59&amp;COUNTIF(V$42:V58,V59)+1,V59&amp;1))</f>
        <v>18</v>
      </c>
      <c r="V59" s="3317"/>
      <c r="W59" s="3318"/>
      <c r="X59" s="3318"/>
      <c r="Y59" s="3318"/>
      <c r="Z59" s="3318"/>
      <c r="AA59" s="3319"/>
      <c r="AB59" s="3274"/>
      <c r="AC59" s="3275"/>
      <c r="AD59" s="3275"/>
      <c r="AE59" s="3276"/>
      <c r="AF59" s="3271"/>
      <c r="AG59" s="3272"/>
      <c r="AH59" s="3273"/>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2755" t="str">
        <f t="shared" si="9"/>
        <v/>
      </c>
      <c r="AN59" s="2759"/>
      <c r="AO59" s="2759"/>
      <c r="AP59" s="2759"/>
      <c r="AQ59" s="2759"/>
      <c r="AR59" s="1986"/>
      <c r="AS59" s="1986"/>
      <c r="AT59" s="1986"/>
    </row>
    <row r="60" spans="1:46" ht="12" customHeight="1" x14ac:dyDescent="0.2">
      <c r="A60" s="10"/>
      <c r="B60" s="918"/>
      <c r="C60" s="3300"/>
      <c r="D60" s="3303" t="s">
        <v>1471</v>
      </c>
      <c r="E60" s="3304"/>
      <c r="F60" s="1779">
        <f>$F$57</f>
        <v>30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1"/>
      <c r="J60" s="1618">
        <f>TRUNC((SUM(F60:I60)+IF(CuerpodeVacío,20,0)+Tablas!$G$259*25+Tablas!$G$260*50+20*Tablas!$P$255+Tablas!$K$1724+Tablas!$S$1377)*IF(Tablas!$G$502&gt;0,0.5,1),0)</f>
        <v>30</v>
      </c>
      <c r="K60" s="701"/>
      <c r="L60" s="3183"/>
      <c r="M60" s="3107" t="s">
        <v>1477</v>
      </c>
      <c r="N60" s="3107"/>
      <c r="O60" s="3112"/>
      <c r="P60" s="3112"/>
      <c r="Q60" s="577" t="str">
        <f>IF(Venenos_final="-","-",Venenos_final+O60)</f>
        <v>-</v>
      </c>
      <c r="R60" s="708"/>
      <c r="S60" s="1183">
        <f>IF(V60="",MAX($S$41:S59)+1,0)</f>
        <v>19</v>
      </c>
      <c r="T60" s="1184">
        <f>IF(V60="",0,MAX($T$41:T59)+1)</f>
        <v>0</v>
      </c>
      <c r="U60" s="1206">
        <f>IF(V60="",Tablas!A19,IF(COUNTIF(V$42:V59,V60)&gt;0,V60&amp;COUNTIF(V$42:V59,V60)+1,V60&amp;1))</f>
        <v>19</v>
      </c>
      <c r="V60" s="3317"/>
      <c r="W60" s="3318"/>
      <c r="X60" s="3318"/>
      <c r="Y60" s="3318"/>
      <c r="Z60" s="3318"/>
      <c r="AA60" s="3319"/>
      <c r="AB60" s="3274"/>
      <c r="AC60" s="3275"/>
      <c r="AD60" s="3275"/>
      <c r="AE60" s="3276"/>
      <c r="AF60" s="3271"/>
      <c r="AG60" s="3272"/>
      <c r="AH60" s="3273"/>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2755" t="str">
        <f t="shared" si="9"/>
        <v/>
      </c>
      <c r="AN60" s="2759"/>
      <c r="AO60" s="2759"/>
      <c r="AP60" s="2759"/>
      <c r="AQ60" s="2759"/>
      <c r="AR60" s="1986"/>
      <c r="AS60" s="1986"/>
      <c r="AT60" s="1986"/>
    </row>
    <row r="61" spans="1:46" ht="12" customHeight="1" x14ac:dyDescent="0.2">
      <c r="A61" s="10"/>
      <c r="B61" s="918"/>
      <c r="C61" s="3300"/>
      <c r="D61" s="3303" t="s">
        <v>1473</v>
      </c>
      <c r="E61" s="3304"/>
      <c r="F61" s="1779">
        <f>$F$57</f>
        <v>30</v>
      </c>
      <c r="G61" s="1660">
        <f>H17</f>
        <v>15</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1"/>
      <c r="J61" s="1618">
        <f>TRUNC((SUM(F61:I61)+IF(CuerpodeVacío,20,0)+Tablas!$G$273*10+Tablas!$G$261*25+Tablas!$G$262*50+Tablas!$K$1724+Tablas!S1393)*IF(Tablas!G504&gt;0,0.5,1),0)</f>
        <v>45</v>
      </c>
      <c r="K61" s="701"/>
      <c r="L61" s="3182" t="s">
        <v>1478</v>
      </c>
      <c r="M61" s="3133" t="s">
        <v>1479</v>
      </c>
      <c r="N61" s="3133"/>
      <c r="O61" s="3131"/>
      <c r="P61" s="3131"/>
      <c r="Q61" s="576">
        <f>IF(Arte_final="-","-",Arte_final+O61)</f>
        <v>-15</v>
      </c>
      <c r="R61" s="708"/>
      <c r="S61" s="1183">
        <f>IF(V61="",MAX($S$41:S60)+1,0)</f>
        <v>20</v>
      </c>
      <c r="T61" s="1184">
        <f>IF(V61="",0,MAX($T$41:T60)+1)</f>
        <v>0</v>
      </c>
      <c r="U61" s="1206">
        <f>IF(V61="",Tablas!A20,IF(COUNTIF(V$42:V60,V61)&gt;0,V61&amp;COUNTIF(V$42:V60,V61)+1,V61&amp;1))</f>
        <v>20</v>
      </c>
      <c r="V61" s="3317"/>
      <c r="W61" s="3318"/>
      <c r="X61" s="3318"/>
      <c r="Y61" s="3318"/>
      <c r="Z61" s="3318"/>
      <c r="AA61" s="3319"/>
      <c r="AB61" s="3274"/>
      <c r="AC61" s="3275"/>
      <c r="AD61" s="3275"/>
      <c r="AE61" s="3276"/>
      <c r="AF61" s="3271"/>
      <c r="AG61" s="3272"/>
      <c r="AH61" s="3273"/>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2755" t="str">
        <f t="shared" si="9"/>
        <v/>
      </c>
      <c r="AN61" s="2759"/>
      <c r="AO61" s="2759"/>
      <c r="AP61" s="2759"/>
      <c r="AQ61" s="2759"/>
      <c r="AR61" s="1986"/>
      <c r="AS61" s="1986"/>
      <c r="AT61" s="1986"/>
    </row>
    <row r="62" spans="1:46" ht="12" customHeight="1" x14ac:dyDescent="0.2">
      <c r="A62" s="10"/>
      <c r="B62" s="918"/>
      <c r="C62" s="3300"/>
      <c r="D62" s="3315" t="s">
        <v>1475</v>
      </c>
      <c r="E62" s="3316"/>
      <c r="F62" s="1780">
        <f>$F$57</f>
        <v>30</v>
      </c>
      <c r="G62" s="1749">
        <f>H18</f>
        <v>0</v>
      </c>
      <c r="H62" s="174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2"/>
      <c r="J62" s="1806">
        <f>SUM(F62:I62)+IF(CuerpodeVacío,20,0)+Tablas!$G$263*25+Tablas!$G$264*50+Tablas!$K$1724+Tablas!$S$1383+Tablas!$K$1724+'Tablas psiquica'!$AH$8</f>
        <v>30</v>
      </c>
      <c r="K62" s="701"/>
      <c r="L62" s="3183"/>
      <c r="M62" s="3107" t="s">
        <v>1480</v>
      </c>
      <c r="N62" s="3107"/>
      <c r="O62" s="3112">
        <f>PenNatural</f>
        <v>0</v>
      </c>
      <c r="P62" s="3112"/>
      <c r="Q62" s="577" t="str">
        <f>IF(Baile_final="-","-",Baile_final+O62)</f>
        <v>-</v>
      </c>
      <c r="R62" s="708"/>
      <c r="S62" s="1183">
        <f>IF(V62="",MAX($S$41:S61)+1,0)</f>
        <v>21</v>
      </c>
      <c r="T62" s="1184">
        <f>IF(V62="",0,MAX($T$41:T61)+1)</f>
        <v>0</v>
      </c>
      <c r="U62" s="1206">
        <f>IF(V62="",Tablas!A21,IF(COUNTIF(V$42:V61,V62)&gt;0,V62&amp;COUNTIF(V$42:V61,V62)+1,V62&amp;1))</f>
        <v>21</v>
      </c>
      <c r="V62" s="3317"/>
      <c r="W62" s="3318"/>
      <c r="X62" s="3318"/>
      <c r="Y62" s="3318"/>
      <c r="Z62" s="3318"/>
      <c r="AA62" s="3319"/>
      <c r="AB62" s="3274"/>
      <c r="AC62" s="3275"/>
      <c r="AD62" s="3275"/>
      <c r="AE62" s="3276"/>
      <c r="AF62" s="3271"/>
      <c r="AG62" s="3272"/>
      <c r="AH62" s="3273"/>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2755" t="str">
        <f t="shared" si="9"/>
        <v/>
      </c>
      <c r="AN62" s="2759"/>
      <c r="AO62" s="2759"/>
      <c r="AP62" s="2759"/>
      <c r="AQ62" s="2759"/>
      <c r="AR62" s="1986"/>
      <c r="AS62" s="1986"/>
      <c r="AT62" s="1986"/>
    </row>
    <row r="63" spans="1:46" ht="12" customHeight="1" x14ac:dyDescent="0.2">
      <c r="A63" s="10"/>
      <c r="B63" s="918"/>
      <c r="C63" s="3301"/>
      <c r="D63" s="3281" t="s">
        <v>1387</v>
      </c>
      <c r="E63" s="3277"/>
      <c r="F63" s="3277"/>
      <c r="G63" s="3277"/>
      <c r="H63" s="3277"/>
      <c r="I63" s="3277"/>
      <c r="J63" s="3278"/>
      <c r="K63" s="701"/>
      <c r="L63" s="3183"/>
      <c r="M63" s="3107" t="s">
        <v>1481</v>
      </c>
      <c r="N63" s="3107"/>
      <c r="O63" s="3112"/>
      <c r="P63" s="3112"/>
      <c r="Q63" s="577" t="str">
        <f>IF(Forja_final="-","-",Forja_final+O63)</f>
        <v>-</v>
      </c>
      <c r="R63" s="708"/>
      <c r="S63" s="1183">
        <f>IF(V63="",MAX($S$41:S62)+1,0)</f>
        <v>22</v>
      </c>
      <c r="T63" s="1184">
        <f>IF(V63="",0,MAX($T$41:T62)+1)</f>
        <v>0</v>
      </c>
      <c r="U63" s="1206">
        <f>IF(V63="",Tablas!A22,IF(COUNTIF(V$42:V62,V63)&gt;0,V63&amp;COUNTIF(V$42:V62,V63)+1,V63&amp;1))</f>
        <v>22</v>
      </c>
      <c r="V63" s="3317"/>
      <c r="W63" s="3318"/>
      <c r="X63" s="3318"/>
      <c r="Y63" s="3318"/>
      <c r="Z63" s="3318"/>
      <c r="AA63" s="3319"/>
      <c r="AB63" s="3274"/>
      <c r="AC63" s="3275"/>
      <c r="AD63" s="3275"/>
      <c r="AE63" s="3276"/>
      <c r="AF63" s="3271"/>
      <c r="AG63" s="3272"/>
      <c r="AH63" s="3273"/>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2755" t="str">
        <f t="shared" si="9"/>
        <v/>
      </c>
      <c r="AN63" s="2759"/>
      <c r="AO63" s="2759"/>
      <c r="AP63" s="2759"/>
      <c r="AQ63" s="2759"/>
      <c r="AR63" s="1986"/>
      <c r="AS63" s="1986"/>
      <c r="AT63" s="1986"/>
    </row>
    <row r="64" spans="1:46" ht="12" customHeight="1" x14ac:dyDescent="0.2">
      <c r="A64" s="10"/>
      <c r="B64" s="918"/>
      <c r="C64" s="3301"/>
      <c r="D64" s="3281"/>
      <c r="E64" s="3279"/>
      <c r="F64" s="3279"/>
      <c r="G64" s="3279"/>
      <c r="H64" s="3279"/>
      <c r="I64" s="3279"/>
      <c r="J64" s="3280"/>
      <c r="K64" s="701"/>
      <c r="L64" s="3183"/>
      <c r="M64" s="3107" t="s">
        <v>816</v>
      </c>
      <c r="N64" s="3107"/>
      <c r="O64" s="3112"/>
      <c r="P64" s="3112"/>
      <c r="Q64" s="577">
        <f>IF(Runas_final="-","-",Runas_final+O64)</f>
        <v>-30</v>
      </c>
      <c r="R64" s="708"/>
      <c r="S64" s="1183">
        <f>IF(V64="",MAX($S$41:S63)+1,0)</f>
        <v>23</v>
      </c>
      <c r="T64" s="1184">
        <f>IF(V64="",0,MAX($T$41:T63)+1)</f>
        <v>0</v>
      </c>
      <c r="U64" s="1206">
        <f>IF(V64="",Tablas!A23,IF(COUNTIF(V$42:V63,V64)&gt;0,V64&amp;COUNTIF(V$42:V63,V64)+1,V64&amp;1))</f>
        <v>23</v>
      </c>
      <c r="V64" s="3317"/>
      <c r="W64" s="3318"/>
      <c r="X64" s="3318"/>
      <c r="Y64" s="3318"/>
      <c r="Z64" s="3318"/>
      <c r="AA64" s="3319"/>
      <c r="AB64" s="3274"/>
      <c r="AC64" s="3275"/>
      <c r="AD64" s="3275"/>
      <c r="AE64" s="3276"/>
      <c r="AF64" s="3271"/>
      <c r="AG64" s="3272"/>
      <c r="AH64" s="3273"/>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2755" t="str">
        <f t="shared" si="9"/>
        <v/>
      </c>
      <c r="AN64" s="2759"/>
      <c r="AO64" s="2759"/>
      <c r="AP64" s="2759"/>
      <c r="AQ64" s="2759"/>
      <c r="AR64" s="1986"/>
      <c r="AS64" s="1986"/>
      <c r="AT64" s="1986"/>
    </row>
    <row r="65" spans="1:46" ht="12" customHeight="1" thickBot="1" x14ac:dyDescent="0.25">
      <c r="A65" s="10"/>
      <c r="B65" s="918"/>
      <c r="C65" s="3302"/>
      <c r="D65" s="3305"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305"/>
      <c r="F65" s="3305"/>
      <c r="G65" s="3305"/>
      <c r="H65" s="3305"/>
      <c r="I65" s="3305"/>
      <c r="J65" s="3306"/>
      <c r="K65" s="701"/>
      <c r="L65" s="3183"/>
      <c r="M65" s="3107" t="s">
        <v>817</v>
      </c>
      <c r="N65" s="3107"/>
      <c r="O65" s="3112"/>
      <c r="P65" s="3112"/>
      <c r="Q65" s="577">
        <f>IF(Alquimia_final="-","-",Alquimia_final+O65)</f>
        <v>-30</v>
      </c>
      <c r="R65" s="708"/>
      <c r="S65" s="1183">
        <f>IF(V65="",MAX($S$41:S64)+1,0)</f>
        <v>24</v>
      </c>
      <c r="T65" s="1184">
        <f>IF(V65="",0,MAX($T$41:T64)+1)</f>
        <v>0</v>
      </c>
      <c r="U65" s="1206">
        <f>IF(V65="",Tablas!A24,IF(COUNTIF(V$42:V64,V65)&gt;0,V65&amp;COUNTIF(V$42:V64,V65)+1,V65&amp;1))</f>
        <v>24</v>
      </c>
      <c r="V65" s="3317"/>
      <c r="W65" s="3318"/>
      <c r="X65" s="3318"/>
      <c r="Y65" s="3318"/>
      <c r="Z65" s="3318"/>
      <c r="AA65" s="3319"/>
      <c r="AB65" s="3274"/>
      <c r="AC65" s="3275"/>
      <c r="AD65" s="3275"/>
      <c r="AE65" s="3276"/>
      <c r="AF65" s="3271"/>
      <c r="AG65" s="3272"/>
      <c r="AH65" s="3273"/>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2755" t="str">
        <f t="shared" si="9"/>
        <v/>
      </c>
      <c r="AN65" s="2759"/>
      <c r="AO65" s="2759"/>
      <c r="AP65" s="2759"/>
      <c r="AQ65" s="2759"/>
      <c r="AR65" s="1986"/>
      <c r="AS65" s="1986"/>
      <c r="AT65" s="1986"/>
    </row>
    <row r="66" spans="1:46" ht="12" customHeight="1" thickBot="1" x14ac:dyDescent="0.25">
      <c r="A66" s="10"/>
      <c r="B66" s="918"/>
      <c r="K66" s="701"/>
      <c r="L66" s="3183"/>
      <c r="M66" s="3107" t="s">
        <v>818</v>
      </c>
      <c r="N66" s="3107"/>
      <c r="O66" s="3112"/>
      <c r="P66" s="3112"/>
      <c r="Q66" s="577">
        <f>IF(Animismo_final="-","-",Animismo_final+O66)</f>
        <v>-15</v>
      </c>
      <c r="R66" s="708"/>
      <c r="S66" s="1183">
        <f>IF(V66="",MAX($S$41:S65)+1,0)</f>
        <v>25</v>
      </c>
      <c r="T66" s="1184">
        <f>IF(V66="",0,MAX($T$41:T65)+1)</f>
        <v>0</v>
      </c>
      <c r="U66" s="1206">
        <f>IF(V66="",Tablas!A25,IF(COUNTIF(V$42:V65,V66)&gt;0,V66&amp;COUNTIF(V$42:V65,V66)+1,V66&amp;1))</f>
        <v>25</v>
      </c>
      <c r="V66" s="3317"/>
      <c r="W66" s="3318"/>
      <c r="X66" s="3318"/>
      <c r="Y66" s="3318"/>
      <c r="Z66" s="3318"/>
      <c r="AA66" s="3319"/>
      <c r="AB66" s="3274"/>
      <c r="AC66" s="3275"/>
      <c r="AD66" s="3275"/>
      <c r="AE66" s="3276"/>
      <c r="AF66" s="3271"/>
      <c r="AG66" s="3272"/>
      <c r="AH66" s="3273"/>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2755" t="str">
        <f t="shared" si="9"/>
        <v/>
      </c>
      <c r="AN66" s="2759"/>
      <c r="AO66" s="2759"/>
      <c r="AP66" s="2759"/>
      <c r="AQ66" s="2759"/>
      <c r="AR66" s="1986"/>
      <c r="AS66" s="1986"/>
      <c r="AT66" s="1986"/>
    </row>
    <row r="67" spans="1:46" ht="12" customHeight="1" thickBot="1" x14ac:dyDescent="0.25">
      <c r="A67" s="10"/>
      <c r="B67" s="918"/>
      <c r="C67" s="2847" t="s">
        <v>1483</v>
      </c>
      <c r="D67" s="3282"/>
      <c r="E67" s="1807">
        <f>IF(INT=0,0,VLOOKUP(INT,Tabla_Idiomas,2))</f>
        <v>1</v>
      </c>
      <c r="G67" s="3283" t="s">
        <v>9897</v>
      </c>
      <c r="H67" s="3284"/>
      <c r="I67" s="3284"/>
      <c r="J67" s="3285"/>
      <c r="K67" s="701"/>
      <c r="L67" s="3183"/>
      <c r="M67" s="3107" t="s">
        <v>1482</v>
      </c>
      <c r="N67" s="3107"/>
      <c r="O67" s="3112"/>
      <c r="P67" s="3112"/>
      <c r="Q67" s="577" t="str">
        <f>IF(Música_final="-","-",Música_final+O67)</f>
        <v>-</v>
      </c>
      <c r="R67" s="708"/>
      <c r="S67" s="1183">
        <f>IF(V67="",MAX($S$41:S66)+1,0)</f>
        <v>26</v>
      </c>
      <c r="T67" s="1184">
        <f>IF(V67="",0,MAX($T$41:T66)+1)</f>
        <v>0</v>
      </c>
      <c r="U67" s="1206">
        <f>IF(V67="",Tablas!A26,IF(COUNTIF(V$42:V66,V67)&gt;0,V67&amp;COUNTIF(V$42:V66,V67)+1,V67&amp;1))</f>
        <v>26</v>
      </c>
      <c r="V67" s="3317"/>
      <c r="W67" s="3318"/>
      <c r="X67" s="3318"/>
      <c r="Y67" s="3318"/>
      <c r="Z67" s="3318"/>
      <c r="AA67" s="3319"/>
      <c r="AB67" s="3274"/>
      <c r="AC67" s="3275"/>
      <c r="AD67" s="3275"/>
      <c r="AE67" s="3276"/>
      <c r="AF67" s="3271"/>
      <c r="AG67" s="3272"/>
      <c r="AH67" s="3273"/>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2755" t="str">
        <f t="shared" si="9"/>
        <v/>
      </c>
      <c r="AN67" s="2759"/>
      <c r="AO67" s="2759"/>
      <c r="AP67" s="2759"/>
      <c r="AQ67" s="2759"/>
      <c r="AR67" s="1986"/>
      <c r="AS67" s="1986"/>
      <c r="AT67" s="1986"/>
    </row>
    <row r="68" spans="1:46" ht="12" customHeight="1" x14ac:dyDescent="0.2">
      <c r="A68" s="10"/>
      <c r="B68" s="918"/>
      <c r="C68" s="1808" t="s">
        <v>1373</v>
      </c>
      <c r="D68" s="3295"/>
      <c r="E68" s="3296"/>
      <c r="G68" s="3288"/>
      <c r="H68" s="3289"/>
      <c r="I68" s="3289"/>
      <c r="J68" s="3290"/>
      <c r="K68" s="701"/>
      <c r="L68" s="3183"/>
      <c r="M68" s="3107" t="s">
        <v>1484</v>
      </c>
      <c r="N68" s="3107"/>
      <c r="O68" s="3112"/>
      <c r="P68" s="3112"/>
      <c r="Q68" s="577">
        <f>IF(T.Manos_final="-","-",T.Manos_final+O68)</f>
        <v>-30</v>
      </c>
      <c r="R68" s="708"/>
      <c r="S68" s="1183">
        <f>IF(V68="",MAX($S$41:S67)+1,0)</f>
        <v>27</v>
      </c>
      <c r="T68" s="1184">
        <f>IF(V68="",0,MAX($T$41:T67)+1)</f>
        <v>0</v>
      </c>
      <c r="U68" s="1206">
        <f>IF(V68="",Tablas!A27,IF(COUNTIF(V$42:V67,V68)&gt;0,V68&amp;COUNTIF(V$42:V67,V68)+1,V68&amp;1))</f>
        <v>27</v>
      </c>
      <c r="V68" s="3317"/>
      <c r="W68" s="3318"/>
      <c r="X68" s="3318"/>
      <c r="Y68" s="3318"/>
      <c r="Z68" s="3318"/>
      <c r="AA68" s="3319"/>
      <c r="AB68" s="3274"/>
      <c r="AC68" s="3275"/>
      <c r="AD68" s="3275"/>
      <c r="AE68" s="3276"/>
      <c r="AF68" s="3271"/>
      <c r="AG68" s="3272"/>
      <c r="AH68" s="3273"/>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2755" t="str">
        <f t="shared" si="9"/>
        <v/>
      </c>
      <c r="AN68" s="2759"/>
      <c r="AO68" s="2759"/>
      <c r="AP68" s="2759"/>
      <c r="AQ68" s="2759"/>
      <c r="AR68" s="1986"/>
      <c r="AS68" s="1986"/>
      <c r="AT68" s="1986"/>
    </row>
    <row r="69" spans="1:46" ht="12" customHeight="1" x14ac:dyDescent="0.2">
      <c r="A69" s="10"/>
      <c r="B69" s="918"/>
      <c r="C69" s="1809" t="s">
        <v>1486</v>
      </c>
      <c r="D69" s="3286"/>
      <c r="E69" s="3287"/>
      <c r="G69" s="3291"/>
      <c r="H69" s="3292"/>
      <c r="I69" s="3292"/>
      <c r="J69" s="3293"/>
      <c r="K69" s="701"/>
      <c r="L69" s="3183"/>
      <c r="M69" s="3107" t="s">
        <v>6432</v>
      </c>
      <c r="N69" s="3107"/>
      <c r="O69" s="3112"/>
      <c r="P69" s="3112"/>
      <c r="Q69" s="577">
        <f>IF(Caligrafíaritual_final="-","-",Caligrafíaritual_final+O69)</f>
        <v>-30</v>
      </c>
      <c r="R69" s="708"/>
      <c r="S69" s="1183">
        <f>IF(V69="",MAX($S$41:S68)+1,0)</f>
        <v>28</v>
      </c>
      <c r="T69" s="1184">
        <f>IF(V69="",0,MAX($T$41:T68)+1)</f>
        <v>0</v>
      </c>
      <c r="U69" s="1206">
        <f>IF(V69="",Tablas!A28,IF(COUNTIF(V$42:V68,V69)&gt;0,V69&amp;COUNTIF(V$42:V68,V69)+1,V69&amp;1))</f>
        <v>28</v>
      </c>
      <c r="V69" s="3335"/>
      <c r="W69" s="3336"/>
      <c r="X69" s="3336"/>
      <c r="Y69" s="3336"/>
      <c r="Z69" s="3336"/>
      <c r="AA69" s="3337"/>
      <c r="AB69" s="3354"/>
      <c r="AC69" s="3355"/>
      <c r="AD69" s="3355"/>
      <c r="AE69" s="3356"/>
      <c r="AF69" s="3357"/>
      <c r="AG69" s="3358"/>
      <c r="AH69" s="3359"/>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2755" t="str">
        <f t="shared" si="9"/>
        <v/>
      </c>
      <c r="AN69" s="2759"/>
      <c r="AO69" s="2759"/>
      <c r="AP69" s="2759"/>
      <c r="AQ69" s="2759"/>
      <c r="AR69" s="1986"/>
      <c r="AS69" s="1986"/>
      <c r="AT69" s="1986"/>
    </row>
    <row r="70" spans="1:46" ht="12" customHeight="1" x14ac:dyDescent="0.2">
      <c r="A70" s="10"/>
      <c r="B70" s="918"/>
      <c r="C70" s="1800" t="s">
        <v>1487</v>
      </c>
      <c r="D70" s="2920"/>
      <c r="E70" s="3294"/>
      <c r="G70" s="3291"/>
      <c r="H70" s="3292"/>
      <c r="I70" s="3292"/>
      <c r="J70" s="3293"/>
      <c r="K70" s="704"/>
      <c r="L70" s="3183"/>
      <c r="M70" s="3107" t="s">
        <v>6433</v>
      </c>
      <c r="N70" s="3107"/>
      <c r="O70" s="3112"/>
      <c r="P70" s="3112"/>
      <c r="Q70" s="577">
        <f>IF(Orfebrería_final="-","-",Orfebrería_final+O70)</f>
        <v>-30</v>
      </c>
      <c r="R70" s="1022"/>
      <c r="S70" s="1183"/>
      <c r="T70" s="1184"/>
      <c r="U70" s="1205"/>
      <c r="V70" s="3338"/>
      <c r="W70" s="3339"/>
      <c r="X70" s="3339"/>
      <c r="Y70" s="3339"/>
      <c r="Z70" s="3339"/>
      <c r="AA70" s="3339"/>
      <c r="AB70" s="3342"/>
      <c r="AC70" s="3339"/>
      <c r="AD70" s="3339"/>
      <c r="AE70" s="3339"/>
      <c r="AF70" s="3339"/>
      <c r="AG70" s="3339"/>
      <c r="AH70" s="3343"/>
      <c r="AI70" s="3351"/>
      <c r="AJ70" s="3346"/>
      <c r="AK70" s="1607"/>
      <c r="AL70" s="716"/>
      <c r="AM70" s="2755"/>
      <c r="AN70" s="2759"/>
      <c r="AO70" s="2759"/>
      <c r="AP70" s="2759"/>
      <c r="AQ70" s="2759"/>
      <c r="AR70" s="1986"/>
      <c r="AS70" s="1986"/>
      <c r="AT70" s="1986"/>
    </row>
    <row r="71" spans="1:46" ht="12" customHeight="1" x14ac:dyDescent="0.2">
      <c r="A71" s="10"/>
      <c r="B71" s="918"/>
      <c r="C71" s="1800" t="s">
        <v>1488</v>
      </c>
      <c r="D71" s="2920"/>
      <c r="E71" s="3294"/>
      <c r="G71" s="3291"/>
      <c r="H71" s="3292"/>
      <c r="I71" s="3292"/>
      <c r="J71" s="3293"/>
      <c r="K71" s="704"/>
      <c r="L71" s="3183"/>
      <c r="M71" s="3107" t="s">
        <v>6434</v>
      </c>
      <c r="N71" s="3107"/>
      <c r="O71" s="3112"/>
      <c r="P71" s="3112"/>
      <c r="Q71" s="577">
        <f>IF(Confección_final="-","-",Confección_final+O71)</f>
        <v>-30</v>
      </c>
      <c r="R71" s="1022"/>
      <c r="S71" s="1183"/>
      <c r="T71" s="1184"/>
      <c r="U71" s="1205"/>
      <c r="V71" s="3340"/>
      <c r="W71" s="3341"/>
      <c r="X71" s="3341"/>
      <c r="Y71" s="3341"/>
      <c r="Z71" s="3341"/>
      <c r="AA71" s="3341"/>
      <c r="AB71" s="3344"/>
      <c r="AC71" s="3341"/>
      <c r="AD71" s="3341"/>
      <c r="AE71" s="3341"/>
      <c r="AF71" s="3341"/>
      <c r="AG71" s="3341"/>
      <c r="AH71" s="3345"/>
      <c r="AI71" s="3352"/>
      <c r="AJ71" s="3347"/>
      <c r="AK71" s="1607"/>
      <c r="AL71" s="716"/>
      <c r="AM71" s="2755"/>
      <c r="AN71" s="2759"/>
      <c r="AO71" s="2759"/>
      <c r="AP71" s="2759"/>
      <c r="AQ71" s="2759"/>
      <c r="AR71" s="1986"/>
      <c r="AS71" s="1986"/>
      <c r="AT71" s="1986"/>
    </row>
    <row r="72" spans="1:46" ht="12" customHeight="1" thickBot="1" x14ac:dyDescent="0.25">
      <c r="A72" s="10"/>
      <c r="B72" s="918"/>
      <c r="C72" s="1800" t="s">
        <v>1489</v>
      </c>
      <c r="D72" s="2920"/>
      <c r="E72" s="3294"/>
      <c r="F72" s="37"/>
      <c r="G72" s="3291"/>
      <c r="H72" s="3292"/>
      <c r="I72" s="3292"/>
      <c r="J72" s="3293"/>
      <c r="K72" s="701"/>
      <c r="L72" s="3184"/>
      <c r="M72" s="3367" t="s">
        <v>6435</v>
      </c>
      <c r="N72" s="3367"/>
      <c r="O72" s="3207"/>
      <c r="P72" s="3207"/>
      <c r="Q72" s="578">
        <f>IF(Conf.marionetas_final="-","-",Conf.marionetas_final+O72)</f>
        <v>-15</v>
      </c>
      <c r="R72" s="708"/>
      <c r="S72" s="1183"/>
      <c r="T72" s="1184"/>
      <c r="U72" s="1205"/>
      <c r="V72" s="3348" t="str">
        <f>IF(SUM(AJ42:AJ69)&gt;PDs!T5/2,"Exceso de PDs en Poderes","")</f>
        <v/>
      </c>
      <c r="W72" s="3349"/>
      <c r="X72" s="3349"/>
      <c r="Y72" s="3349"/>
      <c r="Z72" s="3349"/>
      <c r="AA72" s="3349"/>
      <c r="AB72" s="3349"/>
      <c r="AC72" s="3349"/>
      <c r="AD72" s="3349"/>
      <c r="AE72" s="3349"/>
      <c r="AF72" s="3349"/>
      <c r="AG72" s="3349"/>
      <c r="AH72" s="3349"/>
      <c r="AI72" s="3349"/>
      <c r="AJ72" s="3350"/>
      <c r="AK72" s="1607"/>
      <c r="AL72" s="716"/>
      <c r="AM72" s="2755"/>
      <c r="AN72" s="2759"/>
      <c r="AO72" s="2759"/>
      <c r="AP72" s="2759"/>
      <c r="AQ72" s="2759"/>
      <c r="AR72" s="1986"/>
      <c r="AS72" s="1986"/>
      <c r="AT72" s="1986"/>
    </row>
    <row r="73" spans="1:46" ht="12" customHeight="1" thickBot="1" x14ac:dyDescent="0.25">
      <c r="A73" s="10"/>
      <c r="B73" s="918"/>
      <c r="C73" s="1800" t="s">
        <v>1490</v>
      </c>
      <c r="D73" s="2920"/>
      <c r="E73" s="3294"/>
      <c r="F73" s="37"/>
      <c r="G73" s="3291"/>
      <c r="H73" s="3292"/>
      <c r="I73" s="3292"/>
      <c r="J73" s="3293"/>
      <c r="K73" s="701"/>
      <c r="L73" s="3183" t="s">
        <v>1485</v>
      </c>
      <c r="M73" s="3107" t="str">
        <f>IF(PDs!E177="","-",PDs!E177)</f>
        <v>Prueba</v>
      </c>
      <c r="N73" s="3107"/>
      <c r="O73" s="3112"/>
      <c r="P73" s="3112"/>
      <c r="Q73" s="577">
        <f>IF(PDs!AA177="-","-",PDs!AA177+O73)</f>
        <v>25</v>
      </c>
      <c r="R73" s="708"/>
      <c r="S73" s="1183"/>
      <c r="T73" s="1184"/>
      <c r="U73" s="1205"/>
      <c r="AK73" s="1607"/>
      <c r="AL73" s="716"/>
      <c r="AM73" s="2755"/>
      <c r="AN73" s="2759"/>
      <c r="AO73" s="2759"/>
      <c r="AP73" s="2759"/>
      <c r="AQ73" s="2759"/>
      <c r="AR73" s="1986"/>
      <c r="AS73" s="1986"/>
      <c r="AT73" s="1986"/>
    </row>
    <row r="74" spans="1:46" ht="12" customHeight="1" x14ac:dyDescent="0.2">
      <c r="A74" s="10"/>
      <c r="B74" s="918"/>
      <c r="C74" s="1800" t="s">
        <v>1491</v>
      </c>
      <c r="D74" s="2920"/>
      <c r="E74" s="3294"/>
      <c r="F74" s="37"/>
      <c r="G74" s="3291"/>
      <c r="H74" s="3292"/>
      <c r="I74" s="3292"/>
      <c r="J74" s="3293"/>
      <c r="K74" s="701"/>
      <c r="L74" s="3183"/>
      <c r="M74" s="3107" t="str">
        <f>IF(PDs!E178="","-",PDs!E178)</f>
        <v>-</v>
      </c>
      <c r="N74" s="3107"/>
      <c r="O74" s="3112"/>
      <c r="P74" s="3112"/>
      <c r="Q74" s="577" t="str">
        <f>IF(PDs!AA178="-","-",PDs!AA178+O74)</f>
        <v>-</v>
      </c>
      <c r="R74" s="708"/>
      <c r="S74" s="1183"/>
      <c r="T74" s="1184"/>
      <c r="U74" s="1205"/>
      <c r="V74" s="3323" t="s">
        <v>9898</v>
      </c>
      <c r="W74" s="3326"/>
      <c r="X74" s="3327"/>
      <c r="Y74" s="3327"/>
      <c r="Z74" s="3327"/>
      <c r="AA74" s="3327"/>
      <c r="AB74" s="3327"/>
      <c r="AC74" s="3327"/>
      <c r="AD74" s="3327"/>
      <c r="AE74" s="3327"/>
      <c r="AF74" s="3327"/>
      <c r="AG74" s="3327"/>
      <c r="AH74" s="3327"/>
      <c r="AI74" s="3327"/>
      <c r="AJ74" s="3328"/>
      <c r="AK74" s="1607"/>
      <c r="AL74" s="716"/>
      <c r="AM74" s="2755"/>
      <c r="AN74" s="2759"/>
      <c r="AO74" s="2759"/>
      <c r="AP74" s="2759"/>
      <c r="AQ74" s="2759"/>
      <c r="AR74" s="1986"/>
      <c r="AS74" s="1986"/>
      <c r="AT74" s="1986"/>
    </row>
    <row r="75" spans="1:46" ht="12" customHeight="1" x14ac:dyDescent="0.2">
      <c r="A75" s="10"/>
      <c r="B75" s="918"/>
      <c r="C75" s="1800" t="s">
        <v>1493</v>
      </c>
      <c r="D75" s="2920"/>
      <c r="E75" s="3294"/>
      <c r="F75" s="37"/>
      <c r="G75" s="3291"/>
      <c r="H75" s="3292"/>
      <c r="I75" s="3292"/>
      <c r="J75" s="3293"/>
      <c r="K75" s="701"/>
      <c r="L75" s="3183"/>
      <c r="M75" s="3107" t="str">
        <f>IF(PDs!E179="","-",PDs!E179)</f>
        <v>-</v>
      </c>
      <c r="N75" s="3107"/>
      <c r="O75" s="3112"/>
      <c r="P75" s="3112"/>
      <c r="Q75" s="577" t="str">
        <f>IF(PDs!AA179="-","-",PDs!AA179+O75)</f>
        <v>-</v>
      </c>
      <c r="R75" s="708"/>
      <c r="S75" s="1183"/>
      <c r="T75" s="1184"/>
      <c r="U75" s="1205"/>
      <c r="V75" s="3324"/>
      <c r="W75" s="3329"/>
      <c r="X75" s="3330"/>
      <c r="Y75" s="3330"/>
      <c r="Z75" s="3330"/>
      <c r="AA75" s="3330"/>
      <c r="AB75" s="3330"/>
      <c r="AC75" s="3330"/>
      <c r="AD75" s="3330"/>
      <c r="AE75" s="3330"/>
      <c r="AF75" s="3330"/>
      <c r="AG75" s="3330"/>
      <c r="AH75" s="3330"/>
      <c r="AI75" s="3330"/>
      <c r="AJ75" s="3331"/>
      <c r="AK75" s="1607"/>
      <c r="AL75" s="716"/>
      <c r="AM75" s="2755"/>
      <c r="AN75" s="2759"/>
      <c r="AO75" s="2759"/>
      <c r="AP75" s="2759"/>
      <c r="AQ75" s="2759"/>
      <c r="AR75" s="1986"/>
      <c r="AS75" s="1986"/>
      <c r="AT75" s="1986"/>
    </row>
    <row r="76" spans="1:46" ht="12" customHeight="1" x14ac:dyDescent="0.2">
      <c r="A76" s="10"/>
      <c r="B76" s="918"/>
      <c r="C76" s="1800" t="s">
        <v>1494</v>
      </c>
      <c r="D76" s="2920"/>
      <c r="E76" s="3294"/>
      <c r="F76" s="37"/>
      <c r="G76" s="3365" t="s">
        <v>1492</v>
      </c>
      <c r="H76" s="3366"/>
      <c r="I76" s="3366"/>
      <c r="J76" s="1811" t="str">
        <f>IF(TipoDeCriatura="Natural",IF(AB14&gt;19,9,IF(AB14&gt;14,6,IF(AB14&gt;9,3,0))),"")</f>
        <v/>
      </c>
      <c r="K76" s="701"/>
      <c r="L76" s="3183"/>
      <c r="M76" s="3107" t="str">
        <f>IF(PDs!E180="","-",PDs!E180)</f>
        <v>-</v>
      </c>
      <c r="N76" s="3107"/>
      <c r="O76" s="3112"/>
      <c r="P76" s="3112"/>
      <c r="Q76" s="577" t="str">
        <f>IF(PDs!AA180="-","-",PDs!AA180+O76)</f>
        <v>-</v>
      </c>
      <c r="R76" s="708"/>
      <c r="S76" s="1183"/>
      <c r="T76" s="1184"/>
      <c r="U76" s="1205"/>
      <c r="V76" s="3324"/>
      <c r="W76" s="3329"/>
      <c r="X76" s="3330"/>
      <c r="Y76" s="3330"/>
      <c r="Z76" s="3330"/>
      <c r="AA76" s="3330"/>
      <c r="AB76" s="3330"/>
      <c r="AC76" s="3330"/>
      <c r="AD76" s="3330"/>
      <c r="AE76" s="3330"/>
      <c r="AF76" s="3330"/>
      <c r="AG76" s="3330"/>
      <c r="AH76" s="3330"/>
      <c r="AI76" s="3330"/>
      <c r="AJ76" s="3331"/>
      <c r="AK76" s="1607"/>
      <c r="AL76" s="716"/>
      <c r="AM76" s="2755"/>
      <c r="AN76" s="2759"/>
      <c r="AO76" s="2759"/>
      <c r="AP76" s="2759"/>
      <c r="AQ76" s="2759"/>
      <c r="AR76" s="1986"/>
      <c r="AS76" s="1986"/>
      <c r="AT76" s="1986"/>
    </row>
    <row r="77" spans="1:46" ht="12" customHeight="1" thickBot="1" x14ac:dyDescent="0.25">
      <c r="A77" s="10"/>
      <c r="B77" s="918"/>
      <c r="C77" s="1810" t="s">
        <v>1495</v>
      </c>
      <c r="D77" s="3363"/>
      <c r="E77" s="3364"/>
      <c r="F77" s="37"/>
      <c r="G77" s="3362" t="s">
        <v>7320</v>
      </c>
      <c r="H77" s="3168"/>
      <c r="I77" s="3168"/>
      <c r="J77" s="1812"/>
      <c r="K77" s="701"/>
      <c r="L77" s="3297"/>
      <c r="M77" s="3298" t="str">
        <f>IF(PDs!E181="","-",PDs!E181)</f>
        <v>-</v>
      </c>
      <c r="N77" s="3298"/>
      <c r="O77" s="3353"/>
      <c r="P77" s="3353"/>
      <c r="Q77" s="579" t="str">
        <f>IF(PDs!AA181="-","-",PDs!AA181+O77)</f>
        <v>-</v>
      </c>
      <c r="R77" s="708"/>
      <c r="S77" s="1183"/>
      <c r="T77" s="1184"/>
      <c r="U77" s="1205"/>
      <c r="V77" s="3325"/>
      <c r="W77" s="3332"/>
      <c r="X77" s="3333"/>
      <c r="Y77" s="3333"/>
      <c r="Z77" s="3333"/>
      <c r="AA77" s="3333"/>
      <c r="AB77" s="3333"/>
      <c r="AC77" s="3333"/>
      <c r="AD77" s="3333"/>
      <c r="AE77" s="3333"/>
      <c r="AF77" s="3333"/>
      <c r="AG77" s="3333"/>
      <c r="AH77" s="3333"/>
      <c r="AI77" s="3333"/>
      <c r="AJ77" s="3334"/>
      <c r="AK77" s="1607"/>
      <c r="AL77" s="716"/>
      <c r="AM77" s="2755"/>
      <c r="AN77" s="2759"/>
      <c r="AO77" s="2759"/>
      <c r="AP77" s="2759"/>
      <c r="AQ77" s="2759"/>
      <c r="AR77" s="1986"/>
      <c r="AS77" s="1986"/>
      <c r="AT77" s="1986"/>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2755"/>
      <c r="AN78" s="2759"/>
      <c r="AO78" s="2759"/>
      <c r="AP78" s="2759"/>
      <c r="AQ78" s="2759"/>
      <c r="AR78" s="1986"/>
      <c r="AS78" s="1986"/>
      <c r="AT78" s="1986"/>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2758" t="s">
        <v>9025</v>
      </c>
      <c r="AN79" s="2759"/>
      <c r="AO79" s="2759"/>
      <c r="AP79" s="2759"/>
      <c r="AQ79" s="2759"/>
      <c r="AR79" s="1986"/>
      <c r="AS79" s="1986"/>
      <c r="AT79" s="1986"/>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topLeftCell="A37" zoomScaleNormal="100" zoomScaleSheetLayoutView="25" workbookViewId="0">
      <selection activeCell="M40" sqref="M40"/>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7"/>
      <c r="AC1" s="953"/>
      <c r="AD1" s="2755" t="s">
        <v>9024</v>
      </c>
      <c r="AE1" s="2764"/>
      <c r="AF1" s="2771"/>
      <c r="AG1" s="2764"/>
      <c r="AH1" s="2764"/>
      <c r="AI1" s="2764"/>
      <c r="AJ1" s="2764"/>
      <c r="AK1" s="2764"/>
      <c r="AL1" s="2759"/>
      <c r="AM1" s="2759"/>
      <c r="AN1" s="2759"/>
      <c r="AO1" s="2759"/>
      <c r="AP1" s="2759"/>
      <c r="AQ1" s="1986"/>
      <c r="AR1" s="1986"/>
      <c r="AS1" s="1986"/>
      <c r="AT1" s="1986"/>
      <c r="AU1" s="1986"/>
      <c r="AV1" s="1986"/>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8"/>
      <c r="AC2" s="1593"/>
      <c r="AD2" s="2755"/>
      <c r="AE2" s="2764"/>
      <c r="AF2" s="2771"/>
      <c r="AG2" s="2764"/>
      <c r="AH2" s="2764"/>
      <c r="AI2" s="2772"/>
      <c r="AJ2" s="2764"/>
      <c r="AK2" s="2764"/>
      <c r="AL2" s="2759"/>
      <c r="AM2" s="2759"/>
      <c r="AN2" s="2759"/>
      <c r="AO2" s="2759"/>
      <c r="AP2" s="2759"/>
      <c r="AQ2" s="1986"/>
      <c r="AR2" s="1986"/>
      <c r="AS2" s="1986"/>
      <c r="AT2" s="1986"/>
      <c r="AU2" s="1986"/>
      <c r="AV2" s="1986"/>
    </row>
    <row r="3" spans="1:48" ht="12" customHeight="1" thickBot="1" x14ac:dyDescent="0.25">
      <c r="A3" s="10"/>
      <c r="B3" s="924"/>
      <c r="AB3" s="1989"/>
      <c r="AC3" s="1593"/>
      <c r="AD3" s="2755"/>
      <c r="AE3" s="2764"/>
      <c r="AF3" s="2771"/>
      <c r="AG3" s="2764"/>
      <c r="AH3" s="2764"/>
      <c r="AI3" s="2764"/>
      <c r="AJ3" s="2764"/>
      <c r="AK3" s="2764"/>
      <c r="AL3" s="2759"/>
      <c r="AM3" s="2759"/>
      <c r="AN3" s="2759"/>
      <c r="AO3" s="2759"/>
      <c r="AP3" s="2759"/>
      <c r="AQ3" s="1986"/>
      <c r="AR3" s="1986"/>
      <c r="AS3" s="1986"/>
      <c r="AT3" s="1986"/>
      <c r="AU3" s="1986"/>
      <c r="AV3" s="1986"/>
    </row>
    <row r="4" spans="1:48" ht="12" customHeight="1" x14ac:dyDescent="0.2">
      <c r="A4" s="10"/>
      <c r="B4" s="924"/>
      <c r="C4" s="2379"/>
      <c r="D4" s="2380"/>
      <c r="E4" s="2380"/>
      <c r="F4" s="2380"/>
      <c r="G4" s="2380"/>
      <c r="H4" s="2380"/>
      <c r="I4" s="584"/>
      <c r="J4" s="584"/>
      <c r="K4" s="584"/>
      <c r="L4" s="585"/>
      <c r="M4" s="586"/>
      <c r="O4" s="3711" t="s">
        <v>1496</v>
      </c>
      <c r="P4" s="3731" t="s">
        <v>1497</v>
      </c>
      <c r="Q4" s="3732"/>
      <c r="R4" s="3733"/>
      <c r="S4" s="1313" t="s">
        <v>1411</v>
      </c>
      <c r="T4" s="1314" t="s">
        <v>1373</v>
      </c>
      <c r="V4" s="3714" t="s">
        <v>8622</v>
      </c>
      <c r="W4" s="3715"/>
      <c r="X4" s="3715"/>
      <c r="Y4" s="3715"/>
      <c r="Z4" s="3715"/>
      <c r="AA4" s="3716"/>
      <c r="AB4" s="1990"/>
      <c r="AC4" s="1593"/>
      <c r="AD4" s="2755"/>
      <c r="AE4" s="2764"/>
      <c r="AF4" s="2771"/>
      <c r="AG4" s="2764"/>
      <c r="AH4" s="2764"/>
      <c r="AI4" s="2764"/>
      <c r="AJ4" s="2764"/>
      <c r="AK4" s="2764"/>
      <c r="AL4" s="2759"/>
      <c r="AM4" s="2759"/>
      <c r="AN4" s="2759"/>
      <c r="AO4" s="2759"/>
      <c r="AP4" s="2759"/>
      <c r="AQ4" s="1986"/>
      <c r="AR4" s="1986"/>
      <c r="AS4" s="1986"/>
      <c r="AT4" s="1986"/>
      <c r="AU4" s="1986"/>
      <c r="AV4" s="1986"/>
    </row>
    <row r="5" spans="1:48" ht="12" customHeight="1" thickBot="1" x14ac:dyDescent="0.25">
      <c r="A5" s="10"/>
      <c r="B5" s="924"/>
      <c r="C5" s="2381"/>
      <c r="D5" s="2382"/>
      <c r="E5" s="2382"/>
      <c r="F5" s="2382"/>
      <c r="G5" s="2382"/>
      <c r="H5" s="2382"/>
      <c r="I5" s="2387" t="s">
        <v>1331</v>
      </c>
      <c r="J5" s="3631" t="str">
        <f>IF(OR(General!$F$22="",General!$F$22=0),"",General!$F$22)</f>
        <v/>
      </c>
      <c r="K5" s="3631"/>
      <c r="L5" s="3631"/>
      <c r="M5" s="587"/>
      <c r="O5" s="3712"/>
      <c r="P5" s="3617" t="s">
        <v>1548</v>
      </c>
      <c r="Q5" s="3618"/>
      <c r="R5" s="3619"/>
      <c r="S5" s="3738">
        <v>1</v>
      </c>
      <c r="T5" s="3736">
        <f>IF($S$5&gt;0,(500+100*$S$5),400)</f>
        <v>600</v>
      </c>
      <c r="V5" s="3717"/>
      <c r="W5" s="3718"/>
      <c r="X5" s="3718"/>
      <c r="Y5" s="3718"/>
      <c r="Z5" s="3718"/>
      <c r="AA5" s="3719"/>
      <c r="AB5" s="1991"/>
      <c r="AC5" s="1593"/>
      <c r="AD5" s="2755" t="s">
        <v>9922</v>
      </c>
      <c r="AE5" s="2755" t="s">
        <v>9940</v>
      </c>
      <c r="AF5" s="2771"/>
      <c r="AG5" s="2764"/>
      <c r="AH5" s="2764"/>
      <c r="AI5" s="2764"/>
      <c r="AJ5" s="2764"/>
      <c r="AK5" s="2764"/>
      <c r="AL5" s="2759"/>
      <c r="AM5" s="2759"/>
      <c r="AN5" s="2759"/>
      <c r="AO5" s="2759"/>
      <c r="AP5" s="2759"/>
      <c r="AQ5" s="1986"/>
      <c r="AR5" s="1986"/>
      <c r="AS5" s="1986"/>
      <c r="AT5" s="1986"/>
      <c r="AU5" s="1986"/>
      <c r="AV5" s="1986"/>
    </row>
    <row r="6" spans="1:48" ht="12" customHeight="1" x14ac:dyDescent="0.2">
      <c r="A6" s="10"/>
      <c r="B6" s="924"/>
      <c r="C6" s="2381"/>
      <c r="D6" s="2382"/>
      <c r="E6" s="2382"/>
      <c r="F6" s="2382"/>
      <c r="G6" s="2382"/>
      <c r="H6" s="2382"/>
      <c r="I6" s="2388"/>
      <c r="J6" s="3631"/>
      <c r="K6" s="3631"/>
      <c r="L6" s="3631"/>
      <c r="M6" s="587"/>
      <c r="O6" s="3712"/>
      <c r="P6" s="3620"/>
      <c r="Q6" s="3621"/>
      <c r="R6" s="3622"/>
      <c r="S6" s="3739"/>
      <c r="T6" s="3737"/>
      <c r="V6" s="3720" t="s">
        <v>8619</v>
      </c>
      <c r="W6" s="3721"/>
      <c r="X6" s="3721"/>
      <c r="Y6" s="1310" t="s">
        <v>1498</v>
      </c>
      <c r="Z6" s="1311" t="s">
        <v>8620</v>
      </c>
      <c r="AA6" s="1312" t="s">
        <v>8621</v>
      </c>
      <c r="AB6" s="1989"/>
      <c r="AC6" s="1593"/>
      <c r="AD6" s="2755" t="str">
        <f>Categoría_1</f>
        <v>Novel</v>
      </c>
      <c r="AE6" s="2764">
        <f>IF(Categoría_1="Novel",S5*5,0)</f>
        <v>5</v>
      </c>
      <c r="AF6" s="2755" t="s">
        <v>9919</v>
      </c>
      <c r="AG6" s="2755" t="s">
        <v>9920</v>
      </c>
      <c r="AH6" s="2755" t="s">
        <v>9921</v>
      </c>
      <c r="AI6" s="2764"/>
      <c r="AJ6" s="2764"/>
      <c r="AK6" s="2764"/>
      <c r="AL6" s="2759"/>
      <c r="AM6" s="2759"/>
      <c r="AN6" s="2759"/>
      <c r="AO6" s="2759"/>
      <c r="AP6" s="2759"/>
      <c r="AQ6" s="1986"/>
      <c r="AR6" s="1986"/>
      <c r="AS6" s="1986"/>
      <c r="AT6" s="1986"/>
      <c r="AU6" s="1986"/>
      <c r="AV6" s="1986"/>
    </row>
    <row r="7" spans="1:48" ht="12" customHeight="1" x14ac:dyDescent="0.2">
      <c r="A7" s="10"/>
      <c r="B7" s="924"/>
      <c r="C7" s="2381"/>
      <c r="D7" s="2382"/>
      <c r="E7" s="2382"/>
      <c r="F7" s="2382"/>
      <c r="G7" s="2382"/>
      <c r="H7" s="2382"/>
      <c r="I7" s="2388"/>
      <c r="J7" s="3631"/>
      <c r="K7" s="3631"/>
      <c r="L7" s="3631"/>
      <c r="M7" s="587"/>
      <c r="O7" s="3712"/>
      <c r="P7" s="3623"/>
      <c r="Q7" s="3624"/>
      <c r="R7" s="3625"/>
      <c r="S7" s="3611"/>
      <c r="T7" s="3615">
        <f>IF($S$7&gt;0,(100*$S$7)+IF(S5=0,100,0),0)</f>
        <v>0</v>
      </c>
      <c r="V7" s="3728" t="str">
        <f>IF(AND(Categoría_1&lt;&gt;"",Categoría_2&lt;&gt;""),Categoría_1&amp;" a "&amp;Categoría_2,"-")</f>
        <v>-</v>
      </c>
      <c r="W7" s="3555"/>
      <c r="X7" s="3555"/>
      <c r="Y7" s="370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22"/>
      <c r="AA7" s="3723"/>
      <c r="AB7" s="1989"/>
      <c r="AC7" s="1593"/>
      <c r="AD7" s="2755">
        <f>Categoría_2</f>
        <v>0</v>
      </c>
      <c r="AE7" s="2764">
        <f>IF(Categoría_2="Novel",S7*5,0)</f>
        <v>0</v>
      </c>
      <c r="AF7" s="2755" t="str">
        <f>VLOOKUP(Categoría_1,Tabla_Categorías,83,FALSE)</f>
        <v>SinSin</v>
      </c>
      <c r="AG7" s="2755" t="e">
        <f>VLOOKUP(Categoría_2,Tabla_Categorías,83,FALSE)</f>
        <v>#N/A</v>
      </c>
      <c r="AH7" s="2755" t="e">
        <f>IF(AF7=AG7,"Misma","")</f>
        <v>#N/A</v>
      </c>
      <c r="AI7" s="2764"/>
      <c r="AJ7" s="2764"/>
      <c r="AK7" s="2764"/>
      <c r="AL7" s="2759"/>
      <c r="AM7" s="2759"/>
      <c r="AN7" s="2759"/>
      <c r="AO7" s="2759"/>
      <c r="AP7" s="2759"/>
      <c r="AQ7" s="1986"/>
      <c r="AR7" s="1986"/>
      <c r="AS7" s="1986"/>
      <c r="AT7" s="1986"/>
      <c r="AU7" s="1986"/>
      <c r="AV7" s="1986"/>
    </row>
    <row r="8" spans="1:48" ht="12" customHeight="1" x14ac:dyDescent="0.2">
      <c r="A8" s="10"/>
      <c r="B8" s="924"/>
      <c r="C8" s="2381"/>
      <c r="D8" s="2382"/>
      <c r="E8" s="2382"/>
      <c r="F8" s="2382"/>
      <c r="G8" s="2382"/>
      <c r="H8" s="2382"/>
      <c r="I8" s="2600" t="s">
        <v>1332</v>
      </c>
      <c r="J8" s="3631" t="str">
        <f>IF(P13=0,IF(P11=0,IF(P9=0,IF(P7=0,IF(P5=0,"",P5),P7),P9),P11),P13)</f>
        <v>Novel</v>
      </c>
      <c r="K8" s="3631"/>
      <c r="L8" s="3631"/>
      <c r="M8" s="587"/>
      <c r="O8" s="3712"/>
      <c r="P8" s="3623"/>
      <c r="Q8" s="3624"/>
      <c r="R8" s="3625"/>
      <c r="S8" s="3611"/>
      <c r="T8" s="3615"/>
      <c r="V8" s="3728"/>
      <c r="W8" s="3555"/>
      <c r="X8" s="3555"/>
      <c r="Y8" s="3704"/>
      <c r="Z8" s="3722"/>
      <c r="AA8" s="3723"/>
      <c r="AB8" s="1989"/>
      <c r="AC8" s="1593"/>
      <c r="AD8" s="2755">
        <f>Categoría_3</f>
        <v>0</v>
      </c>
      <c r="AE8" s="2764">
        <f>IF(Categoría_3="Novel",S9*5,0)</f>
        <v>0</v>
      </c>
      <c r="AF8" s="2771"/>
      <c r="AG8" s="2764"/>
      <c r="AH8" s="2764"/>
      <c r="AI8" s="2764"/>
      <c r="AJ8" s="2764"/>
      <c r="AK8" s="2764"/>
      <c r="AL8" s="2759"/>
      <c r="AM8" s="2759"/>
      <c r="AN8" s="2759"/>
      <c r="AO8" s="2759"/>
      <c r="AP8" s="2759"/>
      <c r="AQ8" s="1986"/>
      <c r="AR8" s="1986"/>
      <c r="AS8" s="1986"/>
      <c r="AT8" s="1986"/>
      <c r="AU8" s="1986"/>
      <c r="AV8" s="1986"/>
    </row>
    <row r="9" spans="1:48" ht="12" customHeight="1" x14ac:dyDescent="0.2">
      <c r="A9" s="10"/>
      <c r="B9" s="924"/>
      <c r="C9" s="2381"/>
      <c r="D9" s="2382"/>
      <c r="E9" s="2382"/>
      <c r="F9" s="2382"/>
      <c r="G9" s="2382"/>
      <c r="H9" s="2382"/>
      <c r="I9" s="1076"/>
      <c r="J9" s="1076"/>
      <c r="K9" s="2389"/>
      <c r="L9" s="2389"/>
      <c r="M9" s="1309"/>
      <c r="O9" s="3712"/>
      <c r="P9" s="3620"/>
      <c r="Q9" s="3621"/>
      <c r="R9" s="3622"/>
      <c r="S9" s="3609"/>
      <c r="T9" s="3616">
        <f>IF($S$9&gt;0,(100*$S$9),0)</f>
        <v>0</v>
      </c>
      <c r="V9" s="3734" t="str">
        <f>IF(AND(Categoría_2&lt;&gt;"",Categoría_3&lt;&gt;""),Categoría_2&amp;" a "&amp;Categoría_3,"-")</f>
        <v>-</v>
      </c>
      <c r="W9" s="3735"/>
      <c r="X9" s="3735"/>
      <c r="Y9" s="370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24"/>
      <c r="AA9" s="3725"/>
      <c r="AB9" s="1989"/>
      <c r="AC9" s="1593"/>
      <c r="AD9" s="2755">
        <f>Categoría_4</f>
        <v>0</v>
      </c>
      <c r="AE9" s="2764">
        <f>IF(Categoría_4="Novel",S11*5,0)</f>
        <v>0</v>
      </c>
      <c r="AF9" s="2771"/>
      <c r="AG9" s="2764"/>
      <c r="AH9" s="2764"/>
      <c r="AI9" s="2764"/>
      <c r="AJ9" s="2764"/>
      <c r="AK9" s="2764"/>
      <c r="AL9" s="2759"/>
      <c r="AM9" s="2759"/>
      <c r="AN9" s="2759"/>
      <c r="AO9" s="2759"/>
      <c r="AP9" s="2759"/>
      <c r="AQ9" s="1986"/>
      <c r="AR9" s="1986"/>
      <c r="AS9" s="1986"/>
      <c r="AT9" s="1986"/>
      <c r="AU9" s="1986"/>
      <c r="AV9" s="1986"/>
    </row>
    <row r="10" spans="1:48" ht="12" customHeight="1" x14ac:dyDescent="0.2">
      <c r="A10" s="10"/>
      <c r="B10" s="924"/>
      <c r="C10" s="2381"/>
      <c r="D10" s="2382"/>
      <c r="E10" s="2382"/>
      <c r="F10" s="2382"/>
      <c r="G10" s="2382"/>
      <c r="H10" s="2382"/>
      <c r="I10" s="2600" t="s">
        <v>1371</v>
      </c>
      <c r="J10" s="3809" t="str">
        <f>Principal!K7</f>
        <v xml:space="preserve">Entre mundos </v>
      </c>
      <c r="K10" s="3809"/>
      <c r="L10" s="3809"/>
      <c r="M10" s="1309"/>
      <c r="O10" s="3712"/>
      <c r="P10" s="3620"/>
      <c r="Q10" s="3621"/>
      <c r="R10" s="3622"/>
      <c r="S10" s="3609"/>
      <c r="T10" s="3616"/>
      <c r="V10" s="3734"/>
      <c r="W10" s="3735"/>
      <c r="X10" s="3735"/>
      <c r="Y10" s="3705"/>
      <c r="Z10" s="3724"/>
      <c r="AA10" s="3725"/>
      <c r="AB10" s="1989"/>
      <c r="AC10" s="1593"/>
      <c r="AD10" s="2755">
        <f>Categoría_5</f>
        <v>0</v>
      </c>
      <c r="AE10" s="2764">
        <f>IF(Categoría_5="Novel",S13*5,0)</f>
        <v>0</v>
      </c>
      <c r="AF10" s="2771"/>
      <c r="AG10" s="2764"/>
      <c r="AH10" s="2764"/>
      <c r="AI10" s="2764"/>
      <c r="AJ10" s="2764"/>
      <c r="AK10" s="2764"/>
      <c r="AL10" s="2759"/>
      <c r="AM10" s="2759"/>
      <c r="AN10" s="2759"/>
      <c r="AO10" s="2759"/>
      <c r="AP10" s="2759"/>
      <c r="AQ10" s="1986"/>
      <c r="AR10" s="1986"/>
      <c r="AS10" s="1986"/>
      <c r="AT10" s="1986"/>
      <c r="AU10" s="1986"/>
      <c r="AV10" s="1986"/>
    </row>
    <row r="11" spans="1:48" ht="12" customHeight="1" x14ac:dyDescent="0.2">
      <c r="A11" s="10"/>
      <c r="B11" s="924"/>
      <c r="C11" s="2381"/>
      <c r="D11" s="2382"/>
      <c r="E11" s="2382"/>
      <c r="F11" s="2382"/>
      <c r="G11" s="2382"/>
      <c r="H11" s="2382"/>
      <c r="I11" s="1076"/>
      <c r="J11" s="3809"/>
      <c r="K11" s="3809"/>
      <c r="L11" s="3809"/>
      <c r="M11" s="1309"/>
      <c r="O11" s="3712"/>
      <c r="P11" s="3623"/>
      <c r="Q11" s="3624"/>
      <c r="R11" s="3625"/>
      <c r="S11" s="3760"/>
      <c r="T11" s="3729">
        <f>IF($S$11&gt;0,(100*$S$11),0)</f>
        <v>0</v>
      </c>
      <c r="V11" s="3728" t="str">
        <f>IF(AND(Categoría_3&lt;&gt;"",Categoría_4&lt;&gt;""),Categoría_3&amp;" a "&amp;Categoría_4,"-")</f>
        <v>-</v>
      </c>
      <c r="W11" s="3555"/>
      <c r="X11" s="3555"/>
      <c r="Y11" s="370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22"/>
      <c r="AA11" s="3723"/>
      <c r="AB11" s="1989"/>
      <c r="AC11" s="1593"/>
      <c r="AD11" s="2755"/>
      <c r="AE11" s="2764"/>
      <c r="AF11" s="2771"/>
      <c r="AG11" s="2764"/>
      <c r="AH11" s="2764"/>
      <c r="AI11" s="2764"/>
      <c r="AJ11" s="2764"/>
      <c r="AK11" s="2764"/>
      <c r="AL11" s="2759"/>
      <c r="AM11" s="2759"/>
      <c r="AN11" s="2759"/>
      <c r="AO11" s="2759"/>
      <c r="AP11" s="2759"/>
      <c r="AQ11" s="1986"/>
      <c r="AR11" s="1986"/>
      <c r="AS11" s="1986"/>
      <c r="AT11" s="1986"/>
      <c r="AU11" s="1986"/>
      <c r="AV11" s="1986"/>
    </row>
    <row r="12" spans="1:48" ht="12" customHeight="1" x14ac:dyDescent="0.2">
      <c r="A12" s="10"/>
      <c r="B12" s="924"/>
      <c r="C12" s="2381"/>
      <c r="D12" s="2382"/>
      <c r="E12" s="2382"/>
      <c r="F12" s="2382"/>
      <c r="G12" s="2382"/>
      <c r="H12" s="2382"/>
      <c r="I12" s="2600" t="s">
        <v>1333</v>
      </c>
      <c r="J12" s="2502" t="str">
        <f>Principal!$O$6</f>
        <v>1</v>
      </c>
      <c r="K12" s="1076"/>
      <c r="L12" s="1076"/>
      <c r="M12" s="2385"/>
      <c r="O12" s="3712"/>
      <c r="P12" s="3623"/>
      <c r="Q12" s="3624"/>
      <c r="R12" s="3625"/>
      <c r="S12" s="3760"/>
      <c r="T12" s="3729"/>
      <c r="V12" s="3728"/>
      <c r="W12" s="3555"/>
      <c r="X12" s="3555"/>
      <c r="Y12" s="3704"/>
      <c r="Z12" s="3722"/>
      <c r="AA12" s="3723"/>
      <c r="AB12" s="1989"/>
      <c r="AC12" s="1593"/>
      <c r="AD12" s="2755"/>
      <c r="AE12" s="2764"/>
      <c r="AF12" s="2771"/>
      <c r="AG12" s="2764"/>
      <c r="AH12" s="2764"/>
      <c r="AI12" s="2764"/>
      <c r="AJ12" s="2764"/>
      <c r="AK12" s="2764"/>
      <c r="AL12" s="2759"/>
      <c r="AM12" s="2759"/>
      <c r="AN12" s="2759"/>
      <c r="AO12" s="2759"/>
      <c r="AP12" s="2759"/>
      <c r="AQ12" s="1986"/>
      <c r="AR12" s="1986"/>
      <c r="AS12" s="1986"/>
      <c r="AT12" s="1986"/>
      <c r="AU12" s="1986"/>
      <c r="AV12" s="1986"/>
    </row>
    <row r="13" spans="1:48" ht="12" customHeight="1" x14ac:dyDescent="0.2">
      <c r="A13" s="10"/>
      <c r="B13" s="924"/>
      <c r="C13" s="2386"/>
      <c r="D13" s="796"/>
      <c r="E13" s="796"/>
      <c r="F13" s="796"/>
      <c r="G13" s="796"/>
      <c r="H13" s="796"/>
      <c r="I13" s="1076"/>
      <c r="J13" s="1076"/>
      <c r="K13" s="1076"/>
      <c r="L13" s="1076"/>
      <c r="M13" s="2385"/>
      <c r="O13" s="3712"/>
      <c r="P13" s="3620"/>
      <c r="Q13" s="3621"/>
      <c r="R13" s="3622"/>
      <c r="S13" s="3609"/>
      <c r="T13" s="3616">
        <f>IF($S$13&gt;0,(100*$S$13),0)</f>
        <v>0</v>
      </c>
      <c r="V13" s="3734" t="str">
        <f>IF(AND(Categoría_4&lt;&gt;"",Categoría_5&lt;&gt;""),Categoría_4&amp;" a "&amp;Categoría_5,"-")</f>
        <v>-</v>
      </c>
      <c r="W13" s="3735"/>
      <c r="X13" s="3735"/>
      <c r="Y13" s="370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24"/>
      <c r="AA13" s="3725"/>
      <c r="AB13" s="1992" t="str">
        <f>IF(Principal!AD18=0,"",VLOOKUP(Principal!AD18,Tabla_HabEsenciales,5,FALSE))</f>
        <v/>
      </c>
      <c r="AC13" s="1593"/>
      <c r="AD13" s="2755"/>
      <c r="AE13" s="2764"/>
      <c r="AF13" s="2771"/>
      <c r="AG13" s="2764"/>
      <c r="AH13" s="2764"/>
      <c r="AI13" s="2764"/>
      <c r="AJ13" s="2764"/>
      <c r="AK13" s="2764"/>
      <c r="AL13" s="2759"/>
      <c r="AM13" s="2759"/>
      <c r="AN13" s="2759"/>
      <c r="AO13" s="2759"/>
      <c r="AP13" s="2759"/>
      <c r="AQ13" s="1986"/>
      <c r="AR13" s="1986"/>
      <c r="AS13" s="1986"/>
      <c r="AT13" s="1986"/>
      <c r="AU13" s="1986"/>
      <c r="AV13" s="1986"/>
    </row>
    <row r="14" spans="1:48" ht="12" customHeight="1" thickBot="1" x14ac:dyDescent="0.25">
      <c r="A14" s="10"/>
      <c r="B14" s="924"/>
      <c r="C14" s="3801" t="s">
        <v>1499</v>
      </c>
      <c r="D14" s="3802"/>
      <c r="E14" s="3802"/>
      <c r="F14" s="3802"/>
      <c r="G14" s="3802"/>
      <c r="H14" s="3802"/>
      <c r="I14" s="3802"/>
      <c r="J14" s="3802"/>
      <c r="K14" s="3802"/>
      <c r="L14" s="3802"/>
      <c r="M14" s="3803"/>
      <c r="O14" s="3712"/>
      <c r="P14" s="3626"/>
      <c r="Q14" s="3627"/>
      <c r="R14" s="3628"/>
      <c r="S14" s="3610"/>
      <c r="T14" s="3730"/>
      <c r="V14" s="3762"/>
      <c r="W14" s="3763"/>
      <c r="X14" s="3763"/>
      <c r="Y14" s="3708"/>
      <c r="Z14" s="3726"/>
      <c r="AA14" s="3727"/>
      <c r="AB14" s="1992" t="str">
        <f>IF(Principal!AD19=0,"",VLOOKUP(Principal!AD19,Tabla_HabEsenciales,5,FALSE))</f>
        <v/>
      </c>
      <c r="AC14" s="953"/>
      <c r="AD14" s="2755"/>
      <c r="AE14" s="2764"/>
      <c r="AF14" s="2771"/>
      <c r="AG14" s="2764"/>
      <c r="AH14" s="2764"/>
      <c r="AI14" s="2764"/>
      <c r="AJ14" s="2764"/>
      <c r="AK14" s="2764"/>
      <c r="AL14" s="2759"/>
      <c r="AM14" s="2759"/>
      <c r="AN14" s="2759"/>
      <c r="AO14" s="2759"/>
      <c r="AP14" s="2759"/>
      <c r="AQ14" s="1986"/>
      <c r="AR14" s="1986"/>
      <c r="AS14" s="1986"/>
      <c r="AT14" s="1986"/>
      <c r="AU14" s="1986"/>
      <c r="AV14" s="1986"/>
    </row>
    <row r="15" spans="1:48" ht="12" customHeight="1" thickBot="1" x14ac:dyDescent="0.25">
      <c r="A15" s="10"/>
      <c r="B15" s="924"/>
      <c r="C15" s="3804"/>
      <c r="D15" s="3018"/>
      <c r="E15" s="3018"/>
      <c r="F15" s="3018"/>
      <c r="G15" s="3018"/>
      <c r="H15" s="3018"/>
      <c r="I15" s="3018"/>
      <c r="J15" s="3018"/>
      <c r="K15" s="3018"/>
      <c r="L15" s="3018"/>
      <c r="M15" s="3805"/>
      <c r="O15" s="3712"/>
      <c r="P15" s="3612" t="s">
        <v>1500</v>
      </c>
      <c r="Q15" s="3613"/>
      <c r="R15" s="3706">
        <f>SUM(S5:S14)</f>
        <v>1</v>
      </c>
      <c r="S15" s="3709" t="s">
        <v>1385</v>
      </c>
      <c r="T15" s="3629">
        <f>SUM(T5:T14)</f>
        <v>600</v>
      </c>
      <c r="V15" s="279"/>
      <c r="W15" s="235"/>
      <c r="X15" s="279"/>
      <c r="Y15" s="279"/>
      <c r="Z15" s="235"/>
      <c r="AA15" s="279"/>
      <c r="AB15" s="1992" t="str">
        <f>IF(Principal!AD20=0,"",VLOOKUP(Principal!AD20,Tabla_HabEsenciales,5,FALSE))</f>
        <v/>
      </c>
      <c r="AC15" s="953"/>
      <c r="AD15" s="2755"/>
      <c r="AE15" s="2764"/>
      <c r="AF15" s="2771"/>
      <c r="AG15" s="2764"/>
      <c r="AH15" s="2764"/>
      <c r="AI15" s="2764"/>
      <c r="AJ15" s="2764"/>
      <c r="AK15" s="2764"/>
      <c r="AL15" s="2759"/>
      <c r="AM15" s="2759"/>
      <c r="AN15" s="2759"/>
      <c r="AO15" s="2759"/>
      <c r="AP15" s="2759"/>
      <c r="AQ15" s="1986"/>
      <c r="AR15" s="1986"/>
      <c r="AS15" s="1986"/>
      <c r="AT15" s="1986"/>
      <c r="AU15" s="1986"/>
      <c r="AV15" s="1986"/>
    </row>
    <row r="16" spans="1:48" ht="12" customHeight="1" thickBot="1" x14ac:dyDescent="0.25">
      <c r="A16" s="10"/>
      <c r="B16" s="924"/>
      <c r="C16" s="3806"/>
      <c r="D16" s="3807"/>
      <c r="E16" s="3807"/>
      <c r="F16" s="3807"/>
      <c r="G16" s="3807"/>
      <c r="H16" s="3807"/>
      <c r="I16" s="3807"/>
      <c r="J16" s="3807"/>
      <c r="K16" s="3807"/>
      <c r="L16" s="3807"/>
      <c r="M16" s="3808"/>
      <c r="O16" s="3713"/>
      <c r="P16" s="3614"/>
      <c r="Q16" s="3212"/>
      <c r="R16" s="3707"/>
      <c r="S16" s="3710"/>
      <c r="T16" s="3630"/>
      <c r="V16" s="1321"/>
      <c r="W16" s="3754" t="s">
        <v>8628</v>
      </c>
      <c r="X16" s="3755"/>
      <c r="Y16" s="3755"/>
      <c r="Z16" s="3756"/>
      <c r="AA16" s="1318">
        <f>MAX(Principal!AJ10+Principal!AJ40-Principal!$AB$27,0)</f>
        <v>0</v>
      </c>
      <c r="AB16" s="1992" t="str">
        <f>IF(Principal!AD21=0,"",VLOOKUP(Principal!AD21,Tabla_HabEsenciales,5,FALSE))</f>
        <v/>
      </c>
      <c r="AC16" s="953"/>
      <c r="AD16" s="2755"/>
      <c r="AE16" s="2764"/>
      <c r="AF16" s="2771"/>
      <c r="AG16" s="2764"/>
      <c r="AH16" s="2764"/>
      <c r="AI16" s="2764"/>
      <c r="AJ16" s="2764"/>
      <c r="AK16" s="2764"/>
      <c r="AL16" s="2759"/>
      <c r="AM16" s="2759"/>
      <c r="AN16" s="2759"/>
      <c r="AO16" s="2759"/>
      <c r="AP16" s="2759"/>
      <c r="AQ16" s="1986"/>
      <c r="AR16" s="1986"/>
      <c r="AS16" s="1986"/>
      <c r="AT16" s="1986"/>
      <c r="AU16" s="1986"/>
      <c r="AV16" s="1986"/>
    </row>
    <row r="17" spans="1:48" ht="12" customHeight="1" x14ac:dyDescent="0.2">
      <c r="A17" s="10"/>
      <c r="B17" s="924"/>
      <c r="V17" s="652"/>
      <c r="W17" s="1315" t="s">
        <v>8623</v>
      </c>
      <c r="X17" s="1316" t="s">
        <v>8624</v>
      </c>
      <c r="Y17" s="1316" t="s">
        <v>8625</v>
      </c>
      <c r="Z17" s="1316" t="s">
        <v>8626</v>
      </c>
      <c r="AA17" s="1317" t="s">
        <v>8627</v>
      </c>
      <c r="AB17" s="1992" t="str">
        <f>IF(Principal!AD22=0,"",VLOOKUP(Principal!AD22,Tabla_HabEsenciales,5,FALSE))</f>
        <v/>
      </c>
      <c r="AC17" s="953"/>
      <c r="AD17" s="2755"/>
      <c r="AE17" s="2764"/>
      <c r="AF17" s="2771"/>
      <c r="AG17" s="2764"/>
      <c r="AH17" s="2764"/>
      <c r="AI17" s="2764"/>
      <c r="AJ17" s="2764"/>
      <c r="AK17" s="2764"/>
      <c r="AL17" s="2759"/>
      <c r="AM17" s="2759"/>
      <c r="AN17" s="2759"/>
      <c r="AO17" s="2759"/>
      <c r="AP17" s="2759"/>
      <c r="AQ17" s="1986"/>
      <c r="AR17" s="1986"/>
      <c r="AS17" s="1986"/>
      <c r="AT17" s="1986"/>
      <c r="AU17" s="1986"/>
      <c r="AV17" s="1986"/>
    </row>
    <row r="18" spans="1:48" ht="12" customHeight="1" thickBot="1" x14ac:dyDescent="0.25">
      <c r="A18" s="10"/>
      <c r="B18" s="924"/>
      <c r="W18" s="1828">
        <f>IF(Principal!AB13&lt;25,PDs!AA16,MAX(0,PDs!AA16-PDs!X18-PDs!Y18-PDs!Z18-PDs!AA18))</f>
        <v>0</v>
      </c>
      <c r="X18" s="1826"/>
      <c r="Y18" s="1827"/>
      <c r="Z18" s="1827"/>
      <c r="AA18" s="1676"/>
      <c r="AB18" s="1992" t="str">
        <f>IF(Principal!AD23=0,"",VLOOKUP(Principal!AD23,Tabla_HabEsenciales,5,FALSE))</f>
        <v/>
      </c>
      <c r="AC18" s="1594"/>
      <c r="AD18" s="2755"/>
      <c r="AE18" s="2755"/>
      <c r="AF18" s="2755"/>
      <c r="AG18" s="2755"/>
      <c r="AH18" s="2755"/>
      <c r="AI18" s="2755"/>
      <c r="AJ18" s="2764"/>
      <c r="AK18" s="2764"/>
      <c r="AL18" s="2759"/>
      <c r="AM18" s="2759"/>
      <c r="AN18" s="2759"/>
      <c r="AO18" s="2759"/>
      <c r="AP18" s="2759"/>
      <c r="AQ18" s="1986"/>
      <c r="AR18" s="1986"/>
      <c r="AS18" s="1986"/>
      <c r="AT18" s="1986"/>
      <c r="AU18" s="1986"/>
      <c r="AV18" s="1986"/>
    </row>
    <row r="19" spans="1:48" ht="12" customHeight="1" x14ac:dyDescent="0.2">
      <c r="A19" s="10"/>
      <c r="B19" s="924"/>
      <c r="L19" s="3514" t="str">
        <f>IF(Categoría_1=0,"",Categoría_1)</f>
        <v>Novel</v>
      </c>
      <c r="M19" s="3515"/>
      <c r="N19" s="3518" t="str">
        <f>IF(Categoría_2=0,"",Categoría_2)</f>
        <v/>
      </c>
      <c r="O19" s="3515"/>
      <c r="P19" s="3518" t="str">
        <f>IF(Categoría_3=0,"",Categoría_3)</f>
        <v/>
      </c>
      <c r="Q19" s="3515"/>
      <c r="R19" s="3518" t="str">
        <f>IF(Categoría_4=0,"",Categoría_4)</f>
        <v/>
      </c>
      <c r="S19" s="3515"/>
      <c r="T19" s="3518" t="str">
        <f>IF(Categoría_5=0,"",Categoría_5)</f>
        <v/>
      </c>
      <c r="U19" s="3551"/>
      <c r="AB19" s="1989"/>
      <c r="AC19" s="1595"/>
      <c r="AD19" s="2755"/>
      <c r="AE19" s="2764"/>
      <c r="AF19" s="2771"/>
      <c r="AG19" s="2764"/>
      <c r="AH19" s="2764"/>
      <c r="AI19" s="2764"/>
      <c r="AJ19" s="2764"/>
      <c r="AK19" s="2764"/>
      <c r="AL19" s="2759"/>
      <c r="AM19" s="2759"/>
      <c r="AN19" s="2759"/>
      <c r="AO19" s="2759"/>
      <c r="AP19" s="2759"/>
      <c r="AQ19" s="1986"/>
      <c r="AR19" s="1986"/>
      <c r="AS19" s="1986"/>
      <c r="AT19" s="1986"/>
      <c r="AU19" s="1986"/>
      <c r="AV19" s="1986"/>
    </row>
    <row r="20" spans="1:48" ht="12" customHeight="1" thickBot="1" x14ac:dyDescent="0.25">
      <c r="A20" s="10"/>
      <c r="B20" s="924"/>
      <c r="L20" s="3757"/>
      <c r="M20" s="3758"/>
      <c r="N20" s="3759"/>
      <c r="O20" s="3758"/>
      <c r="P20" s="3759"/>
      <c r="Q20" s="3758"/>
      <c r="R20" s="3759"/>
      <c r="S20" s="3758"/>
      <c r="T20" s="3759"/>
      <c r="U20" s="3761"/>
      <c r="AB20" s="1989"/>
      <c r="AC20" s="953"/>
      <c r="AD20" s="2755"/>
      <c r="AE20" s="2764"/>
      <c r="AF20" s="2771"/>
      <c r="AG20" s="2764"/>
      <c r="AH20" s="2764"/>
      <c r="AI20" s="2764"/>
      <c r="AJ20" s="2764"/>
      <c r="AK20" s="2764"/>
      <c r="AL20" s="2759"/>
      <c r="AM20" s="2759"/>
      <c r="AN20" s="2759"/>
      <c r="AO20" s="2759"/>
      <c r="AP20" s="2759"/>
      <c r="AQ20" s="1986"/>
      <c r="AR20" s="1986"/>
      <c r="AS20" s="1986"/>
      <c r="AT20" s="1986"/>
      <c r="AU20" s="1986"/>
      <c r="AV20" s="1986"/>
    </row>
    <row r="21" spans="1:48" ht="12" customHeight="1" thickBot="1" x14ac:dyDescent="0.25">
      <c r="A21" s="10"/>
      <c r="B21" s="924"/>
      <c r="C21" s="3478" t="s">
        <v>1402</v>
      </c>
      <c r="D21" s="588" t="s">
        <v>1407</v>
      </c>
      <c r="E21" s="3810" t="s">
        <v>1383</v>
      </c>
      <c r="F21" s="3811"/>
      <c r="G21" s="3811"/>
      <c r="H21" s="3811"/>
      <c r="I21" s="3811"/>
      <c r="J21" s="3811"/>
      <c r="K21" s="3812"/>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599" t="s">
        <v>1497</v>
      </c>
      <c r="Y21" s="3599"/>
      <c r="Z21" s="589" t="s">
        <v>1426</v>
      </c>
      <c r="AA21" s="591" t="s">
        <v>1357</v>
      </c>
      <c r="AB21" s="1989"/>
      <c r="AC21" s="953"/>
      <c r="AD21" s="2755"/>
      <c r="AE21" s="2755"/>
      <c r="AF21" s="2771"/>
      <c r="AG21" s="2764"/>
      <c r="AH21" s="2764"/>
      <c r="AI21" s="2764"/>
      <c r="AJ21" s="2764"/>
      <c r="AK21" s="2764"/>
      <c r="AL21" s="2759"/>
      <c r="AM21" s="2759"/>
      <c r="AN21" s="2759"/>
      <c r="AO21" s="2759"/>
      <c r="AP21" s="2759"/>
      <c r="AQ21" s="1986"/>
      <c r="AR21" s="1986"/>
      <c r="AS21" s="1986"/>
      <c r="AT21" s="1986"/>
      <c r="AU21" s="1986"/>
      <c r="AV21" s="1986"/>
    </row>
    <row r="22" spans="1:48" ht="12" customHeight="1" x14ac:dyDescent="0.2">
      <c r="A22" s="10"/>
      <c r="B22" s="924"/>
      <c r="C22" s="3479"/>
      <c r="D22" s="3660" t="s">
        <v>1373</v>
      </c>
      <c r="E22" s="3813" t="s">
        <v>1501</v>
      </c>
      <c r="F22" s="3155"/>
      <c r="G22" s="3155"/>
      <c r="H22" s="3155"/>
      <c r="I22" s="3155"/>
      <c r="J22" s="3155"/>
      <c r="K22" s="3814"/>
      <c r="L22" s="2248">
        <f>IFERROR(VLOOKUP(L$19,Tabla_Categorías,MATCH("Coste"&amp;$E22,Name_Tabla_Cat,FALSE),FALSE),0)</f>
        <v>2</v>
      </c>
      <c r="M22" s="1677"/>
      <c r="N22" s="2248">
        <f>IFERROR(VLOOKUP(N$19,Tabla_Categorías,MATCH("Coste"&amp;$E22,Name_Tabla_Cat,FALSE),FALSE),0)</f>
        <v>0</v>
      </c>
      <c r="O22" s="1677"/>
      <c r="P22" s="2248">
        <f>IFERROR(VLOOKUP(P$19,Tabla_Categorías,MATCH("Coste"&amp;$E22,Name_Tabla_Cat,FALSE),FALSE),0)</f>
        <v>0</v>
      </c>
      <c r="Q22" s="1677"/>
      <c r="R22" s="2248">
        <f>IFERROR(VLOOKUP(R$19,Tabla_Categorías,MATCH("Coste"&amp;$E22,Name_Tabla_Cat,FALSE),FALSE),0)</f>
        <v>0</v>
      </c>
      <c r="S22" s="1677"/>
      <c r="T22" s="2248">
        <f>IFERROR(VLOOKUP(T$19,Tabla_Categorías,MATCH("Coste"&amp;$E22,Name_Tabla_Cat,FALSE),FALSE),0)</f>
        <v>0</v>
      </c>
      <c r="U22" s="1677"/>
      <c r="V22" s="594">
        <f>IF(L22=0,0,TRUNC(M22/L22,0))+IF(N22=0,0,TRUNC(O22/N22,0))+IF(P22=0,0,TRUNC(Q22/P22,0))+IF(R22=0,0,TRUNC(S22/R22,0))+IF(T22=0,0,TRUNC(U22/T22,0))</f>
        <v>0</v>
      </c>
      <c r="W22" s="595">
        <f>Bono_Des</f>
        <v>0</v>
      </c>
      <c r="X22" s="3003">
        <f>MIN(50,HLOOKUP($E22,Bonos_Cat_Base,2,FALSE)+5*Nivel_Total*Tablas!$G$357)</f>
        <v>0</v>
      </c>
      <c r="Y22" s="3003"/>
      <c r="Z22" s="2548"/>
      <c r="AA22" s="596">
        <f>Z22+X22+V22+W22+Mod_ATA+Mod_Fisico</f>
        <v>0</v>
      </c>
      <c r="AB22" s="1989"/>
      <c r="AC22" s="953"/>
      <c r="AD22" s="2755" t="s">
        <v>7469</v>
      </c>
      <c r="AE22" s="2764"/>
      <c r="AF22" s="2771"/>
      <c r="AG22" s="2764"/>
      <c r="AH22" s="2764"/>
      <c r="AI22" s="2764"/>
      <c r="AJ22" s="2764"/>
      <c r="AK22" s="2764"/>
      <c r="AL22" s="2759"/>
      <c r="AM22" s="2759"/>
      <c r="AN22" s="2759"/>
      <c r="AO22" s="2759"/>
      <c r="AP22" s="2759"/>
      <c r="AQ22" s="1986"/>
      <c r="AR22" s="1986"/>
      <c r="AS22" s="1986"/>
      <c r="AT22" s="1986"/>
      <c r="AU22" s="1986"/>
      <c r="AV22" s="1986"/>
    </row>
    <row r="23" spans="1:48" ht="12" customHeight="1" x14ac:dyDescent="0.2">
      <c r="A23" s="10"/>
      <c r="B23" s="924"/>
      <c r="C23" s="3479"/>
      <c r="D23" s="3573"/>
      <c r="E23" s="3593" t="s">
        <v>1502</v>
      </c>
      <c r="F23" s="3594"/>
      <c r="G23" s="3594"/>
      <c r="H23" s="3594"/>
      <c r="I23" s="3594"/>
      <c r="J23" s="3594"/>
      <c r="K23" s="3595"/>
      <c r="L23" s="2255">
        <f>IFERROR(VLOOKUP(L$19,Tabla_Categorías,MATCH("Coste"&amp;$E23,Name_Tabla_Cat,FALSE),FALSE),0)</f>
        <v>2</v>
      </c>
      <c r="M23" s="1696"/>
      <c r="N23" s="2255">
        <f>IFERROR(VLOOKUP(N$19,Tabla_Categorías,MATCH("Coste"&amp;$E23,Name_Tabla_Cat,FALSE),FALSE),0)</f>
        <v>0</v>
      </c>
      <c r="O23" s="1696"/>
      <c r="P23" s="2255">
        <f>IFERROR(VLOOKUP(P$19,Tabla_Categorías,MATCH("Coste"&amp;$E23,Name_Tabla_Cat,FALSE),FALSE),0)</f>
        <v>0</v>
      </c>
      <c r="Q23" s="1696"/>
      <c r="R23" s="2255">
        <f>IFERROR(VLOOKUP(R$19,Tabla_Categorías,MATCH("Coste"&amp;$E23,Name_Tabla_Cat,FALSE),FALSE),0)</f>
        <v>0</v>
      </c>
      <c r="S23" s="1696"/>
      <c r="T23" s="2255">
        <f>IFERROR(VLOOKUP(T$19,Tabla_Categorías,MATCH("Coste"&amp;$E23,Name_Tabla_Cat,FALSE),FALSE),0)</f>
        <v>0</v>
      </c>
      <c r="U23" s="1696"/>
      <c r="V23" s="63">
        <f>IF(L23=0,0,TRUNC(M23/L23,0))+IF(N23=0,0,TRUNC(O23/N23,0))+IF(P23=0,0,TRUNC(Q23/P23,0))+IF(R23=0,0,TRUNC(S23/R23,0))+IF(T23=0,0,TRUNC(U23/T23,0))</f>
        <v>0</v>
      </c>
      <c r="W23" s="562">
        <f>Bono_Des</f>
        <v>0</v>
      </c>
      <c r="X23" s="3555">
        <f>MIN(50,HLOOKUP($E23,Bonos_Cat_Base,2,FALSE)+5*Nivel_Total*Tablas!$G$358)</f>
        <v>0</v>
      </c>
      <c r="Y23" s="3555"/>
      <c r="Z23" s="2549"/>
      <c r="AA23" s="597">
        <f>W23+X23+V23+Z23+Mod_ATA+Mod_Fisico</f>
        <v>0</v>
      </c>
      <c r="AB23" s="1989"/>
      <c r="AC23" s="953"/>
      <c r="AD23" s="2755">
        <f>MAX(HP_final,HE_final)</f>
        <v>15</v>
      </c>
      <c r="AE23" s="2764"/>
      <c r="AF23" s="2771"/>
      <c r="AG23" s="2764"/>
      <c r="AH23" s="2764"/>
      <c r="AI23" s="2764"/>
      <c r="AJ23" s="2764"/>
      <c r="AK23" s="2764"/>
      <c r="AL23" s="2759"/>
      <c r="AM23" s="2759"/>
      <c r="AN23" s="2759"/>
      <c r="AO23" s="2759"/>
      <c r="AP23" s="2759"/>
      <c r="AQ23" s="1986"/>
      <c r="AR23" s="1986"/>
      <c r="AS23" s="1986"/>
      <c r="AT23" s="1986"/>
      <c r="AU23" s="1986"/>
      <c r="AV23" s="1986"/>
    </row>
    <row r="24" spans="1:48" ht="12" customHeight="1" x14ac:dyDescent="0.2">
      <c r="A24" s="10"/>
      <c r="B24" s="924"/>
      <c r="C24" s="3479"/>
      <c r="D24" s="3573"/>
      <c r="E24" s="3638" t="s">
        <v>1503</v>
      </c>
      <c r="F24" s="3107"/>
      <c r="G24" s="3107"/>
      <c r="H24" s="3107"/>
      <c r="I24" s="3107"/>
      <c r="J24" s="3107"/>
      <c r="K24" s="3639"/>
      <c r="L24" s="2249">
        <f>IFERROR(VLOOKUP(L$19,Tabla_Categorías,MATCH("Coste"&amp;$E24,Name_Tabla_Cat,FALSE),FALSE),0)</f>
        <v>2</v>
      </c>
      <c r="M24" s="1678"/>
      <c r="N24" s="2249">
        <f>IFERROR(VLOOKUP(N$19,Tabla_Categorías,MATCH("Coste"&amp;$E24,Name_Tabla_Cat,FALSE),FALSE),0)</f>
        <v>0</v>
      </c>
      <c r="O24" s="1678"/>
      <c r="P24" s="2249">
        <f>IFERROR(VLOOKUP(P$19,Tabla_Categorías,MATCH("Coste"&amp;$E24,Name_Tabla_Cat,FALSE),FALSE),0)</f>
        <v>0</v>
      </c>
      <c r="Q24" s="1678"/>
      <c r="R24" s="2249">
        <f>IFERROR(VLOOKUP(R$19,Tabla_Categorías,MATCH("Coste"&amp;$E24,Name_Tabla_Cat,FALSE),FALSE),0)</f>
        <v>0</v>
      </c>
      <c r="S24" s="1678"/>
      <c r="T24" s="2249">
        <f>IFERROR(VLOOKUP(T$19,Tabla_Categorías,MATCH("Coste"&amp;$E24,Name_Tabla_Cat,FALSE),FALSE),0)</f>
        <v>0</v>
      </c>
      <c r="U24" s="1678"/>
      <c r="V24" s="61">
        <f>IF(L24=0,0,TRUNC(M24/L24,0))+IF(N24=0,0,TRUNC(O24/N24,0))+IF(P24=0,0,TRUNC(Q24/P24,0))+IF(R24=0,0,TRUNC(S24/R24,0))+IF(T24=0,0,TRUNC(U24/T24,0))</f>
        <v>0</v>
      </c>
      <c r="W24" s="565">
        <f>Bono_Agi</f>
        <v>15</v>
      </c>
      <c r="X24" s="3421">
        <f>MIN(50,HLOOKUP($E24,Bonos_Cat_Base,2,FALSE)+5*Nivel_Total*Tablas!$G$359)</f>
        <v>0</v>
      </c>
      <c r="Y24" s="3421"/>
      <c r="Z24" s="2550"/>
      <c r="AA24" s="598">
        <f>V24+W24+X24+Z24+Mod_ATA+Mod_Fisico</f>
        <v>15</v>
      </c>
      <c r="AB24" s="1989"/>
      <c r="AC24" s="953"/>
      <c r="AD24" s="2755"/>
      <c r="AE24" s="2764"/>
      <c r="AF24" s="2771"/>
      <c r="AG24" s="2764"/>
      <c r="AH24" s="2764"/>
      <c r="AI24" s="2764"/>
      <c r="AJ24" s="2764"/>
      <c r="AK24" s="2764"/>
      <c r="AL24" s="2759"/>
      <c r="AM24" s="2759"/>
      <c r="AN24" s="2759"/>
      <c r="AO24" s="2759"/>
      <c r="AP24" s="2759"/>
      <c r="AQ24" s="1986"/>
      <c r="AR24" s="1986"/>
      <c r="AS24" s="1986"/>
      <c r="AT24" s="1986"/>
      <c r="AU24" s="1986"/>
      <c r="AV24" s="1986"/>
    </row>
    <row r="25" spans="1:48" ht="12" customHeight="1" x14ac:dyDescent="0.2">
      <c r="A25" s="10"/>
      <c r="B25" s="924"/>
      <c r="C25" s="3479"/>
      <c r="D25" s="3573"/>
      <c r="E25" s="3593" t="s">
        <v>1504</v>
      </c>
      <c r="F25" s="3594"/>
      <c r="G25" s="3594"/>
      <c r="H25" s="3594"/>
      <c r="I25" s="3594"/>
      <c r="J25" s="3594"/>
      <c r="K25" s="3595"/>
      <c r="L25" s="2255">
        <f>IFERROR(VLOOKUP(L$19,Tabla_Categorías,MATCH("Coste"&amp;$E25,Name_Tabla_Cat,FALSE),FALSE),0)</f>
        <v>2</v>
      </c>
      <c r="M25" s="1696"/>
      <c r="N25" s="2255">
        <f>IFERROR(VLOOKUP(N$19,Tabla_Categorías,MATCH("Coste"&amp;$E25,Name_Tabla_Cat,FALSE),FALSE),0)</f>
        <v>0</v>
      </c>
      <c r="O25" s="1696"/>
      <c r="P25" s="2255">
        <f>IFERROR(VLOOKUP(P$19,Tabla_Categorías,MATCH("Coste"&amp;$E25,Name_Tabla_Cat,FALSE),FALSE),0)</f>
        <v>0</v>
      </c>
      <c r="Q25" s="1696"/>
      <c r="R25" s="2255">
        <f>IFERROR(VLOOKUP(R$19,Tabla_Categorías,MATCH("Coste"&amp;$E25,Name_Tabla_Cat,FALSE),FALSE),0)</f>
        <v>0</v>
      </c>
      <c r="S25" s="1696"/>
      <c r="T25" s="2255">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768">
        <f>HLOOKUP($E25,Bonos_Cat_Base,2,FALSE)</f>
        <v>0</v>
      </c>
      <c r="Y25" s="3768">
        <f>HLOOKUP($E25,Bonos_Cat_Base,2,FALSE)</f>
        <v>0</v>
      </c>
      <c r="Z25" s="2549"/>
      <c r="AA25" s="599">
        <f>V25+W25+X25+Z25</f>
        <v>0</v>
      </c>
      <c r="AB25" s="1989"/>
      <c r="AC25" s="953"/>
      <c r="AD25" s="2755"/>
      <c r="AE25" s="2764"/>
      <c r="AF25" s="2771"/>
      <c r="AG25" s="2764"/>
      <c r="AH25" s="2764"/>
      <c r="AI25" s="2764"/>
      <c r="AJ25" s="2764"/>
      <c r="AK25" s="2764"/>
      <c r="AL25" s="2759"/>
      <c r="AM25" s="2759"/>
      <c r="AN25" s="2759"/>
      <c r="AO25" s="2759"/>
      <c r="AP25" s="2759"/>
      <c r="AQ25" s="1986"/>
      <c r="AR25" s="1986"/>
      <c r="AS25" s="1986"/>
      <c r="AT25" s="1986"/>
      <c r="AU25" s="1986"/>
      <c r="AV25" s="1986"/>
    </row>
    <row r="26" spans="1:48" ht="12" customHeight="1" x14ac:dyDescent="0.2">
      <c r="A26" s="10"/>
      <c r="B26" s="924"/>
      <c r="C26" s="3479"/>
      <c r="D26" s="3661"/>
      <c r="E26" s="2265"/>
      <c r="F26" s="2266"/>
      <c r="G26" s="2266"/>
      <c r="H26" s="2266"/>
      <c r="I26" s="2266"/>
      <c r="J26" s="2266"/>
      <c r="K26" s="2266"/>
      <c r="L26" s="2266"/>
      <c r="M26" s="2266"/>
      <c r="N26" s="2266"/>
      <c r="O26" s="2266"/>
      <c r="P26" s="2266"/>
      <c r="Q26" s="2266"/>
      <c r="R26" s="2266"/>
      <c r="S26" s="2266"/>
      <c r="T26" s="2266"/>
      <c r="U26" s="2266"/>
      <c r="V26" s="2266"/>
      <c r="W26" s="2266"/>
      <c r="X26" s="2266"/>
      <c r="Y26" s="2266"/>
      <c r="Z26" s="226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9"/>
      <c r="AC26" s="953"/>
      <c r="AD26" s="2755"/>
      <c r="AE26" s="2764"/>
      <c r="AF26" s="2771"/>
      <c r="AG26" s="2764"/>
      <c r="AH26" s="2764"/>
      <c r="AI26" s="2764"/>
      <c r="AJ26" s="2764"/>
      <c r="AK26" s="2764"/>
      <c r="AL26" s="2759"/>
      <c r="AM26" s="2759"/>
      <c r="AN26" s="2759"/>
      <c r="AO26" s="2759"/>
      <c r="AP26" s="2759"/>
      <c r="AQ26" s="1986"/>
      <c r="AR26" s="1986"/>
      <c r="AS26" s="1986"/>
      <c r="AT26" s="1986"/>
      <c r="AU26" s="1986"/>
      <c r="AV26" s="1986"/>
    </row>
    <row r="27" spans="1:48" ht="12" customHeight="1" x14ac:dyDescent="0.2">
      <c r="A27" s="10"/>
      <c r="B27" s="924"/>
      <c r="C27" s="3479"/>
      <c r="D27" s="3572" t="s">
        <v>1505</v>
      </c>
      <c r="E27" s="3636" t="s">
        <v>1381</v>
      </c>
      <c r="F27" s="3511"/>
      <c r="G27" s="3511"/>
      <c r="H27" s="3511"/>
      <c r="I27" s="3511"/>
      <c r="J27" s="3511"/>
      <c r="K27" s="3637"/>
      <c r="L27" s="2250">
        <f t="shared" ref="L27:L32" si="0">IFERROR(VLOOKUP(L$19,Tabla_Categorías,MATCH("CosteKi",Name_Tabla_Cat,FALSE),FALSE),0)</f>
        <v>2</v>
      </c>
      <c r="M27" s="1679"/>
      <c r="N27" s="2250">
        <f t="shared" ref="N27:N32" si="1">IFERROR(VLOOKUP(N$19,Tabla_Categorías,MATCH("CosteKi",Name_Tabla_Cat,FALSE),FALSE),0)</f>
        <v>0</v>
      </c>
      <c r="O27" s="1679"/>
      <c r="P27" s="2250">
        <f t="shared" ref="P27:P32" si="2">IFERROR(VLOOKUP(P$19,Tabla_Categorías,MATCH("CosteKi",Name_Tabla_Cat,FALSE),FALSE),0)</f>
        <v>0</v>
      </c>
      <c r="Q27" s="1679"/>
      <c r="R27" s="2250">
        <f t="shared" ref="R27:R32" si="3">IFERROR(VLOOKUP(R$19,Tabla_Categorías,MATCH("CosteKi",Name_Tabla_Cat,FALSE),FALSE),0)</f>
        <v>0</v>
      </c>
      <c r="S27" s="1679"/>
      <c r="T27" s="2250">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10</v>
      </c>
      <c r="X27" s="3776" t="s">
        <v>1464</v>
      </c>
      <c r="Y27" s="3776"/>
      <c r="Z27" s="2551"/>
      <c r="AA27" s="601">
        <f t="shared" ref="AA27:AA32" si="6">W27+V27+Z27</f>
        <v>10</v>
      </c>
      <c r="AB27" s="1989"/>
      <c r="AC27" s="953"/>
      <c r="AD27" s="2755"/>
      <c r="AE27" s="2764"/>
      <c r="AF27" s="2771"/>
      <c r="AG27" s="2764"/>
      <c r="AH27" s="2764"/>
      <c r="AI27" s="2764"/>
      <c r="AJ27" s="2764"/>
      <c r="AK27" s="2764"/>
      <c r="AL27" s="2759"/>
      <c r="AM27" s="2759"/>
      <c r="AN27" s="2759"/>
      <c r="AO27" s="2759"/>
      <c r="AP27" s="2759"/>
      <c r="AQ27" s="1986"/>
      <c r="AR27" s="1986"/>
      <c r="AS27" s="1986"/>
      <c r="AT27" s="1986"/>
      <c r="AU27" s="1986"/>
      <c r="AV27" s="1986"/>
    </row>
    <row r="28" spans="1:48" ht="12" customHeight="1" x14ac:dyDescent="0.2">
      <c r="A28" s="10"/>
      <c r="B28" s="924"/>
      <c r="C28" s="3479"/>
      <c r="D28" s="3573"/>
      <c r="E28" s="3593" t="s">
        <v>1506</v>
      </c>
      <c r="F28" s="3594"/>
      <c r="G28" s="3594"/>
      <c r="H28" s="3594"/>
      <c r="I28" s="3594"/>
      <c r="J28" s="3594"/>
      <c r="K28" s="3595"/>
      <c r="L28" s="2256">
        <f t="shared" si="0"/>
        <v>2</v>
      </c>
      <c r="M28" s="1696"/>
      <c r="N28" s="2256">
        <f t="shared" si="1"/>
        <v>0</v>
      </c>
      <c r="O28" s="1696"/>
      <c r="P28" s="2256">
        <f t="shared" si="2"/>
        <v>0</v>
      </c>
      <c r="Q28" s="1696"/>
      <c r="R28" s="2256">
        <f t="shared" si="3"/>
        <v>0</v>
      </c>
      <c r="S28" s="1696"/>
      <c r="T28" s="2256">
        <f t="shared" si="4"/>
        <v>0</v>
      </c>
      <c r="U28" s="1696"/>
      <c r="V28" s="481">
        <f t="shared" si="5"/>
        <v>0</v>
      </c>
      <c r="W28" s="279">
        <f>CON+IF(CON-10&gt;0,CON-10,0)</f>
        <v>5</v>
      </c>
      <c r="X28" s="3555" t="s">
        <v>1464</v>
      </c>
      <c r="Y28" s="3555"/>
      <c r="Z28" s="2549"/>
      <c r="AA28" s="602">
        <f t="shared" si="6"/>
        <v>5</v>
      </c>
      <c r="AB28" s="1989"/>
      <c r="AC28" s="953"/>
      <c r="AD28" s="2755"/>
      <c r="AE28" s="2764"/>
      <c r="AF28" s="2771"/>
      <c r="AG28" s="2764"/>
      <c r="AH28" s="2764"/>
      <c r="AI28" s="2764"/>
      <c r="AJ28" s="2764"/>
      <c r="AK28" s="2764"/>
      <c r="AL28" s="2759"/>
      <c r="AM28" s="2759"/>
      <c r="AN28" s="2759"/>
      <c r="AO28" s="2759"/>
      <c r="AP28" s="2759"/>
      <c r="AQ28" s="1986"/>
      <c r="AR28" s="1986"/>
      <c r="AS28" s="1986"/>
      <c r="AT28" s="1986"/>
      <c r="AU28" s="1986"/>
      <c r="AV28" s="1986"/>
    </row>
    <row r="29" spans="1:48" ht="12" customHeight="1" x14ac:dyDescent="0.2">
      <c r="A29" s="10"/>
      <c r="B29" s="924"/>
      <c r="C29" s="3479"/>
      <c r="D29" s="3573"/>
      <c r="E29" s="3638" t="s">
        <v>1386</v>
      </c>
      <c r="F29" s="3107"/>
      <c r="G29" s="3107"/>
      <c r="H29" s="3107"/>
      <c r="I29" s="3107"/>
      <c r="J29" s="3107"/>
      <c r="K29" s="3639"/>
      <c r="L29" s="2251">
        <f t="shared" si="0"/>
        <v>2</v>
      </c>
      <c r="M29" s="1678"/>
      <c r="N29" s="2251">
        <f t="shared" si="1"/>
        <v>0</v>
      </c>
      <c r="O29" s="1678"/>
      <c r="P29" s="2251">
        <f t="shared" si="2"/>
        <v>0</v>
      </c>
      <c r="Q29" s="1678"/>
      <c r="R29" s="2251">
        <f t="shared" si="3"/>
        <v>0</v>
      </c>
      <c r="S29" s="1678"/>
      <c r="T29" s="2251">
        <f t="shared" si="4"/>
        <v>0</v>
      </c>
      <c r="U29" s="1678"/>
      <c r="V29" s="482">
        <f t="shared" si="5"/>
        <v>0</v>
      </c>
      <c r="W29" s="82">
        <f>DES+IF(DES-10&gt;0,DES-10,0)</f>
        <v>5</v>
      </c>
      <c r="X29" s="3421" t="s">
        <v>1464</v>
      </c>
      <c r="Y29" s="3421"/>
      <c r="Z29" s="2550"/>
      <c r="AA29" s="603">
        <f t="shared" si="6"/>
        <v>5</v>
      </c>
      <c r="AB29" s="1989"/>
      <c r="AC29" s="953"/>
      <c r="AD29" s="2755"/>
      <c r="AE29" s="2764"/>
      <c r="AF29" s="2771"/>
      <c r="AG29" s="2764"/>
      <c r="AH29" s="2764"/>
      <c r="AI29" s="2764"/>
      <c r="AJ29" s="2764"/>
      <c r="AK29" s="2764"/>
      <c r="AL29" s="2759"/>
      <c r="AM29" s="2759"/>
      <c r="AN29" s="2759"/>
      <c r="AO29" s="2759"/>
      <c r="AP29" s="2759"/>
      <c r="AQ29" s="1986"/>
      <c r="AR29" s="1986"/>
      <c r="AS29" s="1986"/>
      <c r="AT29" s="1986"/>
      <c r="AU29" s="1986"/>
      <c r="AV29" s="1986"/>
    </row>
    <row r="30" spans="1:48" ht="12" customHeight="1" x14ac:dyDescent="0.2">
      <c r="A30" s="10"/>
      <c r="B30" s="924"/>
      <c r="C30" s="3479"/>
      <c r="D30" s="3573"/>
      <c r="E30" s="3593" t="s">
        <v>1391</v>
      </c>
      <c r="F30" s="3594"/>
      <c r="G30" s="3594"/>
      <c r="H30" s="3594"/>
      <c r="I30" s="3594"/>
      <c r="J30" s="3594"/>
      <c r="K30" s="3595"/>
      <c r="L30" s="2256">
        <f t="shared" si="0"/>
        <v>2</v>
      </c>
      <c r="M30" s="1696"/>
      <c r="N30" s="2256">
        <f t="shared" si="1"/>
        <v>0</v>
      </c>
      <c r="O30" s="1696"/>
      <c r="P30" s="2256">
        <f t="shared" si="2"/>
        <v>0</v>
      </c>
      <c r="Q30" s="1696"/>
      <c r="R30" s="2256">
        <f t="shared" si="3"/>
        <v>0</v>
      </c>
      <c r="S30" s="1696"/>
      <c r="T30" s="2256">
        <f t="shared" si="4"/>
        <v>0</v>
      </c>
      <c r="U30" s="1696"/>
      <c r="V30" s="481">
        <f t="shared" si="5"/>
        <v>0</v>
      </c>
      <c r="W30" s="279">
        <f>FUE+IF(FUE-10&gt;0,FUE-10,0)</f>
        <v>5</v>
      </c>
      <c r="X30" s="3555" t="s">
        <v>1464</v>
      </c>
      <c r="Y30" s="3555"/>
      <c r="Z30" s="2549"/>
      <c r="AA30" s="602">
        <f t="shared" si="6"/>
        <v>5</v>
      </c>
      <c r="AB30" s="1989"/>
      <c r="AC30" s="953"/>
      <c r="AD30" s="2755"/>
      <c r="AE30" s="2764"/>
      <c r="AF30" s="2771"/>
      <c r="AG30" s="2764"/>
      <c r="AH30" s="2764"/>
      <c r="AI30" s="2764"/>
      <c r="AJ30" s="2764"/>
      <c r="AK30" s="2764"/>
      <c r="AL30" s="2759"/>
      <c r="AM30" s="2759"/>
      <c r="AN30" s="2759"/>
      <c r="AO30" s="2759"/>
      <c r="AP30" s="2759"/>
      <c r="AQ30" s="1986"/>
      <c r="AR30" s="1986"/>
      <c r="AS30" s="1986"/>
      <c r="AT30" s="1986"/>
      <c r="AU30" s="1986"/>
      <c r="AV30" s="1986"/>
    </row>
    <row r="31" spans="1:48" ht="12" customHeight="1" x14ac:dyDescent="0.2">
      <c r="A31" s="10"/>
      <c r="B31" s="924"/>
      <c r="C31" s="3479"/>
      <c r="D31" s="3573"/>
      <c r="E31" s="3638" t="s">
        <v>1399</v>
      </c>
      <c r="F31" s="3107"/>
      <c r="G31" s="3107"/>
      <c r="H31" s="3107"/>
      <c r="I31" s="3107"/>
      <c r="J31" s="3107"/>
      <c r="K31" s="3639"/>
      <c r="L31" s="2251">
        <f t="shared" si="0"/>
        <v>2</v>
      </c>
      <c r="M31" s="1678"/>
      <c r="N31" s="2251">
        <f t="shared" si="1"/>
        <v>0</v>
      </c>
      <c r="O31" s="1678"/>
      <c r="P31" s="2251">
        <f t="shared" si="2"/>
        <v>0</v>
      </c>
      <c r="Q31" s="1678"/>
      <c r="R31" s="2251">
        <f t="shared" si="3"/>
        <v>0</v>
      </c>
      <c r="S31" s="1678"/>
      <c r="T31" s="2251">
        <f t="shared" si="4"/>
        <v>0</v>
      </c>
      <c r="U31" s="1678"/>
      <c r="V31" s="482">
        <f t="shared" si="5"/>
        <v>0</v>
      </c>
      <c r="W31" s="82">
        <f>POD+IF(POD-10&gt;0,POD-10,0)</f>
        <v>10</v>
      </c>
      <c r="X31" s="3421" t="s">
        <v>1464</v>
      </c>
      <c r="Y31" s="3421"/>
      <c r="Z31" s="2550"/>
      <c r="AA31" s="603">
        <f t="shared" si="6"/>
        <v>10</v>
      </c>
      <c r="AB31" s="1989"/>
      <c r="AC31" s="953"/>
      <c r="AD31" s="2755"/>
      <c r="AE31" s="2764"/>
      <c r="AF31" s="2771"/>
      <c r="AG31" s="2764"/>
      <c r="AH31" s="2764"/>
      <c r="AI31" s="2764"/>
      <c r="AJ31" s="2764"/>
      <c r="AK31" s="2764"/>
      <c r="AL31" s="2759"/>
      <c r="AM31" s="2759"/>
      <c r="AN31" s="2759"/>
      <c r="AO31" s="2759"/>
      <c r="AP31" s="2759"/>
      <c r="AQ31" s="1986"/>
      <c r="AR31" s="1986"/>
      <c r="AS31" s="1986"/>
      <c r="AT31" s="1986"/>
      <c r="AU31" s="1986"/>
      <c r="AV31" s="1986"/>
    </row>
    <row r="32" spans="1:48" ht="12" customHeight="1" x14ac:dyDescent="0.2">
      <c r="A32" s="10"/>
      <c r="B32" s="924"/>
      <c r="C32" s="3479"/>
      <c r="D32" s="3573"/>
      <c r="E32" s="3593" t="s">
        <v>1400</v>
      </c>
      <c r="F32" s="3594"/>
      <c r="G32" s="3594"/>
      <c r="H32" s="3594"/>
      <c r="I32" s="3594"/>
      <c r="J32" s="3594"/>
      <c r="K32" s="3595"/>
      <c r="L32" s="2257">
        <f t="shared" si="0"/>
        <v>2</v>
      </c>
      <c r="M32" s="1697"/>
      <c r="N32" s="2257">
        <f t="shared" si="1"/>
        <v>0</v>
      </c>
      <c r="O32" s="1697"/>
      <c r="P32" s="2257">
        <f t="shared" si="2"/>
        <v>0</v>
      </c>
      <c r="Q32" s="1697"/>
      <c r="R32" s="2257">
        <f t="shared" si="3"/>
        <v>0</v>
      </c>
      <c r="S32" s="1697"/>
      <c r="T32" s="2257">
        <f t="shared" si="4"/>
        <v>0</v>
      </c>
      <c r="U32" s="1697"/>
      <c r="V32" s="483">
        <f t="shared" si="5"/>
        <v>0</v>
      </c>
      <c r="W32" s="479">
        <f>VOL+IF(VOL-10&gt;0,VOL-10,0)</f>
        <v>5</v>
      </c>
      <c r="X32" s="3768" t="s">
        <v>1464</v>
      </c>
      <c r="Y32" s="3768"/>
      <c r="Z32" s="2552"/>
      <c r="AA32" s="604">
        <f t="shared" si="6"/>
        <v>5</v>
      </c>
      <c r="AB32" s="1989"/>
      <c r="AC32" s="953"/>
      <c r="AD32" s="2755" t="s">
        <v>9896</v>
      </c>
      <c r="AE32" s="2764"/>
      <c r="AF32" s="2771"/>
      <c r="AG32" s="2764"/>
      <c r="AH32" s="2764"/>
      <c r="AI32" s="2764"/>
      <c r="AJ32" s="2764"/>
      <c r="AK32" s="2764"/>
      <c r="AL32" s="2759"/>
      <c r="AM32" s="2759"/>
      <c r="AN32" s="2759"/>
      <c r="AO32" s="2759"/>
      <c r="AP32" s="2759"/>
      <c r="AQ32" s="1986"/>
      <c r="AR32" s="1986"/>
      <c r="AS32" s="1986"/>
      <c r="AT32" s="1986"/>
      <c r="AU32" s="1986"/>
      <c r="AV32" s="1986"/>
    </row>
    <row r="33" spans="1:48" ht="12" customHeight="1" x14ac:dyDescent="0.2">
      <c r="A33" s="10"/>
      <c r="B33" s="924"/>
      <c r="C33" s="3479"/>
      <c r="D33" s="3662" t="s">
        <v>1507</v>
      </c>
      <c r="E33" s="3636" t="s">
        <v>1381</v>
      </c>
      <c r="F33" s="3511"/>
      <c r="G33" s="3511"/>
      <c r="H33" s="3511"/>
      <c r="I33" s="3511"/>
      <c r="J33" s="3511"/>
      <c r="K33" s="3650"/>
      <c r="L33" s="2252">
        <f t="shared" ref="L33:L38" si="7">IFERROR(VLOOKUP(L$19,Tabla_Categorías,MATCH("CosteAcumKi",Name_Tabla_Cat,FALSE),FALSE),0)</f>
        <v>20</v>
      </c>
      <c r="M33" s="1680"/>
      <c r="N33" s="2252">
        <f t="shared" ref="N33:N38" si="8">IFERROR(VLOOKUP(N$19,Tabla_Categorías,MATCH("CosteAcumKi",Name_Tabla_Cat,FALSE),FALSE),0)</f>
        <v>0</v>
      </c>
      <c r="O33" s="1680"/>
      <c r="P33" s="2252">
        <f t="shared" ref="P33:P38" si="9">IFERROR(VLOOKUP(P$19,Tabla_Categorías,MATCH("CosteAcumKi",Name_Tabla_Cat,FALSE),FALSE),0)</f>
        <v>0</v>
      </c>
      <c r="Q33" s="1680"/>
      <c r="R33" s="2252">
        <f t="shared" ref="R33:R38" si="10">IFERROR(VLOOKUP(R$19,Tabla_Categorías,MATCH("CosteAcumKi",Name_Tabla_Cat,FALSE),FALSE),0)</f>
        <v>0</v>
      </c>
      <c r="S33" s="1680"/>
      <c r="T33" s="2252">
        <f t="shared" ref="T33:T38" si="11">IFERROR(VLOOKUP(T$19,Tabla_Categorías,MATCH("CosteAcumKi",Name_Tabla_Cat,FALSE),FALSE),0)</f>
        <v>0</v>
      </c>
      <c r="U33" s="1680"/>
      <c r="V33" s="484">
        <f t="shared" si="5"/>
        <v>0</v>
      </c>
      <c r="W33" s="291">
        <f>IF(AGI=0,0,VLOOKUP(AGI,Tabla_Acum,2))+AD33</f>
        <v>2</v>
      </c>
      <c r="X33" s="3769" t="s">
        <v>1464</v>
      </c>
      <c r="Y33" s="3769"/>
      <c r="Z33" s="2553"/>
      <c r="AA33" s="605">
        <f>MAX(0,W33+V33+Z33+IF(Mod_ATA&lt;0,TRUNC(Mod_ATA/20,0),0))</f>
        <v>2</v>
      </c>
      <c r="AB33" s="1989"/>
      <c r="AC33" s="953"/>
      <c r="AD33" s="2755">
        <f>IF(AND(Tablas!$P$259,Personalización!$AB$86=E33),1,0)</f>
        <v>0</v>
      </c>
      <c r="AE33" s="2764"/>
      <c r="AF33" s="2771"/>
      <c r="AG33" s="2764"/>
      <c r="AH33" s="2764"/>
      <c r="AI33" s="2764"/>
      <c r="AJ33" s="2764"/>
      <c r="AK33" s="2764"/>
      <c r="AL33" s="2759"/>
      <c r="AM33" s="2759"/>
      <c r="AN33" s="2759"/>
      <c r="AO33" s="2759"/>
      <c r="AP33" s="2759"/>
      <c r="AQ33" s="1986"/>
      <c r="AR33" s="1986"/>
      <c r="AS33" s="1986"/>
      <c r="AT33" s="1986"/>
      <c r="AU33" s="1986"/>
      <c r="AV33" s="1986"/>
    </row>
    <row r="34" spans="1:48" ht="12" customHeight="1" x14ac:dyDescent="0.2">
      <c r="A34" s="10"/>
      <c r="B34" s="924"/>
      <c r="C34" s="3479"/>
      <c r="D34" s="3573"/>
      <c r="E34" s="3593" t="s">
        <v>1506</v>
      </c>
      <c r="F34" s="3594"/>
      <c r="G34" s="3594"/>
      <c r="H34" s="3594"/>
      <c r="I34" s="3594"/>
      <c r="J34" s="3594"/>
      <c r="K34" s="3640"/>
      <c r="L34" s="2256">
        <f t="shared" si="7"/>
        <v>20</v>
      </c>
      <c r="M34" s="1696"/>
      <c r="N34" s="2256">
        <f t="shared" si="8"/>
        <v>0</v>
      </c>
      <c r="O34" s="1696"/>
      <c r="P34" s="2256">
        <f t="shared" si="9"/>
        <v>0</v>
      </c>
      <c r="Q34" s="1696"/>
      <c r="R34" s="2256">
        <f t="shared" si="10"/>
        <v>0</v>
      </c>
      <c r="S34" s="1696"/>
      <c r="T34" s="2256">
        <f t="shared" si="11"/>
        <v>0</v>
      </c>
      <c r="U34" s="1696"/>
      <c r="V34" s="481">
        <f t="shared" si="5"/>
        <v>0</v>
      </c>
      <c r="W34" s="279">
        <f>IF(CON=0,0,VLOOKUP(CON,Tabla_Acum,2))+AD34</f>
        <v>1</v>
      </c>
      <c r="X34" s="3555" t="s">
        <v>1464</v>
      </c>
      <c r="Y34" s="3555"/>
      <c r="Z34" s="2549"/>
      <c r="AA34" s="602">
        <f t="shared" ref="AA34:AA38" si="12">MAX(0,W34+V34+Z34+IF(Mod_ATA&lt;0,TRUNC(Mod_ATA/20,0),0))</f>
        <v>1</v>
      </c>
      <c r="AB34" s="1989"/>
      <c r="AC34" s="953"/>
      <c r="AD34" s="2755">
        <f>IF(AND(Tablas!$P$259,Personalización!$AB$86=E34),1,0)</f>
        <v>0</v>
      </c>
      <c r="AE34" s="2764"/>
      <c r="AF34" s="2771"/>
      <c r="AG34" s="2764"/>
      <c r="AH34" s="2764"/>
      <c r="AI34" s="2764"/>
      <c r="AJ34" s="2764"/>
      <c r="AK34" s="2764"/>
      <c r="AL34" s="2759"/>
      <c r="AM34" s="2759"/>
      <c r="AN34" s="2759"/>
      <c r="AO34" s="2759"/>
      <c r="AP34" s="2759"/>
      <c r="AQ34" s="1986"/>
      <c r="AR34" s="1986"/>
      <c r="AS34" s="1986"/>
      <c r="AT34" s="1986"/>
      <c r="AU34" s="1986"/>
      <c r="AV34" s="1986"/>
    </row>
    <row r="35" spans="1:48" ht="12" customHeight="1" x14ac:dyDescent="0.2">
      <c r="A35" s="10"/>
      <c r="B35" s="924"/>
      <c r="C35" s="3479"/>
      <c r="D35" s="3573"/>
      <c r="E35" s="3638" t="s">
        <v>1386</v>
      </c>
      <c r="F35" s="3107"/>
      <c r="G35" s="3107"/>
      <c r="H35" s="3107"/>
      <c r="I35" s="3107"/>
      <c r="J35" s="3107"/>
      <c r="K35" s="3641"/>
      <c r="L35" s="2251">
        <f t="shared" si="7"/>
        <v>20</v>
      </c>
      <c r="M35" s="1678"/>
      <c r="N35" s="2251">
        <f t="shared" si="8"/>
        <v>0</v>
      </c>
      <c r="O35" s="1678"/>
      <c r="P35" s="2251">
        <f t="shared" si="9"/>
        <v>0</v>
      </c>
      <c r="Q35" s="1678"/>
      <c r="R35" s="2251">
        <f t="shared" si="10"/>
        <v>0</v>
      </c>
      <c r="S35" s="1678"/>
      <c r="T35" s="2251">
        <f t="shared" si="11"/>
        <v>0</v>
      </c>
      <c r="U35" s="1678"/>
      <c r="V35" s="482">
        <f t="shared" si="5"/>
        <v>0</v>
      </c>
      <c r="W35" s="82">
        <f>IF(DES=0,0,VLOOKUP(DES,Tabla_Acum,2))+AD35</f>
        <v>1</v>
      </c>
      <c r="X35" s="3421" t="s">
        <v>1464</v>
      </c>
      <c r="Y35" s="3421"/>
      <c r="Z35" s="2550"/>
      <c r="AA35" s="603">
        <f t="shared" si="12"/>
        <v>1</v>
      </c>
      <c r="AB35" s="1989"/>
      <c r="AC35" s="953"/>
      <c r="AD35" s="2755">
        <f>IF(AND(Tablas!$P$259,Personalización!$AB$86=E35),1,0)</f>
        <v>0</v>
      </c>
      <c r="AE35" s="2764"/>
      <c r="AF35" s="2771"/>
      <c r="AG35" s="2764"/>
      <c r="AH35" s="2764"/>
      <c r="AI35" s="2764"/>
      <c r="AJ35" s="2764"/>
      <c r="AK35" s="2764"/>
      <c r="AL35" s="2759"/>
      <c r="AM35" s="2759"/>
      <c r="AN35" s="2759"/>
      <c r="AO35" s="2759"/>
      <c r="AP35" s="2759"/>
      <c r="AQ35" s="1986"/>
      <c r="AR35" s="1986"/>
      <c r="AS35" s="1986"/>
      <c r="AT35" s="1986"/>
      <c r="AU35" s="1986"/>
      <c r="AV35" s="1986"/>
    </row>
    <row r="36" spans="1:48" ht="12" customHeight="1" x14ac:dyDescent="0.2">
      <c r="A36" s="10"/>
      <c r="B36" s="924"/>
      <c r="C36" s="3479"/>
      <c r="D36" s="3573"/>
      <c r="E36" s="3593" t="s">
        <v>1391</v>
      </c>
      <c r="F36" s="3594"/>
      <c r="G36" s="3594"/>
      <c r="H36" s="3594"/>
      <c r="I36" s="3594"/>
      <c r="J36" s="3594"/>
      <c r="K36" s="3640"/>
      <c r="L36" s="2256">
        <f t="shared" si="7"/>
        <v>20</v>
      </c>
      <c r="M36" s="1696"/>
      <c r="N36" s="2256">
        <f t="shared" si="8"/>
        <v>0</v>
      </c>
      <c r="O36" s="1696"/>
      <c r="P36" s="2256">
        <f t="shared" si="9"/>
        <v>0</v>
      </c>
      <c r="Q36" s="1696"/>
      <c r="R36" s="2256">
        <f t="shared" si="10"/>
        <v>0</v>
      </c>
      <c r="S36" s="1696"/>
      <c r="T36" s="2256">
        <f t="shared" si="11"/>
        <v>0</v>
      </c>
      <c r="U36" s="1696"/>
      <c r="V36" s="481">
        <f t="shared" si="5"/>
        <v>0</v>
      </c>
      <c r="W36" s="279">
        <f>IF(FUE=0,0,VLOOKUP(FUE,Tabla_Acum,2))+AD36</f>
        <v>1</v>
      </c>
      <c r="X36" s="3555" t="s">
        <v>1464</v>
      </c>
      <c r="Y36" s="3555"/>
      <c r="Z36" s="2549"/>
      <c r="AA36" s="602">
        <f t="shared" si="12"/>
        <v>1</v>
      </c>
      <c r="AB36" s="1989"/>
      <c r="AC36" s="953"/>
      <c r="AD36" s="2755">
        <f>IF(AND(Tablas!$P$259,Personalización!$AB$86=E36),1,0)</f>
        <v>0</v>
      </c>
      <c r="AE36" s="2764"/>
      <c r="AF36" s="2771"/>
      <c r="AG36" s="2764"/>
      <c r="AH36" s="2764"/>
      <c r="AI36" s="2764"/>
      <c r="AJ36" s="2764"/>
      <c r="AK36" s="2764"/>
      <c r="AL36" s="2759"/>
      <c r="AM36" s="2759"/>
      <c r="AN36" s="2759"/>
      <c r="AO36" s="2759"/>
      <c r="AP36" s="2759"/>
      <c r="AQ36" s="1986"/>
      <c r="AR36" s="1986"/>
      <c r="AS36" s="1986"/>
      <c r="AT36" s="1986"/>
      <c r="AU36" s="1986"/>
      <c r="AV36" s="1986"/>
    </row>
    <row r="37" spans="1:48" ht="12" customHeight="1" x14ac:dyDescent="0.2">
      <c r="A37" s="10"/>
      <c r="B37" s="924"/>
      <c r="C37" s="3479"/>
      <c r="D37" s="3573"/>
      <c r="E37" s="3638" t="s">
        <v>1399</v>
      </c>
      <c r="F37" s="3107"/>
      <c r="G37" s="3107"/>
      <c r="H37" s="3107"/>
      <c r="I37" s="3107"/>
      <c r="J37" s="3107"/>
      <c r="K37" s="3641"/>
      <c r="L37" s="2251">
        <f t="shared" si="7"/>
        <v>20</v>
      </c>
      <c r="M37" s="1678"/>
      <c r="N37" s="2251">
        <f t="shared" si="8"/>
        <v>0</v>
      </c>
      <c r="O37" s="1678"/>
      <c r="P37" s="2251">
        <f t="shared" si="9"/>
        <v>0</v>
      </c>
      <c r="Q37" s="1678"/>
      <c r="R37" s="2251">
        <f t="shared" si="10"/>
        <v>0</v>
      </c>
      <c r="S37" s="1678"/>
      <c r="T37" s="2251">
        <f t="shared" si="11"/>
        <v>0</v>
      </c>
      <c r="U37" s="1678"/>
      <c r="V37" s="482">
        <f t="shared" si="5"/>
        <v>0</v>
      </c>
      <c r="W37" s="82">
        <f>IF(POD=0,0,VLOOKUP(POD,Tabla_Acum,2))+AD37</f>
        <v>2</v>
      </c>
      <c r="X37" s="3421" t="s">
        <v>1464</v>
      </c>
      <c r="Y37" s="3421"/>
      <c r="Z37" s="2550"/>
      <c r="AA37" s="603">
        <f t="shared" si="12"/>
        <v>2</v>
      </c>
      <c r="AB37" s="1989"/>
      <c r="AC37" s="953"/>
      <c r="AD37" s="2755">
        <f>IF(AND(Tablas!$P$259,Personalización!$AB$86=E37),1,0)</f>
        <v>0</v>
      </c>
      <c r="AE37" s="2764"/>
      <c r="AF37" s="2771"/>
      <c r="AG37" s="2764"/>
      <c r="AH37" s="2764"/>
      <c r="AI37" s="2764"/>
      <c r="AJ37" s="2764"/>
      <c r="AK37" s="2764"/>
      <c r="AL37" s="2759"/>
      <c r="AM37" s="2759"/>
      <c r="AN37" s="2759"/>
      <c r="AO37" s="2759"/>
      <c r="AP37" s="2759"/>
      <c r="AQ37" s="1986"/>
      <c r="AR37" s="1986"/>
      <c r="AS37" s="1986"/>
      <c r="AT37" s="1986"/>
      <c r="AU37" s="1986"/>
      <c r="AV37" s="1986"/>
    </row>
    <row r="38" spans="1:48" ht="12" customHeight="1" x14ac:dyDescent="0.2">
      <c r="A38" s="10"/>
      <c r="B38" s="924"/>
      <c r="C38" s="3479"/>
      <c r="D38" s="3663"/>
      <c r="E38" s="3642" t="s">
        <v>1400</v>
      </c>
      <c r="F38" s="3643"/>
      <c r="G38" s="3643"/>
      <c r="H38" s="3643"/>
      <c r="I38" s="3643"/>
      <c r="J38" s="3643"/>
      <c r="K38" s="3644"/>
      <c r="L38" s="2257">
        <f t="shared" si="7"/>
        <v>20</v>
      </c>
      <c r="M38" s="1697"/>
      <c r="N38" s="2257">
        <f t="shared" si="8"/>
        <v>0</v>
      </c>
      <c r="O38" s="1697"/>
      <c r="P38" s="2257">
        <f t="shared" si="9"/>
        <v>0</v>
      </c>
      <c r="Q38" s="1697"/>
      <c r="R38" s="2257">
        <f t="shared" si="10"/>
        <v>0</v>
      </c>
      <c r="S38" s="1697"/>
      <c r="T38" s="2257">
        <f t="shared" si="11"/>
        <v>0</v>
      </c>
      <c r="U38" s="1697"/>
      <c r="V38" s="483">
        <f t="shared" si="5"/>
        <v>0</v>
      </c>
      <c r="W38" s="485">
        <f>IF(VOL=0,0,VLOOKUP(VOL,Tabla_Acum,2))+AD38</f>
        <v>1</v>
      </c>
      <c r="X38" s="3786" t="s">
        <v>1464</v>
      </c>
      <c r="Y38" s="3786"/>
      <c r="Z38" s="2552"/>
      <c r="AA38" s="604">
        <f t="shared" si="12"/>
        <v>1</v>
      </c>
      <c r="AB38" s="1989"/>
      <c r="AC38" s="953"/>
      <c r="AD38" s="2755">
        <f>IF(AND(Tablas!$P$259,Personalización!$AB$86=E38),1,0)</f>
        <v>0</v>
      </c>
      <c r="AE38" s="2764"/>
      <c r="AF38" s="2771"/>
      <c r="AG38" s="2764"/>
      <c r="AH38" s="2764"/>
      <c r="AI38" s="2764"/>
      <c r="AJ38" s="2764"/>
      <c r="AK38" s="2764"/>
      <c r="AL38" s="2759"/>
      <c r="AM38" s="2759"/>
      <c r="AN38" s="2759"/>
      <c r="AO38" s="2759"/>
      <c r="AP38" s="2759"/>
      <c r="AQ38" s="1986"/>
      <c r="AR38" s="1986"/>
      <c r="AS38" s="1986"/>
      <c r="AT38" s="1986"/>
      <c r="AU38" s="1986"/>
      <c r="AV38" s="1986"/>
    </row>
    <row r="39" spans="1:48" ht="12" customHeight="1" x14ac:dyDescent="0.2">
      <c r="A39" s="10"/>
      <c r="B39" s="924"/>
      <c r="C39" s="3479"/>
      <c r="D39" s="606" t="s">
        <v>1508</v>
      </c>
      <c r="E39" s="3645" t="s">
        <v>1509</v>
      </c>
      <c r="F39" s="3646"/>
      <c r="G39" s="3646"/>
      <c r="H39" s="3646"/>
      <c r="I39" s="3646"/>
      <c r="J39" s="3646"/>
      <c r="K39" s="3647"/>
      <c r="L39" s="2253">
        <v>5</v>
      </c>
      <c r="M39" s="1681"/>
      <c r="N39" s="2253">
        <v>5</v>
      </c>
      <c r="O39" s="1681"/>
      <c r="P39" s="2253">
        <v>5</v>
      </c>
      <c r="Q39" s="1681"/>
      <c r="R39" s="2253">
        <v>5</v>
      </c>
      <c r="S39" s="1681"/>
      <c r="T39" s="2253">
        <v>5</v>
      </c>
      <c r="U39" s="1681"/>
      <c r="V39" s="486">
        <f>(IF(L39=0,0,TRUNC(M39/L39,0))+IF(N39=0,0,TRUNC(O39/N39,0))+IF(P39=0,0,TRUNC(Q39/P39,0))+IF(R39=0,0,TRUNC(S39/R39,0))+IF(T39=0,0,TRUNC(U39/T39,0)))*5</f>
        <v>0</v>
      </c>
      <c r="W39" s="487">
        <f>SUM(Combate!AQ31:AQ49)+Tablas!G329*40+Tablas!G330*80+Tablas!G331*120</f>
        <v>0</v>
      </c>
      <c r="X39" s="3787">
        <f>HLOOKUP($E39,Bonos_Cat_Base,2,FALSE)</f>
        <v>20</v>
      </c>
      <c r="Y39" s="3787">
        <f>HLOOKUP($E39,Bonos_Cat_Base,2,FALSE)</f>
        <v>20</v>
      </c>
      <c r="Z39" s="2567"/>
      <c r="AA39" s="607">
        <f>Z39+X39+W39+V39</f>
        <v>20</v>
      </c>
      <c r="AB39" s="1989"/>
      <c r="AC39" s="953"/>
      <c r="AD39" s="2755"/>
      <c r="AE39" s="2764"/>
      <c r="AF39" s="2771"/>
      <c r="AG39" s="2764"/>
      <c r="AH39" s="2764"/>
      <c r="AI39" s="2764"/>
      <c r="AJ39" s="2764"/>
      <c r="AK39" s="2764"/>
      <c r="AL39" s="2759"/>
      <c r="AM39" s="2759"/>
      <c r="AN39" s="2759"/>
      <c r="AO39" s="2759"/>
      <c r="AP39" s="2759"/>
      <c r="AQ39" s="1986"/>
      <c r="AR39" s="1986"/>
      <c r="AS39" s="1986"/>
      <c r="AT39" s="1986"/>
      <c r="AU39" s="1986"/>
      <c r="AV39" s="1986"/>
    </row>
    <row r="40" spans="1:48" ht="12" customHeight="1" x14ac:dyDescent="0.2">
      <c r="A40" s="10"/>
      <c r="B40" s="924"/>
      <c r="C40" s="3479"/>
      <c r="D40" s="3572" t="s">
        <v>1510</v>
      </c>
      <c r="E40" s="3648" t="s">
        <v>2608</v>
      </c>
      <c r="F40" s="3505"/>
      <c r="G40" s="3505"/>
      <c r="H40" s="3505"/>
      <c r="I40" s="3505"/>
      <c r="J40" s="3505"/>
      <c r="K40" s="3506"/>
      <c r="L40" s="2258">
        <f>IF($E40=0,"",TRUNC(IF(L$19="Maestro de armas",0.5,1)*VLOOKUP($E40,Tablas!$X$575:$Y$580,2,FALSE),0))</f>
        <v>50</v>
      </c>
      <c r="M40" s="1698">
        <v>50</v>
      </c>
      <c r="N40" s="2258">
        <f>IF($E40=0,"",TRUNC(IF(N$19="Maestro de armas",0.5,1)*VLOOKUP($E40,Tablas!$X$575:$Y$580,2,FALSE),0))</f>
        <v>50</v>
      </c>
      <c r="O40" s="1698"/>
      <c r="P40" s="2258">
        <f>IF($E40=0,"",TRUNC(IF(P$19="Maestro de armas",0.5,1)*VLOOKUP($E40,Tablas!$X$575:$Y$580,2,FALSE),0))</f>
        <v>50</v>
      </c>
      <c r="Q40" s="1698"/>
      <c r="R40" s="2258">
        <f>IF($E40=0,"",TRUNC(IF(R$19="Maestro de armas",0.5,1)*VLOOKUP($E40,Tablas!$X$575:$Y$580,2,FALSE),0))</f>
        <v>50</v>
      </c>
      <c r="S40" s="1698"/>
      <c r="T40" s="2258">
        <f>IF($E40=0,"",TRUNC(IF(T$19="Maestro de armas",0.5,1)*VLOOKUP($E40,Tablas!$X$575:$Y$580,2,FALSE),0))</f>
        <v>50</v>
      </c>
      <c r="U40" s="1698"/>
      <c r="V40" s="3772" t="str">
        <f t="shared" ref="V40:V45" si="13">IF(E40=0,"",VLOOKUP(E40,Tabla_TablasArmas,3,FALSE))</f>
        <v>Tabla de profesión:</v>
      </c>
      <c r="W40" s="3773"/>
      <c r="X40" s="3773"/>
      <c r="Y40" s="3651" t="s">
        <v>2624</v>
      </c>
      <c r="Z40" s="3651"/>
      <c r="AA40" s="3652"/>
      <c r="AB40" s="1989"/>
      <c r="AC40" s="953"/>
      <c r="AD40" s="2755" t="str">
        <f>IF($E40="Tabla de tipología","Lista_Tipologías",IF($E40="Tabla de armas arquetípicas","Lista_ArmasArquetipo",IF($E40="Arma Similar",Tablas!$AG$629,IF($E40="Arma Mixta",Tablas!$AH$629,IF($E40="Arma Distinta / Desarmado",Tablas!$AI$629,"")))))</f>
        <v>Lista_ArmasArquetipo</v>
      </c>
      <c r="AE40" s="2764"/>
      <c r="AF40" s="2764"/>
      <c r="AG40" s="2764"/>
      <c r="AH40" s="2764"/>
      <c r="AI40" s="2764"/>
      <c r="AJ40" s="2764"/>
      <c r="AK40" s="2764"/>
      <c r="AL40" s="2759"/>
      <c r="AM40" s="2759"/>
      <c r="AN40" s="2759"/>
      <c r="AO40" s="2759"/>
      <c r="AP40" s="2759"/>
      <c r="AQ40" s="1986"/>
      <c r="AR40" s="1986"/>
      <c r="AS40" s="1986"/>
      <c r="AT40" s="1986"/>
      <c r="AU40" s="1986"/>
      <c r="AV40" s="1986"/>
    </row>
    <row r="41" spans="1:48" ht="12" customHeight="1" x14ac:dyDescent="0.2">
      <c r="A41" s="10"/>
      <c r="B41" s="924"/>
      <c r="C41" s="3479"/>
      <c r="D41" s="3573"/>
      <c r="E41" s="3649"/>
      <c r="F41" s="3500"/>
      <c r="G41" s="3500"/>
      <c r="H41" s="3500"/>
      <c r="I41" s="3500"/>
      <c r="J41" s="3500"/>
      <c r="K41" s="3501"/>
      <c r="L41" s="2251" t="str">
        <f>IF($E41=0,"",TRUNC(IF(L$19="Maestro de armas",0.5,1)*VLOOKUP($E41,Tablas!$X$575:$Y$580,2,FALSE),0))</f>
        <v/>
      </c>
      <c r="M41" s="2244"/>
      <c r="N41" s="2251" t="str">
        <f>IF($E41=0,"",TRUNC(IF(N$19="Maestro de armas",0.5,1)*VLOOKUP($E41,Tablas!$X$575:$Y$580,2,FALSE),0))</f>
        <v/>
      </c>
      <c r="O41" s="2244"/>
      <c r="P41" s="2251" t="str">
        <f>IF($E41=0,"",TRUNC(IF(P$19="Maestro de armas",0.5,1)*VLOOKUP($E41,Tablas!$X$575:$Y$580,2,FALSE),0))</f>
        <v/>
      </c>
      <c r="Q41" s="2244"/>
      <c r="R41" s="2251" t="str">
        <f>IF($E41=0,"",TRUNC(IF(R$19="Maestro de armas",0.5,1)*VLOOKUP($E41,Tablas!$X$575:$Y$580,2,FALSE),0))</f>
        <v/>
      </c>
      <c r="S41" s="2244"/>
      <c r="T41" s="2251" t="str">
        <f>IF($E41=0,"",TRUNC(IF(T$19="Maestro de armas",0.5,1)*VLOOKUP($E41,Tablas!$X$575:$Y$580,2,FALSE),0))</f>
        <v/>
      </c>
      <c r="U41" s="2244"/>
      <c r="V41" s="3774" t="str">
        <f t="shared" si="13"/>
        <v/>
      </c>
      <c r="W41" s="3775"/>
      <c r="X41" s="3775"/>
      <c r="Y41" s="3653"/>
      <c r="Z41" s="3653"/>
      <c r="AA41" s="3654"/>
      <c r="AB41" s="1989"/>
      <c r="AC41" s="953"/>
      <c r="AD41" s="2755" t="str">
        <f>IF($E41="Tabla de tipología","Lista_Tipologías",IF($E41="Tabla de armas arquetípicas","Lista_ArmasArquetipo",IF($E41="Arma Similar",Tablas!$AN$629,IF($E41="Arma Mixta",Tablas!$AO$629,IF($E41="Arma Distinta / Desarmado",Tablas!$AP$629,"")))))</f>
        <v/>
      </c>
      <c r="AE41" s="2773"/>
      <c r="AF41" s="2773"/>
      <c r="AG41" s="2764"/>
      <c r="AH41" s="2764"/>
      <c r="AI41" s="2764"/>
      <c r="AJ41" s="2764"/>
      <c r="AK41" s="2764"/>
      <c r="AL41" s="2759"/>
      <c r="AM41" s="2759"/>
      <c r="AN41" s="2759"/>
      <c r="AO41" s="2759"/>
      <c r="AP41" s="2759"/>
      <c r="AQ41" s="1986"/>
      <c r="AR41" s="1986"/>
      <c r="AS41" s="1986"/>
      <c r="AT41" s="1986"/>
      <c r="AU41" s="1986"/>
      <c r="AV41" s="1986"/>
    </row>
    <row r="42" spans="1:48" ht="12" customHeight="1" x14ac:dyDescent="0.2">
      <c r="A42" s="10"/>
      <c r="B42" s="924"/>
      <c r="C42" s="3479"/>
      <c r="D42" s="3573"/>
      <c r="E42" s="3648"/>
      <c r="F42" s="3505"/>
      <c r="G42" s="3505"/>
      <c r="H42" s="3505"/>
      <c r="I42" s="3505"/>
      <c r="J42" s="3505"/>
      <c r="K42" s="3506"/>
      <c r="L42" s="2256" t="str">
        <f>IF($E42=0,"",TRUNC(IF(L$19="Maestro de armas",0.5,1)*VLOOKUP($E42,Tablas!$X$575:$Y$580,2,FALSE),0))</f>
        <v/>
      </c>
      <c r="M42" s="2245"/>
      <c r="N42" s="2256" t="str">
        <f>IF($E42=0,"",TRUNC(IF(N$19="Maestro de armas",0.5,1)*VLOOKUP($E42,Tablas!$X$575:$Y$580,2,FALSE),0))</f>
        <v/>
      </c>
      <c r="O42" s="2245"/>
      <c r="P42" s="2256" t="str">
        <f>IF($E42=0,"",TRUNC(IF(P$19="Maestro de armas",0.5,1)*VLOOKUP($E42,Tablas!$X$575:$Y$580,2,FALSE),0))</f>
        <v/>
      </c>
      <c r="Q42" s="2245"/>
      <c r="R42" s="2256" t="str">
        <f>IF($E42=0,"",TRUNC(IF(R$19="Maestro de armas",0.5,1)*VLOOKUP($E42,Tablas!$X$575:$Y$580,2,FALSE),0))</f>
        <v/>
      </c>
      <c r="S42" s="2245"/>
      <c r="T42" s="2256" t="str">
        <f>IF($E42=0,"",TRUNC(IF(T$19="Maestro de armas",0.5,1)*VLOOKUP($E42,Tablas!$X$575:$Y$580,2,FALSE),0))</f>
        <v/>
      </c>
      <c r="U42" s="2245"/>
      <c r="V42" s="3772" t="str">
        <f t="shared" si="13"/>
        <v/>
      </c>
      <c r="W42" s="3773"/>
      <c r="X42" s="3773"/>
      <c r="Y42" s="3651"/>
      <c r="Z42" s="3651"/>
      <c r="AA42" s="3652"/>
      <c r="AB42" s="1989"/>
      <c r="AC42" s="953"/>
      <c r="AD42" s="2755" t="str">
        <f>IF($E42="Tabla de tipología","Lista_Tipologías",IF($E42="Tabla de armas arquetípicas","Lista_ArmasArquetipo",IF($E42="Arma Similar",Tablas!$AU$629,IF($E42="Arma Mixta",Tablas!$AV$629,IF($E42="Arma Distinta / Desarmado",Tablas!$AW$629,"")))))</f>
        <v/>
      </c>
      <c r="AE42" s="2764"/>
      <c r="AF42" s="2771"/>
      <c r="AG42" s="2764"/>
      <c r="AH42" s="2764"/>
      <c r="AI42" s="2764"/>
      <c r="AJ42" s="2764"/>
      <c r="AK42" s="2764"/>
      <c r="AL42" s="2759"/>
      <c r="AM42" s="2759"/>
      <c r="AN42" s="2759"/>
      <c r="AO42" s="2759"/>
      <c r="AP42" s="2759"/>
      <c r="AQ42" s="1986"/>
      <c r="AR42" s="1986"/>
      <c r="AS42" s="1986"/>
      <c r="AT42" s="1986"/>
      <c r="AU42" s="1986"/>
      <c r="AV42" s="1986"/>
    </row>
    <row r="43" spans="1:48" ht="12" customHeight="1" x14ac:dyDescent="0.2">
      <c r="A43" s="10"/>
      <c r="B43" s="924"/>
      <c r="C43" s="3479"/>
      <c r="D43" s="3573"/>
      <c r="E43" s="3649"/>
      <c r="F43" s="3500"/>
      <c r="G43" s="3500"/>
      <c r="H43" s="3500"/>
      <c r="I43" s="3500"/>
      <c r="J43" s="3500"/>
      <c r="K43" s="3501"/>
      <c r="L43" s="2251" t="str">
        <f>IF($E43=0,"",TRUNC(IF(L$19="Maestro de armas",0.5,1)*VLOOKUP($E43,Tablas!$X$575:$Y$580,2,FALSE),0))</f>
        <v/>
      </c>
      <c r="M43" s="2244"/>
      <c r="N43" s="2251" t="str">
        <f>IF($E43=0,"",TRUNC(IF(N$19="Maestro de armas",0.5,1)*VLOOKUP($E43,Tablas!$X$575:$Y$580,2,FALSE),0))</f>
        <v/>
      </c>
      <c r="O43" s="2244"/>
      <c r="P43" s="2251" t="str">
        <f>IF($E43=0,"",TRUNC(IF(P$19="Maestro de armas",0.5,1)*VLOOKUP($E43,Tablas!$X$575:$Y$580,2,FALSE),0))</f>
        <v/>
      </c>
      <c r="Q43" s="2244"/>
      <c r="R43" s="2251" t="str">
        <f>IF($E43=0,"",TRUNC(IF(R$19="Maestro de armas",0.5,1)*VLOOKUP($E43,Tablas!$X$575:$Y$580,2,FALSE),0))</f>
        <v/>
      </c>
      <c r="S43" s="2244"/>
      <c r="T43" s="2251" t="str">
        <f>IF($E43=0,"",TRUNC(IF(T$19="Maestro de armas",0.5,1)*VLOOKUP($E43,Tablas!$X$575:$Y$580,2,FALSE),0))</f>
        <v/>
      </c>
      <c r="U43" s="2244"/>
      <c r="V43" s="3774" t="str">
        <f t="shared" si="13"/>
        <v/>
      </c>
      <c r="W43" s="3775"/>
      <c r="X43" s="3775"/>
      <c r="Y43" s="3653"/>
      <c r="Z43" s="3653"/>
      <c r="AA43" s="3654"/>
      <c r="AB43" s="1989"/>
      <c r="AC43" s="953"/>
      <c r="AD43" s="2755" t="str">
        <f>IF($E43="Tabla de tipología","Lista_Tipologías",IF($E43="Tabla de armas arquetípicas","Lista_ArmasArquetipo",IF($E43="Arma Similar",Tablas!$BB$629,IF($E43="Arma Mixta",Tablas!$BC$629,IF($E43="Arma Distinta / Desarmado",Tablas!$BD$629,"")))))</f>
        <v/>
      </c>
      <c r="AE43" s="2764" t="e">
        <f>INDEX(Tablas!$AG$826:$AG$827,AG56)</f>
        <v>#VALUE!</v>
      </c>
      <c r="AF43" s="2771"/>
      <c r="AG43" s="2764"/>
      <c r="AH43" s="2764"/>
      <c r="AI43" s="2764"/>
      <c r="AJ43" s="2764"/>
      <c r="AK43" s="2764"/>
      <c r="AL43" s="2759"/>
      <c r="AM43" s="2759"/>
      <c r="AN43" s="2759"/>
      <c r="AO43" s="2759"/>
      <c r="AP43" s="2759"/>
      <c r="AQ43" s="1986"/>
      <c r="AR43" s="1986"/>
      <c r="AS43" s="1986"/>
      <c r="AT43" s="1986"/>
      <c r="AU43" s="1986"/>
      <c r="AV43" s="1986"/>
    </row>
    <row r="44" spans="1:48" ht="12" customHeight="1" x14ac:dyDescent="0.2">
      <c r="A44" s="10"/>
      <c r="B44" s="924"/>
      <c r="C44" s="3479"/>
      <c r="D44" s="3573"/>
      <c r="E44" s="3648"/>
      <c r="F44" s="3505"/>
      <c r="G44" s="3505"/>
      <c r="H44" s="3505"/>
      <c r="I44" s="3505"/>
      <c r="J44" s="3505"/>
      <c r="K44" s="3506"/>
      <c r="L44" s="2256" t="str">
        <f>IF($E44=0,"",TRUNC(IF(L$19="Maestro de armas",0.5,1)*VLOOKUP($E44,Tablas!$X$575:$Y$580,2,FALSE),0))</f>
        <v/>
      </c>
      <c r="M44" s="2245"/>
      <c r="N44" s="2256" t="str">
        <f>IF($E44=0,"",TRUNC(IF(N$19="Maestro de armas",0.5,1)*VLOOKUP($E44,Tablas!$X$575:$Y$580,2,FALSE),0))</f>
        <v/>
      </c>
      <c r="O44" s="2245"/>
      <c r="P44" s="2256" t="str">
        <f>IF($E44=0,"",TRUNC(IF(P$19="Maestro de armas",0.5,1)*VLOOKUP($E44,Tablas!$X$575:$Y$580,2,FALSE),0))</f>
        <v/>
      </c>
      <c r="Q44" s="2245"/>
      <c r="R44" s="2256" t="str">
        <f>IF($E44=0,"",TRUNC(IF(R$19="Maestro de armas",0.5,1)*VLOOKUP($E44,Tablas!$X$575:$Y$580,2,FALSE),0))</f>
        <v/>
      </c>
      <c r="S44" s="2245"/>
      <c r="T44" s="2256" t="str">
        <f>IF($E44=0,"",TRUNC(IF(T$19="Maestro de armas",0.5,1)*VLOOKUP($E44,Tablas!$X$575:$Y$580,2,FALSE),0))</f>
        <v/>
      </c>
      <c r="U44" s="2245"/>
      <c r="V44" s="3772" t="str">
        <f t="shared" si="13"/>
        <v/>
      </c>
      <c r="W44" s="3773"/>
      <c r="X44" s="3773"/>
      <c r="Y44" s="3651"/>
      <c r="Z44" s="3651"/>
      <c r="AA44" s="3652"/>
      <c r="AB44" s="1989"/>
      <c r="AC44" s="953"/>
      <c r="AD44" s="2755" t="str">
        <f>IF($E44="Tabla de tipología","Lista_Tipologías",IF($E44="Tabla de armas arquetípicas","Lista_ArmasArquetipo",IF($E44="Arma Similar",Tablas!$BI$629,IF($E44="Arma Mixta",Tablas!$BJ$629,IF($E44="Arma Distinta / Desarmado",Tablas!$BK$629,"")))))</f>
        <v/>
      </c>
      <c r="AE44" s="2764"/>
      <c r="AF44" s="2771"/>
      <c r="AG44" s="2764"/>
      <c r="AH44" s="3692" t="s">
        <v>8824</v>
      </c>
      <c r="AI44" s="3692"/>
      <c r="AJ44" s="3692"/>
      <c r="AK44" s="3692"/>
      <c r="AL44" s="3692"/>
      <c r="AM44" s="3692"/>
      <c r="AN44" s="3692"/>
      <c r="AO44" s="3692"/>
      <c r="AP44" s="3692" t="s">
        <v>8825</v>
      </c>
      <c r="AQ44" s="3692"/>
      <c r="AR44" s="3692"/>
      <c r="AS44" s="3692"/>
      <c r="AT44" s="3692"/>
      <c r="AU44" s="3692"/>
      <c r="AV44" s="3692"/>
    </row>
    <row r="45" spans="1:48" ht="12" customHeight="1" x14ac:dyDescent="0.2">
      <c r="A45" s="10"/>
      <c r="B45" s="924"/>
      <c r="C45" s="3479"/>
      <c r="D45" s="3661"/>
      <c r="E45" s="3649"/>
      <c r="F45" s="3500"/>
      <c r="G45" s="3500"/>
      <c r="H45" s="3500"/>
      <c r="I45" s="3500"/>
      <c r="J45" s="3500"/>
      <c r="K45" s="3501"/>
      <c r="L45" s="2251" t="str">
        <f>IF($E45=0,"",TRUNC(IF(L$19="Maestro de armas",0.5,1)*VLOOKUP($E45,Tablas!$X$575:$Y$580,2,FALSE),0))</f>
        <v/>
      </c>
      <c r="M45" s="2244"/>
      <c r="N45" s="2251" t="str">
        <f>IF($E45=0,"",TRUNC(IF(N$19="Maestro de armas",0.5,1)*VLOOKUP($E45,Tablas!$X$575:$Y$580,2,FALSE),0))</f>
        <v/>
      </c>
      <c r="O45" s="2244"/>
      <c r="P45" s="2251" t="str">
        <f>IF($E45=0,"",TRUNC(IF(P$19="Maestro de armas",0.5,1)*VLOOKUP($E45,Tablas!$X$575:$Y$580,2,FALSE),0))</f>
        <v/>
      </c>
      <c r="Q45" s="2244"/>
      <c r="R45" s="2251" t="str">
        <f>IF($E45=0,"",TRUNC(IF(R$19="Maestro de armas",0.5,1)*VLOOKUP($E45,Tablas!$X$575:$Y$580,2,FALSE),0))</f>
        <v/>
      </c>
      <c r="S45" s="2244"/>
      <c r="T45" s="2251" t="str">
        <f>IF($E45=0,"",TRUNC(IF(T$19="Maestro de armas",0.5,1)*VLOOKUP($E45,Tablas!$X$575:$Y$580,2,FALSE),0))</f>
        <v/>
      </c>
      <c r="U45" s="2244"/>
      <c r="V45" s="3788" t="str">
        <f t="shared" si="13"/>
        <v/>
      </c>
      <c r="W45" s="3789"/>
      <c r="X45" s="3789"/>
      <c r="Y45" s="3655"/>
      <c r="Z45" s="3655"/>
      <c r="AA45" s="3656"/>
      <c r="AB45" s="1989"/>
      <c r="AC45" s="953"/>
      <c r="AD45" s="2755" t="str">
        <f>IF($E45="Tabla de tipología","Lista_Tipologías",IF($E45="Tabla de armas arquetípicas","Lista_ArmasArquetipo",IF($E45="Arma Similar",Tablas!$BP$629,IF($E45="Arma Mixta",Tablas!$BQ$629,IF($E45="Arma Distinta / Desarmado",Tablas!$BR$629,"")))))</f>
        <v/>
      </c>
      <c r="AE45" s="2764" t="s">
        <v>8823</v>
      </c>
      <c r="AF45" s="2771" t="s">
        <v>8822</v>
      </c>
      <c r="AG45" s="2764" t="s">
        <v>8831</v>
      </c>
      <c r="AH45" s="2759">
        <v>1</v>
      </c>
      <c r="AI45" s="2759">
        <v>2</v>
      </c>
      <c r="AJ45" s="2759">
        <v>3</v>
      </c>
      <c r="AK45" s="2759">
        <v>4</v>
      </c>
      <c r="AL45" s="2759">
        <v>5</v>
      </c>
      <c r="AM45" s="2759">
        <v>6</v>
      </c>
      <c r="AN45" s="2759">
        <v>7</v>
      </c>
      <c r="AO45" s="2759">
        <v>8</v>
      </c>
      <c r="AP45" s="2759">
        <v>1</v>
      </c>
      <c r="AQ45" s="2759">
        <v>2</v>
      </c>
      <c r="AR45" s="2759">
        <v>3</v>
      </c>
      <c r="AS45" s="2759">
        <v>4</v>
      </c>
      <c r="AT45" s="2759">
        <v>5</v>
      </c>
      <c r="AU45" s="2759">
        <v>6</v>
      </c>
      <c r="AV45" s="2759">
        <v>7</v>
      </c>
    </row>
    <row r="46" spans="1:48" ht="12" customHeight="1" x14ac:dyDescent="0.2">
      <c r="A46" s="10"/>
      <c r="B46" s="924"/>
      <c r="C46" s="3479"/>
      <c r="D46" s="3580" t="s">
        <v>1511</v>
      </c>
      <c r="E46" s="3664"/>
      <c r="F46" s="3665"/>
      <c r="G46" s="3665"/>
      <c r="H46" s="3665"/>
      <c r="I46" s="3665"/>
      <c r="J46" s="3665"/>
      <c r="K46" s="3666"/>
      <c r="L46" s="2259" t="str">
        <f t="shared" ref="L46:T55" si="14">IF($E46=0,"",TRUNC(IF(L$19="Maestro de armas",0.5,1)*VLOOKUP($E46,Tabla_Tabla_Estilos,2,FALSE),0))</f>
        <v/>
      </c>
      <c r="M46" s="1699"/>
      <c r="N46" s="2259" t="str">
        <f t="shared" si="14"/>
        <v/>
      </c>
      <c r="O46" s="1699"/>
      <c r="P46" s="2259" t="str">
        <f t="shared" si="14"/>
        <v/>
      </c>
      <c r="Q46" s="1699"/>
      <c r="R46" s="2259" t="str">
        <f t="shared" si="14"/>
        <v/>
      </c>
      <c r="S46" s="1699"/>
      <c r="T46" s="2259" t="str">
        <f t="shared" si="14"/>
        <v/>
      </c>
      <c r="U46" s="1699"/>
      <c r="V46" s="3770" t="str">
        <f>IF($E46="","",IF(AND(AD46=1,M46/L46+O46/N46+Q46/P46+S46/R46+U46/T46&gt;1),SUBSTITUTE(VLOOKUP($E46,Tabla_Tabla_Estilos,8,FALSE),"XXX",M46/L46+O46/N46+Q46/P46+S46/R46+U46/T46),VLOOKUP($E46,Tabla_Tabla_Estilos,4,FALSE)))</f>
        <v/>
      </c>
      <c r="W46" s="3770"/>
      <c r="X46" s="3770"/>
      <c r="Y46" s="3770"/>
      <c r="Z46" s="3770"/>
      <c r="AA46" s="3771"/>
      <c r="AB46" s="1989"/>
      <c r="AC46" s="953"/>
      <c r="AD46" s="2755" t="e">
        <f>VLOOKUP(E46,Tablas!$R$913:$T$934,3,0)</f>
        <v>#N/A</v>
      </c>
      <c r="AE46" s="2764" t="e">
        <f>IF(AD46=1,ADDRESS(ROW($AH46),COLUMN($AH46))&amp;":"&amp;ADDRESS(ROW($AO46),COLUMN($AO46)),ADDRESS(ROW($AH46),COLUMN($AH46)))</f>
        <v>#N/A</v>
      </c>
      <c r="AF46" s="2771" t="e">
        <f>IF(AD46=1,ADDRESS(ROW($AP46),COLUMN($AP46))&amp;":"&amp;ADDRESS(ROW($AV46),COLUMN($AV46)),ADDRESS(ROW($AP46),COLUMN($AP46)))</f>
        <v>#N/A</v>
      </c>
      <c r="AG46" s="2764" t="e">
        <f>IF(AD46=1,NOT(OR(AND(INT(M46/L46)=M46/L46,M46&gt;0),AND(INT(O46/N46)=O46/N46,O46&gt;0),AND(INT(Q46/P46)=Q46/P46,Q46&gt;0),AND(INT(S46/R46)=S46/R46,S46&gt;0),AND(INT(U46/T46)=U46/T46,U46&gt;0))),NOT(OR(M46=L46,O46=N46,Q46=P46,S46=R46,U46=T46)))</f>
        <v>#N/A</v>
      </c>
      <c r="AH46" s="2771" t="e">
        <f>VLOOKUP($E46,Tablas!$R$913:$T$934,2,0)*AH$45/2</f>
        <v>#N/A</v>
      </c>
      <c r="AI46" s="2771" t="e">
        <f>VLOOKUP($E46,Tablas!$R$913:$T$934,2,0)*AI$45/2</f>
        <v>#N/A</v>
      </c>
      <c r="AJ46" s="2771" t="e">
        <f>VLOOKUP($E46,Tablas!$R$913:$T$934,2,0)*AJ$45/2</f>
        <v>#N/A</v>
      </c>
      <c r="AK46" s="2771" t="e">
        <f>VLOOKUP($E46,Tablas!$R$913:$T$934,2,0)*AK$45/2</f>
        <v>#N/A</v>
      </c>
      <c r="AL46" s="2771" t="e">
        <f>VLOOKUP($E46,Tablas!$R$913:$T$934,2,0)*AL$45/2</f>
        <v>#N/A</v>
      </c>
      <c r="AM46" s="2771" t="e">
        <f>VLOOKUP($E46,Tablas!$R$913:$T$934,2,0)*AM$45/2</f>
        <v>#N/A</v>
      </c>
      <c r="AN46" s="2771" t="e">
        <f>VLOOKUP($E46,Tablas!$R$913:$T$934,2,0)*AN$45/2</f>
        <v>#N/A</v>
      </c>
      <c r="AO46" s="2771" t="e">
        <f>VLOOKUP($E46,Tablas!$R$913:$T$934,2,0)*AO$45/2</f>
        <v>#N/A</v>
      </c>
      <c r="AP46" s="2771" t="e">
        <f>VLOOKUP($E46,Tablas!$R$913:$T$934,2,0)*AP$45</f>
        <v>#N/A</v>
      </c>
      <c r="AQ46" s="2771" t="e">
        <f>VLOOKUP($E46,Tablas!$R$913:$T$934,2,0)*AQ$45</f>
        <v>#N/A</v>
      </c>
      <c r="AR46" s="2771" t="e">
        <f>VLOOKUP($E46,Tablas!$R$913:$T$934,2,0)*AR$45</f>
        <v>#N/A</v>
      </c>
      <c r="AS46" s="2771" t="e">
        <f>VLOOKUP($E46,Tablas!$R$913:$T$934,2,0)*AS$45</f>
        <v>#N/A</v>
      </c>
      <c r="AT46" s="2771" t="e">
        <f>VLOOKUP($E46,Tablas!$R$913:$T$934,2,0)*AT$45</f>
        <v>#N/A</v>
      </c>
      <c r="AU46" s="2771" t="e">
        <f>VLOOKUP($E46,Tablas!$R$913:$T$934,2,0)*AU$45</f>
        <v>#N/A</v>
      </c>
      <c r="AV46" s="2771" t="e">
        <f>VLOOKUP($E46,Tablas!$R$913:$T$934,2,0)*AV$45</f>
        <v>#N/A</v>
      </c>
    </row>
    <row r="47" spans="1:48" ht="12" customHeight="1" x14ac:dyDescent="0.2">
      <c r="A47" s="10"/>
      <c r="B47" s="924"/>
      <c r="C47" s="3479"/>
      <c r="D47" s="3581"/>
      <c r="E47" s="3632"/>
      <c r="F47" s="3633"/>
      <c r="G47" s="3633"/>
      <c r="H47" s="3633"/>
      <c r="I47" s="3633"/>
      <c r="J47" s="3633"/>
      <c r="K47" s="3634"/>
      <c r="L47" s="2251" t="str">
        <f t="shared" si="14"/>
        <v/>
      </c>
      <c r="M47" s="1678"/>
      <c r="N47" s="2251" t="str">
        <f t="shared" si="14"/>
        <v/>
      </c>
      <c r="O47" s="1678"/>
      <c r="P47" s="2251" t="str">
        <f t="shared" si="14"/>
        <v/>
      </c>
      <c r="Q47" s="1678"/>
      <c r="R47" s="2251" t="str">
        <f t="shared" si="14"/>
        <v/>
      </c>
      <c r="S47" s="1678"/>
      <c r="T47" s="2251" t="str">
        <f t="shared" si="14"/>
        <v/>
      </c>
      <c r="U47" s="1678"/>
      <c r="V47" s="3777" t="str">
        <f t="shared" ref="V47:V55" si="15">IF($E47="","",IF(AND(AD47=1,M47/L47+O47/N47+Q47/P47+S47/R47+U47/T47&gt;1),SUBSTITUTE(VLOOKUP($E47,Tabla_Tabla_Estilos,8,FALSE),"XXX",M47/L47+O47/N47+Q47/P47+S47/R47+U47/T47),VLOOKUP($E47,Tabla_Tabla_Estilos,4,FALSE)))</f>
        <v/>
      </c>
      <c r="W47" s="3778"/>
      <c r="X47" s="3778"/>
      <c r="Y47" s="3778"/>
      <c r="Z47" s="3778"/>
      <c r="AA47" s="3779"/>
      <c r="AB47" s="1989"/>
      <c r="AC47" s="953"/>
      <c r="AD47" s="2755" t="e">
        <f>VLOOKUP(E47,Tablas!$R$913:$T$934,3,0)</f>
        <v>#N/A</v>
      </c>
      <c r="AE47" s="2764" t="e">
        <f t="shared" ref="AE47:AE55" si="16">IF(AD47=1,ADDRESS(ROW($AH47),COLUMN($AH47))&amp;":"&amp;ADDRESS(ROW($AO47),COLUMN($AO47)),ADDRESS(ROW($AH47),COLUMN($AH47)))</f>
        <v>#N/A</v>
      </c>
      <c r="AF47" s="2771" t="e">
        <f t="shared" ref="AF47:AF55" si="17">IF(AD47=1,ADDRESS(ROW($AP47),COLUMN($AP47))&amp;":"&amp;ADDRESS(ROW($AV47),COLUMN($AV47)),ADDRESS(ROW($AP47),COLUMN($AP47)))</f>
        <v>#N/A</v>
      </c>
      <c r="AG47" s="2764" t="e">
        <f t="shared" ref="AG47:AG55" si="18">IF(AD47=1,NOT(OR(AND(INT(M47/L47)=M47/L47,M47&gt;0),AND(INT(O47/N47)=O47/N47,O47&gt;0),AND(INT(Q47/P47)=Q47/P47,Q47&gt;0),AND(INT(S47/R47)=S47/R47,S47&gt;0),AND(INT(U47/T47)=U47/T47,U47&gt;0))),NOT(OR(M47=L47,O47=N47,Q47=P47,S47=R47,U47=T47)))</f>
        <v>#N/A</v>
      </c>
      <c r="AH47" s="2771" t="e">
        <f>VLOOKUP($E47,Tablas!$R$913:$T$934,2,0)*AH$45/2</f>
        <v>#N/A</v>
      </c>
      <c r="AI47" s="2771" t="e">
        <f>VLOOKUP($E47,Tablas!$R$913:$T$934,2,0)*AI$45/2</f>
        <v>#N/A</v>
      </c>
      <c r="AJ47" s="2771" t="e">
        <f>VLOOKUP($E47,Tablas!$R$913:$T$934,2,0)*AJ$45/2</f>
        <v>#N/A</v>
      </c>
      <c r="AK47" s="2771" t="e">
        <f>VLOOKUP($E47,Tablas!$R$913:$T$934,2,0)*AK$45/2</f>
        <v>#N/A</v>
      </c>
      <c r="AL47" s="2771" t="e">
        <f>VLOOKUP($E47,Tablas!$R$913:$T$934,2,0)*AL$45/2</f>
        <v>#N/A</v>
      </c>
      <c r="AM47" s="2771" t="e">
        <f>VLOOKUP($E47,Tablas!$R$913:$T$934,2,0)*AM$45/2</f>
        <v>#N/A</v>
      </c>
      <c r="AN47" s="2771" t="e">
        <f>VLOOKUP($E47,Tablas!$R$913:$T$934,2,0)*AN$45/2</f>
        <v>#N/A</v>
      </c>
      <c r="AO47" s="2771" t="e">
        <f>VLOOKUP($E47,Tablas!$R$913:$T$934,2,0)*AO$45/2</f>
        <v>#N/A</v>
      </c>
      <c r="AP47" s="2771" t="e">
        <f>VLOOKUP($E47,Tablas!$R$913:$T$934,2,0)*AP$45</f>
        <v>#N/A</v>
      </c>
      <c r="AQ47" s="2771" t="e">
        <f>VLOOKUP($E47,Tablas!$R$913:$T$934,2,0)*AQ$45</f>
        <v>#N/A</v>
      </c>
      <c r="AR47" s="2771" t="e">
        <f>VLOOKUP($E47,Tablas!$R$913:$T$934,2,0)*AR$45</f>
        <v>#N/A</v>
      </c>
      <c r="AS47" s="2771" t="e">
        <f>VLOOKUP($E47,Tablas!$R$913:$T$934,2,0)*AS$45</f>
        <v>#N/A</v>
      </c>
      <c r="AT47" s="2771" t="e">
        <f>VLOOKUP($E47,Tablas!$R$913:$T$934,2,0)*AT$45</f>
        <v>#N/A</v>
      </c>
      <c r="AU47" s="2771" t="e">
        <f>VLOOKUP($E47,Tablas!$R$913:$T$934,2,0)*AU$45</f>
        <v>#N/A</v>
      </c>
      <c r="AV47" s="2771" t="e">
        <f>VLOOKUP($E47,Tablas!$R$913:$T$934,2,0)*AV$45</f>
        <v>#N/A</v>
      </c>
    </row>
    <row r="48" spans="1:48" ht="12" customHeight="1" x14ac:dyDescent="0.2">
      <c r="A48" s="10"/>
      <c r="B48" s="924"/>
      <c r="C48" s="3479"/>
      <c r="D48" s="3581"/>
      <c r="E48" s="3504"/>
      <c r="F48" s="3505"/>
      <c r="G48" s="3505"/>
      <c r="H48" s="3505"/>
      <c r="I48" s="3505"/>
      <c r="J48" s="3505"/>
      <c r="K48" s="3635"/>
      <c r="L48" s="2256" t="str">
        <f t="shared" si="14"/>
        <v/>
      </c>
      <c r="M48" s="1696"/>
      <c r="N48" s="2256" t="str">
        <f t="shared" si="14"/>
        <v/>
      </c>
      <c r="O48" s="1696"/>
      <c r="P48" s="2256" t="str">
        <f t="shared" si="14"/>
        <v/>
      </c>
      <c r="Q48" s="1696"/>
      <c r="R48" s="2256" t="str">
        <f t="shared" si="14"/>
        <v/>
      </c>
      <c r="S48" s="1696"/>
      <c r="T48" s="2256" t="str">
        <f t="shared" si="14"/>
        <v/>
      </c>
      <c r="U48" s="1696"/>
      <c r="V48" s="3780" t="str">
        <f t="shared" si="15"/>
        <v/>
      </c>
      <c r="W48" s="3781"/>
      <c r="X48" s="3781"/>
      <c r="Y48" s="3781"/>
      <c r="Z48" s="3781"/>
      <c r="AA48" s="3782"/>
      <c r="AB48" s="1989"/>
      <c r="AC48" s="953"/>
      <c r="AD48" s="2755" t="e">
        <f>VLOOKUP(E48,Tablas!$R$913:$T$934,3,0)</f>
        <v>#N/A</v>
      </c>
      <c r="AE48" s="2764" t="e">
        <f t="shared" si="16"/>
        <v>#N/A</v>
      </c>
      <c r="AF48" s="2771" t="e">
        <f t="shared" si="17"/>
        <v>#N/A</v>
      </c>
      <c r="AG48" s="2764" t="e">
        <f t="shared" si="18"/>
        <v>#N/A</v>
      </c>
      <c r="AH48" s="2771" t="e">
        <f>VLOOKUP($E48,Tablas!$R$913:$T$934,2,0)*AH$45/2</f>
        <v>#N/A</v>
      </c>
      <c r="AI48" s="2771" t="e">
        <f>VLOOKUP($E48,Tablas!$R$913:$T$934,2,0)*AI$45/2</f>
        <v>#N/A</v>
      </c>
      <c r="AJ48" s="2771" t="e">
        <f>VLOOKUP($E48,Tablas!$R$913:$T$934,2,0)*AJ$45/2</f>
        <v>#N/A</v>
      </c>
      <c r="AK48" s="2771" t="e">
        <f>VLOOKUP($E48,Tablas!$R$913:$T$934,2,0)*AK$45/2</f>
        <v>#N/A</v>
      </c>
      <c r="AL48" s="2771" t="e">
        <f>VLOOKUP($E48,Tablas!$R$913:$T$934,2,0)*AL$45/2</f>
        <v>#N/A</v>
      </c>
      <c r="AM48" s="2771" t="e">
        <f>VLOOKUP($E48,Tablas!$R$913:$T$934,2,0)*AM$45/2</f>
        <v>#N/A</v>
      </c>
      <c r="AN48" s="2771" t="e">
        <f>VLOOKUP($E48,Tablas!$R$913:$T$934,2,0)*AN$45/2</f>
        <v>#N/A</v>
      </c>
      <c r="AO48" s="2771" t="e">
        <f>VLOOKUP($E48,Tablas!$R$913:$T$934,2,0)*AO$45/2</f>
        <v>#N/A</v>
      </c>
      <c r="AP48" s="2771" t="e">
        <f>VLOOKUP($E48,Tablas!$R$913:$T$934,2,0)*AP$45</f>
        <v>#N/A</v>
      </c>
      <c r="AQ48" s="2771" t="e">
        <f>VLOOKUP($E48,Tablas!$R$913:$T$934,2,0)*AQ$45</f>
        <v>#N/A</v>
      </c>
      <c r="AR48" s="2771" t="e">
        <f>VLOOKUP($E48,Tablas!$R$913:$T$934,2,0)*AR$45</f>
        <v>#N/A</v>
      </c>
      <c r="AS48" s="2771" t="e">
        <f>VLOOKUP($E48,Tablas!$R$913:$T$934,2,0)*AS$45</f>
        <v>#N/A</v>
      </c>
      <c r="AT48" s="2771" t="e">
        <f>VLOOKUP($E48,Tablas!$R$913:$T$934,2,0)*AT$45</f>
        <v>#N/A</v>
      </c>
      <c r="AU48" s="2771" t="e">
        <f>VLOOKUP($E48,Tablas!$R$913:$T$934,2,0)*AU$45</f>
        <v>#N/A</v>
      </c>
      <c r="AV48" s="2771" t="e">
        <f>VLOOKUP($E48,Tablas!$R$913:$T$934,2,0)*AV$45</f>
        <v>#N/A</v>
      </c>
    </row>
    <row r="49" spans="1:48" ht="12" customHeight="1" x14ac:dyDescent="0.2">
      <c r="A49" s="10"/>
      <c r="B49" s="924"/>
      <c r="C49" s="3479"/>
      <c r="D49" s="3581"/>
      <c r="E49" s="3632"/>
      <c r="F49" s="3633"/>
      <c r="G49" s="3633"/>
      <c r="H49" s="3633"/>
      <c r="I49" s="3633"/>
      <c r="J49" s="3633"/>
      <c r="K49" s="3634"/>
      <c r="L49" s="2251" t="str">
        <f t="shared" si="14"/>
        <v/>
      </c>
      <c r="M49" s="1678"/>
      <c r="N49" s="2251" t="str">
        <f t="shared" si="14"/>
        <v/>
      </c>
      <c r="O49" s="1678"/>
      <c r="P49" s="2251" t="str">
        <f t="shared" si="14"/>
        <v/>
      </c>
      <c r="Q49" s="1678"/>
      <c r="R49" s="2251" t="str">
        <f t="shared" si="14"/>
        <v/>
      </c>
      <c r="S49" s="1678"/>
      <c r="T49" s="2251" t="str">
        <f t="shared" si="14"/>
        <v/>
      </c>
      <c r="U49" s="1678"/>
      <c r="V49" s="3777" t="str">
        <f t="shared" si="15"/>
        <v/>
      </c>
      <c r="W49" s="3778"/>
      <c r="X49" s="3778"/>
      <c r="Y49" s="3778"/>
      <c r="Z49" s="3778"/>
      <c r="AA49" s="3779"/>
      <c r="AB49" s="1989"/>
      <c r="AC49" s="953"/>
      <c r="AD49" s="2755" t="e">
        <f>VLOOKUP(E49,Tablas!$R$913:$T$934,3,0)</f>
        <v>#N/A</v>
      </c>
      <c r="AE49" s="2764" t="e">
        <f t="shared" si="16"/>
        <v>#N/A</v>
      </c>
      <c r="AF49" s="2771" t="e">
        <f t="shared" si="17"/>
        <v>#N/A</v>
      </c>
      <c r="AG49" s="2764" t="e">
        <f t="shared" si="18"/>
        <v>#N/A</v>
      </c>
      <c r="AH49" s="2771" t="e">
        <f>VLOOKUP($E49,Tablas!$R$913:$T$934,2,0)*AH$45/2</f>
        <v>#N/A</v>
      </c>
      <c r="AI49" s="2771" t="e">
        <f>VLOOKUP($E49,Tablas!$R$913:$T$934,2,0)*AI$45/2</f>
        <v>#N/A</v>
      </c>
      <c r="AJ49" s="2771" t="e">
        <f>VLOOKUP($E49,Tablas!$R$913:$T$934,2,0)*AJ$45/2</f>
        <v>#N/A</v>
      </c>
      <c r="AK49" s="2771" t="e">
        <f>VLOOKUP($E49,Tablas!$R$913:$T$934,2,0)*AK$45/2</f>
        <v>#N/A</v>
      </c>
      <c r="AL49" s="2771" t="e">
        <f>VLOOKUP($E49,Tablas!$R$913:$T$934,2,0)*AL$45/2</f>
        <v>#N/A</v>
      </c>
      <c r="AM49" s="2771" t="e">
        <f>VLOOKUP($E49,Tablas!$R$913:$T$934,2,0)*AM$45/2</f>
        <v>#N/A</v>
      </c>
      <c r="AN49" s="2771" t="e">
        <f>VLOOKUP($E49,Tablas!$R$913:$T$934,2,0)*AN$45/2</f>
        <v>#N/A</v>
      </c>
      <c r="AO49" s="2771" t="e">
        <f>VLOOKUP($E49,Tablas!$R$913:$T$934,2,0)*AO$45/2</f>
        <v>#N/A</v>
      </c>
      <c r="AP49" s="2771" t="e">
        <f>VLOOKUP($E49,Tablas!$R$913:$T$934,2,0)*AP$45</f>
        <v>#N/A</v>
      </c>
      <c r="AQ49" s="2771" t="e">
        <f>VLOOKUP($E49,Tablas!$R$913:$T$934,2,0)*AQ$45</f>
        <v>#N/A</v>
      </c>
      <c r="AR49" s="2771" t="e">
        <f>VLOOKUP($E49,Tablas!$R$913:$T$934,2,0)*AR$45</f>
        <v>#N/A</v>
      </c>
      <c r="AS49" s="2771" t="e">
        <f>VLOOKUP($E49,Tablas!$R$913:$T$934,2,0)*AS$45</f>
        <v>#N/A</v>
      </c>
      <c r="AT49" s="2771" t="e">
        <f>VLOOKUP($E49,Tablas!$R$913:$T$934,2,0)*AT$45</f>
        <v>#N/A</v>
      </c>
      <c r="AU49" s="2771" t="e">
        <f>VLOOKUP($E49,Tablas!$R$913:$T$934,2,0)*AU$45</f>
        <v>#N/A</v>
      </c>
      <c r="AV49" s="2771" t="e">
        <f>VLOOKUP($E49,Tablas!$R$913:$T$934,2,0)*AV$45</f>
        <v>#N/A</v>
      </c>
    </row>
    <row r="50" spans="1:48" ht="12" customHeight="1" x14ac:dyDescent="0.2">
      <c r="A50" s="10"/>
      <c r="B50" s="924"/>
      <c r="C50" s="3479"/>
      <c r="D50" s="3581"/>
      <c r="E50" s="3504"/>
      <c r="F50" s="3505"/>
      <c r="G50" s="3505"/>
      <c r="H50" s="3505"/>
      <c r="I50" s="3505"/>
      <c r="J50" s="3505"/>
      <c r="K50" s="3635"/>
      <c r="L50" s="2256" t="str">
        <f t="shared" si="14"/>
        <v/>
      </c>
      <c r="M50" s="1696"/>
      <c r="N50" s="2256" t="str">
        <f t="shared" si="14"/>
        <v/>
      </c>
      <c r="O50" s="1696"/>
      <c r="P50" s="2256" t="str">
        <f t="shared" si="14"/>
        <v/>
      </c>
      <c r="Q50" s="1696"/>
      <c r="R50" s="2256" t="str">
        <f t="shared" si="14"/>
        <v/>
      </c>
      <c r="S50" s="1696"/>
      <c r="T50" s="2256" t="str">
        <f t="shared" si="14"/>
        <v/>
      </c>
      <c r="U50" s="1696"/>
      <c r="V50" s="3780" t="str">
        <f t="shared" si="15"/>
        <v/>
      </c>
      <c r="W50" s="3781"/>
      <c r="X50" s="3781"/>
      <c r="Y50" s="3781"/>
      <c r="Z50" s="3781"/>
      <c r="AA50" s="3782"/>
      <c r="AB50" s="1989"/>
      <c r="AC50" s="953"/>
      <c r="AD50" s="2755" t="e">
        <f>VLOOKUP(E50,Tablas!$R$913:$T$934,3,0)</f>
        <v>#N/A</v>
      </c>
      <c r="AE50" s="2764" t="e">
        <f t="shared" si="16"/>
        <v>#N/A</v>
      </c>
      <c r="AF50" s="2771" t="e">
        <f t="shared" si="17"/>
        <v>#N/A</v>
      </c>
      <c r="AG50" s="2764" t="e">
        <f t="shared" si="18"/>
        <v>#N/A</v>
      </c>
      <c r="AH50" s="2771" t="e">
        <f>VLOOKUP($E50,Tablas!$R$913:$T$934,2,0)*AH$45/2</f>
        <v>#N/A</v>
      </c>
      <c r="AI50" s="2771" t="e">
        <f>VLOOKUP($E50,Tablas!$R$913:$T$934,2,0)*AI$45/2</f>
        <v>#N/A</v>
      </c>
      <c r="AJ50" s="2771" t="e">
        <f>VLOOKUP($E50,Tablas!$R$913:$T$934,2,0)*AJ$45/2</f>
        <v>#N/A</v>
      </c>
      <c r="AK50" s="2771" t="e">
        <f>VLOOKUP($E50,Tablas!$R$913:$T$934,2,0)*AK$45/2</f>
        <v>#N/A</v>
      </c>
      <c r="AL50" s="2771" t="e">
        <f>VLOOKUP($E50,Tablas!$R$913:$T$934,2,0)*AL$45/2</f>
        <v>#N/A</v>
      </c>
      <c r="AM50" s="2771" t="e">
        <f>VLOOKUP($E50,Tablas!$R$913:$T$934,2,0)*AM$45/2</f>
        <v>#N/A</v>
      </c>
      <c r="AN50" s="2771" t="e">
        <f>VLOOKUP($E50,Tablas!$R$913:$T$934,2,0)*AN$45/2</f>
        <v>#N/A</v>
      </c>
      <c r="AO50" s="2771" t="e">
        <f>VLOOKUP($E50,Tablas!$R$913:$T$934,2,0)*AO$45/2</f>
        <v>#N/A</v>
      </c>
      <c r="AP50" s="2771" t="e">
        <f>VLOOKUP($E50,Tablas!$R$913:$T$934,2,0)*AP$45</f>
        <v>#N/A</v>
      </c>
      <c r="AQ50" s="2771" t="e">
        <f>VLOOKUP($E50,Tablas!$R$913:$T$934,2,0)*AQ$45</f>
        <v>#N/A</v>
      </c>
      <c r="AR50" s="2771" t="e">
        <f>VLOOKUP($E50,Tablas!$R$913:$T$934,2,0)*AR$45</f>
        <v>#N/A</v>
      </c>
      <c r="AS50" s="2771" t="e">
        <f>VLOOKUP($E50,Tablas!$R$913:$T$934,2,0)*AS$45</f>
        <v>#N/A</v>
      </c>
      <c r="AT50" s="2771" t="e">
        <f>VLOOKUP($E50,Tablas!$R$913:$T$934,2,0)*AT$45</f>
        <v>#N/A</v>
      </c>
      <c r="AU50" s="2771" t="e">
        <f>VLOOKUP($E50,Tablas!$R$913:$T$934,2,0)*AU$45</f>
        <v>#N/A</v>
      </c>
      <c r="AV50" s="2771" t="e">
        <f>VLOOKUP($E50,Tablas!$R$913:$T$934,2,0)*AV$45</f>
        <v>#N/A</v>
      </c>
    </row>
    <row r="51" spans="1:48" ht="12" customHeight="1" x14ac:dyDescent="0.2">
      <c r="A51" s="10"/>
      <c r="B51" s="924"/>
      <c r="C51" s="3479"/>
      <c r="D51" s="3581"/>
      <c r="E51" s="3632"/>
      <c r="F51" s="3633"/>
      <c r="G51" s="3633"/>
      <c r="H51" s="3633"/>
      <c r="I51" s="3633"/>
      <c r="J51" s="3633"/>
      <c r="K51" s="3634"/>
      <c r="L51" s="2251" t="str">
        <f t="shared" si="14"/>
        <v/>
      </c>
      <c r="M51" s="1678"/>
      <c r="N51" s="2251" t="str">
        <f t="shared" si="14"/>
        <v/>
      </c>
      <c r="O51" s="1678"/>
      <c r="P51" s="2251" t="str">
        <f t="shared" si="14"/>
        <v/>
      </c>
      <c r="Q51" s="1678"/>
      <c r="R51" s="2251" t="str">
        <f t="shared" si="14"/>
        <v/>
      </c>
      <c r="S51" s="1678"/>
      <c r="T51" s="2251" t="str">
        <f t="shared" si="14"/>
        <v/>
      </c>
      <c r="U51" s="1678"/>
      <c r="V51" s="3777" t="str">
        <f t="shared" si="15"/>
        <v/>
      </c>
      <c r="W51" s="3778"/>
      <c r="X51" s="3778"/>
      <c r="Y51" s="3778"/>
      <c r="Z51" s="3778"/>
      <c r="AA51" s="3779"/>
      <c r="AB51" s="1989"/>
      <c r="AC51" s="953"/>
      <c r="AD51" s="2755" t="e">
        <f>VLOOKUP(E51,Tablas!$R$913:$T$934,3,0)</f>
        <v>#N/A</v>
      </c>
      <c r="AE51" s="2764" t="e">
        <f t="shared" si="16"/>
        <v>#N/A</v>
      </c>
      <c r="AF51" s="2771" t="e">
        <f t="shared" si="17"/>
        <v>#N/A</v>
      </c>
      <c r="AG51" s="2764" t="e">
        <f t="shared" si="18"/>
        <v>#N/A</v>
      </c>
      <c r="AH51" s="2771" t="e">
        <f>VLOOKUP($E51,Tablas!$R$913:$T$934,2,0)*AH$45/2</f>
        <v>#N/A</v>
      </c>
      <c r="AI51" s="2771" t="e">
        <f>VLOOKUP($E51,Tablas!$R$913:$T$934,2,0)*AI$45/2</f>
        <v>#N/A</v>
      </c>
      <c r="AJ51" s="2771" t="e">
        <f>VLOOKUP($E51,Tablas!$R$913:$T$934,2,0)*AJ$45/2</f>
        <v>#N/A</v>
      </c>
      <c r="AK51" s="2771" t="e">
        <f>VLOOKUP($E51,Tablas!$R$913:$T$934,2,0)*AK$45/2</f>
        <v>#N/A</v>
      </c>
      <c r="AL51" s="2771" t="e">
        <f>VLOOKUP($E51,Tablas!$R$913:$T$934,2,0)*AL$45/2</f>
        <v>#N/A</v>
      </c>
      <c r="AM51" s="2771" t="e">
        <f>VLOOKUP($E51,Tablas!$R$913:$T$934,2,0)*AM$45/2</f>
        <v>#N/A</v>
      </c>
      <c r="AN51" s="2771" t="e">
        <f>VLOOKUP($E51,Tablas!$R$913:$T$934,2,0)*AN$45/2</f>
        <v>#N/A</v>
      </c>
      <c r="AO51" s="2771" t="e">
        <f>VLOOKUP($E51,Tablas!$R$913:$T$934,2,0)*AO$45/2</f>
        <v>#N/A</v>
      </c>
      <c r="AP51" s="2771" t="e">
        <f>VLOOKUP($E51,Tablas!$R$913:$T$934,2,0)*AP$45</f>
        <v>#N/A</v>
      </c>
      <c r="AQ51" s="2771" t="e">
        <f>VLOOKUP($E51,Tablas!$R$913:$T$934,2,0)*AQ$45</f>
        <v>#N/A</v>
      </c>
      <c r="AR51" s="2771" t="e">
        <f>VLOOKUP($E51,Tablas!$R$913:$T$934,2,0)*AR$45</f>
        <v>#N/A</v>
      </c>
      <c r="AS51" s="2771" t="e">
        <f>VLOOKUP($E51,Tablas!$R$913:$T$934,2,0)*AS$45</f>
        <v>#N/A</v>
      </c>
      <c r="AT51" s="2771" t="e">
        <f>VLOOKUP($E51,Tablas!$R$913:$T$934,2,0)*AT$45</f>
        <v>#N/A</v>
      </c>
      <c r="AU51" s="2771" t="e">
        <f>VLOOKUP($E51,Tablas!$R$913:$T$934,2,0)*AU$45</f>
        <v>#N/A</v>
      </c>
      <c r="AV51" s="2771" t="e">
        <f>VLOOKUP($E51,Tablas!$R$913:$T$934,2,0)*AV$45</f>
        <v>#N/A</v>
      </c>
    </row>
    <row r="52" spans="1:48" ht="12" customHeight="1" x14ac:dyDescent="0.2">
      <c r="A52" s="10"/>
      <c r="B52" s="924"/>
      <c r="C52" s="3479"/>
      <c r="D52" s="3581"/>
      <c r="E52" s="3504"/>
      <c r="F52" s="3505"/>
      <c r="G52" s="3505"/>
      <c r="H52" s="3505"/>
      <c r="I52" s="3505"/>
      <c r="J52" s="3505"/>
      <c r="K52" s="3635"/>
      <c r="L52" s="2256" t="str">
        <f t="shared" si="14"/>
        <v/>
      </c>
      <c r="M52" s="1700"/>
      <c r="N52" s="2256" t="str">
        <f t="shared" si="14"/>
        <v/>
      </c>
      <c r="O52" s="1700"/>
      <c r="P52" s="2256" t="str">
        <f t="shared" si="14"/>
        <v/>
      </c>
      <c r="Q52" s="1700"/>
      <c r="R52" s="2256" t="str">
        <f t="shared" si="14"/>
        <v/>
      </c>
      <c r="S52" s="1700"/>
      <c r="T52" s="2256" t="str">
        <f t="shared" si="14"/>
        <v/>
      </c>
      <c r="U52" s="1700"/>
      <c r="V52" s="3780" t="str">
        <f t="shared" si="15"/>
        <v/>
      </c>
      <c r="W52" s="3781"/>
      <c r="X52" s="3781"/>
      <c r="Y52" s="3781"/>
      <c r="Z52" s="3781"/>
      <c r="AA52" s="3782"/>
      <c r="AB52" s="1989"/>
      <c r="AC52" s="953"/>
      <c r="AD52" s="2755" t="e">
        <f>VLOOKUP(E52,Tablas!$R$913:$T$934,3,0)</f>
        <v>#N/A</v>
      </c>
      <c r="AE52" s="2764" t="e">
        <f t="shared" si="16"/>
        <v>#N/A</v>
      </c>
      <c r="AF52" s="2771" t="e">
        <f t="shared" si="17"/>
        <v>#N/A</v>
      </c>
      <c r="AG52" s="2764" t="e">
        <f t="shared" si="18"/>
        <v>#N/A</v>
      </c>
      <c r="AH52" s="2771" t="e">
        <f>VLOOKUP($E52,Tablas!$R$913:$T$934,2,0)*AH$45/2</f>
        <v>#N/A</v>
      </c>
      <c r="AI52" s="2771" t="e">
        <f>VLOOKUP($E52,Tablas!$R$913:$T$934,2,0)*AI$45/2</f>
        <v>#N/A</v>
      </c>
      <c r="AJ52" s="2771" t="e">
        <f>VLOOKUP($E52,Tablas!$R$913:$T$934,2,0)*AJ$45/2</f>
        <v>#N/A</v>
      </c>
      <c r="AK52" s="2771" t="e">
        <f>VLOOKUP($E52,Tablas!$R$913:$T$934,2,0)*AK$45/2</f>
        <v>#N/A</v>
      </c>
      <c r="AL52" s="2771" t="e">
        <f>VLOOKUP($E52,Tablas!$R$913:$T$934,2,0)*AL$45/2</f>
        <v>#N/A</v>
      </c>
      <c r="AM52" s="2771" t="e">
        <f>VLOOKUP($E52,Tablas!$R$913:$T$934,2,0)*AM$45/2</f>
        <v>#N/A</v>
      </c>
      <c r="AN52" s="2771" t="e">
        <f>VLOOKUP($E52,Tablas!$R$913:$T$934,2,0)*AN$45/2</f>
        <v>#N/A</v>
      </c>
      <c r="AO52" s="2771" t="e">
        <f>VLOOKUP($E52,Tablas!$R$913:$T$934,2,0)*AO$45/2</f>
        <v>#N/A</v>
      </c>
      <c r="AP52" s="2771" t="e">
        <f>VLOOKUP($E52,Tablas!$R$913:$T$934,2,0)*AP$45</f>
        <v>#N/A</v>
      </c>
      <c r="AQ52" s="2771" t="e">
        <f>VLOOKUP($E52,Tablas!$R$913:$T$934,2,0)*AQ$45</f>
        <v>#N/A</v>
      </c>
      <c r="AR52" s="2771" t="e">
        <f>VLOOKUP($E52,Tablas!$R$913:$T$934,2,0)*AR$45</f>
        <v>#N/A</v>
      </c>
      <c r="AS52" s="2771" t="e">
        <f>VLOOKUP($E52,Tablas!$R$913:$T$934,2,0)*AS$45</f>
        <v>#N/A</v>
      </c>
      <c r="AT52" s="2771" t="e">
        <f>VLOOKUP($E52,Tablas!$R$913:$T$934,2,0)*AT$45</f>
        <v>#N/A</v>
      </c>
      <c r="AU52" s="2771" t="e">
        <f>VLOOKUP($E52,Tablas!$R$913:$T$934,2,0)*AU$45</f>
        <v>#N/A</v>
      </c>
      <c r="AV52" s="2771" t="e">
        <f>VLOOKUP($E52,Tablas!$R$913:$T$934,2,0)*AV$45</f>
        <v>#N/A</v>
      </c>
    </row>
    <row r="53" spans="1:48" ht="12" customHeight="1" x14ac:dyDescent="0.2">
      <c r="A53" s="10"/>
      <c r="B53" s="924"/>
      <c r="C53" s="3479"/>
      <c r="D53" s="3581"/>
      <c r="E53" s="3632"/>
      <c r="F53" s="3633"/>
      <c r="G53" s="3633"/>
      <c r="H53" s="3633"/>
      <c r="I53" s="3633"/>
      <c r="J53" s="3633"/>
      <c r="K53" s="3634"/>
      <c r="L53" s="2251" t="str">
        <f t="shared" si="14"/>
        <v/>
      </c>
      <c r="M53" s="1682"/>
      <c r="N53" s="2251" t="str">
        <f t="shared" si="14"/>
        <v/>
      </c>
      <c r="O53" s="1682"/>
      <c r="P53" s="2251" t="str">
        <f t="shared" si="14"/>
        <v/>
      </c>
      <c r="Q53" s="1682"/>
      <c r="R53" s="2251" t="str">
        <f t="shared" si="14"/>
        <v/>
      </c>
      <c r="S53" s="1682"/>
      <c r="T53" s="2251" t="str">
        <f t="shared" si="14"/>
        <v/>
      </c>
      <c r="U53" s="1682"/>
      <c r="V53" s="3777" t="str">
        <f t="shared" si="15"/>
        <v/>
      </c>
      <c r="W53" s="3778"/>
      <c r="X53" s="3778"/>
      <c r="Y53" s="3778"/>
      <c r="Z53" s="3778"/>
      <c r="AA53" s="3779"/>
      <c r="AB53" s="1989"/>
      <c r="AC53" s="953"/>
      <c r="AD53" s="2755" t="e">
        <f>VLOOKUP(E53,Tablas!$R$913:$T$934,3,0)</f>
        <v>#N/A</v>
      </c>
      <c r="AE53" s="2764" t="e">
        <f t="shared" si="16"/>
        <v>#N/A</v>
      </c>
      <c r="AF53" s="2771" t="e">
        <f t="shared" si="17"/>
        <v>#N/A</v>
      </c>
      <c r="AG53" s="2764" t="e">
        <f t="shared" si="18"/>
        <v>#N/A</v>
      </c>
      <c r="AH53" s="2771" t="e">
        <f>VLOOKUP($E53,Tablas!$R$913:$T$934,2,0)*AH$45/2</f>
        <v>#N/A</v>
      </c>
      <c r="AI53" s="2771" t="e">
        <f>VLOOKUP($E53,Tablas!$R$913:$T$934,2,0)*AI$45/2</f>
        <v>#N/A</v>
      </c>
      <c r="AJ53" s="2771" t="e">
        <f>VLOOKUP($E53,Tablas!$R$913:$T$934,2,0)*AJ$45/2</f>
        <v>#N/A</v>
      </c>
      <c r="AK53" s="2771" t="e">
        <f>VLOOKUP($E53,Tablas!$R$913:$T$934,2,0)*AK$45/2</f>
        <v>#N/A</v>
      </c>
      <c r="AL53" s="2771" t="e">
        <f>VLOOKUP($E53,Tablas!$R$913:$T$934,2,0)*AL$45/2</f>
        <v>#N/A</v>
      </c>
      <c r="AM53" s="2771" t="e">
        <f>VLOOKUP($E53,Tablas!$R$913:$T$934,2,0)*AM$45/2</f>
        <v>#N/A</v>
      </c>
      <c r="AN53" s="2771" t="e">
        <f>VLOOKUP($E53,Tablas!$R$913:$T$934,2,0)*AN$45/2</f>
        <v>#N/A</v>
      </c>
      <c r="AO53" s="2771" t="e">
        <f>VLOOKUP($E53,Tablas!$R$913:$T$934,2,0)*AO$45/2</f>
        <v>#N/A</v>
      </c>
      <c r="AP53" s="2771" t="e">
        <f>VLOOKUP($E53,Tablas!$R$913:$T$934,2,0)*AP$45</f>
        <v>#N/A</v>
      </c>
      <c r="AQ53" s="2771" t="e">
        <f>VLOOKUP($E53,Tablas!$R$913:$T$934,2,0)*AQ$45</f>
        <v>#N/A</v>
      </c>
      <c r="AR53" s="2771" t="e">
        <f>VLOOKUP($E53,Tablas!$R$913:$T$934,2,0)*AR$45</f>
        <v>#N/A</v>
      </c>
      <c r="AS53" s="2771" t="e">
        <f>VLOOKUP($E53,Tablas!$R$913:$T$934,2,0)*AS$45</f>
        <v>#N/A</v>
      </c>
      <c r="AT53" s="2771" t="e">
        <f>VLOOKUP($E53,Tablas!$R$913:$T$934,2,0)*AT$45</f>
        <v>#N/A</v>
      </c>
      <c r="AU53" s="2771" t="e">
        <f>VLOOKUP($E53,Tablas!$R$913:$T$934,2,0)*AU$45</f>
        <v>#N/A</v>
      </c>
      <c r="AV53" s="2771" t="e">
        <f>VLOOKUP($E53,Tablas!$R$913:$T$934,2,0)*AV$45</f>
        <v>#N/A</v>
      </c>
    </row>
    <row r="54" spans="1:48" ht="12" customHeight="1" x14ac:dyDescent="0.2">
      <c r="A54" s="10"/>
      <c r="B54" s="924"/>
      <c r="C54" s="3479"/>
      <c r="D54" s="3581"/>
      <c r="E54" s="3504"/>
      <c r="F54" s="3505"/>
      <c r="G54" s="3505"/>
      <c r="H54" s="3505"/>
      <c r="I54" s="3505"/>
      <c r="J54" s="3505"/>
      <c r="K54" s="3635"/>
      <c r="L54" s="2256" t="str">
        <f t="shared" si="14"/>
        <v/>
      </c>
      <c r="M54" s="1700"/>
      <c r="N54" s="2256" t="str">
        <f t="shared" si="14"/>
        <v/>
      </c>
      <c r="O54" s="1700"/>
      <c r="P54" s="2256" t="str">
        <f t="shared" si="14"/>
        <v/>
      </c>
      <c r="Q54" s="1700"/>
      <c r="R54" s="2256" t="str">
        <f t="shared" si="14"/>
        <v/>
      </c>
      <c r="S54" s="1700"/>
      <c r="T54" s="2256" t="str">
        <f t="shared" si="14"/>
        <v/>
      </c>
      <c r="U54" s="1700"/>
      <c r="V54" s="3780" t="str">
        <f t="shared" si="15"/>
        <v/>
      </c>
      <c r="W54" s="3781"/>
      <c r="X54" s="3781"/>
      <c r="Y54" s="3781"/>
      <c r="Z54" s="3781"/>
      <c r="AA54" s="3782"/>
      <c r="AB54" s="1989"/>
      <c r="AC54" s="953"/>
      <c r="AD54" s="2755" t="e">
        <f>VLOOKUP(E54,Tablas!$R$913:$T$934,3,0)</f>
        <v>#N/A</v>
      </c>
      <c r="AE54" s="2764" t="e">
        <f t="shared" si="16"/>
        <v>#N/A</v>
      </c>
      <c r="AF54" s="2771" t="e">
        <f t="shared" si="17"/>
        <v>#N/A</v>
      </c>
      <c r="AG54" s="2764" t="e">
        <f t="shared" si="18"/>
        <v>#N/A</v>
      </c>
      <c r="AH54" s="2771" t="e">
        <f>VLOOKUP($E54,Tablas!$R$913:$T$934,2,0)*AH$45/2</f>
        <v>#N/A</v>
      </c>
      <c r="AI54" s="2771" t="e">
        <f>VLOOKUP($E54,Tablas!$R$913:$T$934,2,0)*AI$45/2</f>
        <v>#N/A</v>
      </c>
      <c r="AJ54" s="2771" t="e">
        <f>VLOOKUP($E54,Tablas!$R$913:$T$934,2,0)*AJ$45/2</f>
        <v>#N/A</v>
      </c>
      <c r="AK54" s="2771" t="e">
        <f>VLOOKUP($E54,Tablas!$R$913:$T$934,2,0)*AK$45/2</f>
        <v>#N/A</v>
      </c>
      <c r="AL54" s="2771" t="e">
        <f>VLOOKUP($E54,Tablas!$R$913:$T$934,2,0)*AL$45/2</f>
        <v>#N/A</v>
      </c>
      <c r="AM54" s="2771" t="e">
        <f>VLOOKUP($E54,Tablas!$R$913:$T$934,2,0)*AM$45/2</f>
        <v>#N/A</v>
      </c>
      <c r="AN54" s="2771" t="e">
        <f>VLOOKUP($E54,Tablas!$R$913:$T$934,2,0)*AN$45/2</f>
        <v>#N/A</v>
      </c>
      <c r="AO54" s="2771" t="e">
        <f>VLOOKUP($E54,Tablas!$R$913:$T$934,2,0)*AO$45/2</f>
        <v>#N/A</v>
      </c>
      <c r="AP54" s="2771" t="e">
        <f>VLOOKUP($E54,Tablas!$R$913:$T$934,2,0)*AP$45</f>
        <v>#N/A</v>
      </c>
      <c r="AQ54" s="2771" t="e">
        <f>VLOOKUP($E54,Tablas!$R$913:$T$934,2,0)*AQ$45</f>
        <v>#N/A</v>
      </c>
      <c r="AR54" s="2771" t="e">
        <f>VLOOKUP($E54,Tablas!$R$913:$T$934,2,0)*AR$45</f>
        <v>#N/A</v>
      </c>
      <c r="AS54" s="2771" t="e">
        <f>VLOOKUP($E54,Tablas!$R$913:$T$934,2,0)*AS$45</f>
        <v>#N/A</v>
      </c>
      <c r="AT54" s="2771" t="e">
        <f>VLOOKUP($E54,Tablas!$R$913:$T$934,2,0)*AT$45</f>
        <v>#N/A</v>
      </c>
      <c r="AU54" s="2771" t="e">
        <f>VLOOKUP($E54,Tablas!$R$913:$T$934,2,0)*AU$45</f>
        <v>#N/A</v>
      </c>
      <c r="AV54" s="2771" t="e">
        <f>VLOOKUP($E54,Tablas!$R$913:$T$934,2,0)*AV$45</f>
        <v>#N/A</v>
      </c>
    </row>
    <row r="55" spans="1:48" ht="12" customHeight="1" x14ac:dyDescent="0.2">
      <c r="A55" s="10"/>
      <c r="B55" s="924"/>
      <c r="C55" s="3479"/>
      <c r="D55" s="3582"/>
      <c r="E55" s="3657"/>
      <c r="F55" s="3658"/>
      <c r="G55" s="3658"/>
      <c r="H55" s="3658"/>
      <c r="I55" s="3658"/>
      <c r="J55" s="3658"/>
      <c r="K55" s="3659"/>
      <c r="L55" s="2254" t="str">
        <f t="shared" si="14"/>
        <v/>
      </c>
      <c r="M55" s="1683"/>
      <c r="N55" s="2254" t="str">
        <f t="shared" si="14"/>
        <v/>
      </c>
      <c r="O55" s="1683"/>
      <c r="P55" s="2254" t="str">
        <f t="shared" si="14"/>
        <v/>
      </c>
      <c r="Q55" s="1683"/>
      <c r="R55" s="2254" t="str">
        <f t="shared" si="14"/>
        <v/>
      </c>
      <c r="S55" s="1683"/>
      <c r="T55" s="2254" t="str">
        <f t="shared" si="14"/>
        <v/>
      </c>
      <c r="U55" s="1683"/>
      <c r="V55" s="3783" t="str">
        <f t="shared" si="15"/>
        <v/>
      </c>
      <c r="W55" s="3784"/>
      <c r="X55" s="3784"/>
      <c r="Y55" s="3784"/>
      <c r="Z55" s="3784"/>
      <c r="AA55" s="3785"/>
      <c r="AB55" s="1989"/>
      <c r="AC55" s="953"/>
      <c r="AD55" s="2755" t="e">
        <f>VLOOKUP(E55,Tablas!$R$913:$T$934,3,0)</f>
        <v>#N/A</v>
      </c>
      <c r="AE55" s="2764" t="e">
        <f t="shared" si="16"/>
        <v>#N/A</v>
      </c>
      <c r="AF55" s="2771" t="e">
        <f t="shared" si="17"/>
        <v>#N/A</v>
      </c>
      <c r="AG55" s="2764" t="e">
        <f t="shared" si="18"/>
        <v>#N/A</v>
      </c>
      <c r="AH55" s="2771" t="e">
        <f>VLOOKUP($E55,Tablas!$R$913:$T$934,2,0)*AH$45/2</f>
        <v>#N/A</v>
      </c>
      <c r="AI55" s="2771" t="e">
        <f>VLOOKUP($E55,Tablas!$R$913:$T$934,2,0)*AI$45/2</f>
        <v>#N/A</v>
      </c>
      <c r="AJ55" s="2771" t="e">
        <f>VLOOKUP($E55,Tablas!$R$913:$T$934,2,0)*AJ$45/2</f>
        <v>#N/A</v>
      </c>
      <c r="AK55" s="2771" t="e">
        <f>VLOOKUP($E55,Tablas!$R$913:$T$934,2,0)*AK$45/2</f>
        <v>#N/A</v>
      </c>
      <c r="AL55" s="2771" t="e">
        <f>VLOOKUP($E55,Tablas!$R$913:$T$934,2,0)*AL$45/2</f>
        <v>#N/A</v>
      </c>
      <c r="AM55" s="2771" t="e">
        <f>VLOOKUP($E55,Tablas!$R$913:$T$934,2,0)*AM$45/2</f>
        <v>#N/A</v>
      </c>
      <c r="AN55" s="2771" t="e">
        <f>VLOOKUP($E55,Tablas!$R$913:$T$934,2,0)*AN$45/2</f>
        <v>#N/A</v>
      </c>
      <c r="AO55" s="2771" t="e">
        <f>VLOOKUP($E55,Tablas!$R$913:$T$934,2,0)*AO$45/2</f>
        <v>#N/A</v>
      </c>
      <c r="AP55" s="2771" t="e">
        <f>VLOOKUP($E55,Tablas!$R$913:$T$934,2,0)*AP$45</f>
        <v>#N/A</v>
      </c>
      <c r="AQ55" s="2771" t="e">
        <f>VLOOKUP($E55,Tablas!$R$913:$T$934,2,0)*AQ$45</f>
        <v>#N/A</v>
      </c>
      <c r="AR55" s="2771" t="e">
        <f>VLOOKUP($E55,Tablas!$R$913:$T$934,2,0)*AR$45</f>
        <v>#N/A</v>
      </c>
      <c r="AS55" s="2771" t="e">
        <f>VLOOKUP($E55,Tablas!$R$913:$T$934,2,0)*AS$45</f>
        <v>#N/A</v>
      </c>
      <c r="AT55" s="2771" t="e">
        <f>VLOOKUP($E55,Tablas!$R$913:$T$934,2,0)*AT$45</f>
        <v>#N/A</v>
      </c>
      <c r="AU55" s="2771" t="e">
        <f>VLOOKUP($E55,Tablas!$R$913:$T$934,2,0)*AU$45</f>
        <v>#N/A</v>
      </c>
      <c r="AV55" s="2771" t="e">
        <f>VLOOKUP($E55,Tablas!$R$913:$T$934,2,0)*AV$45</f>
        <v>#N/A</v>
      </c>
    </row>
    <row r="56" spans="1:48" ht="12" customHeight="1" x14ac:dyDescent="0.2">
      <c r="A56" s="10"/>
      <c r="B56" s="924"/>
      <c r="C56" s="3479"/>
      <c r="D56" s="3580" t="s">
        <v>1512</v>
      </c>
      <c r="E56" s="3590"/>
      <c r="F56" s="3591"/>
      <c r="G56" s="3591"/>
      <c r="H56" s="3591"/>
      <c r="I56" s="3592"/>
      <c r="J56" s="3586"/>
      <c r="K56" s="3587"/>
      <c r="L56" s="562" t="str">
        <f>IFERROR(IF(NOT(Tablas!$AK$814),INDEX(Tablas!AN816:AP816,1,Tablas!AL816),IF(M56&lt;&gt;"",IF(Tablas!$AK816="Básica",INDEX(Tablas!$AF$826:$AF$828,AG56),IF(Tablas!$AK816="Avanzada",INDEX(Tablas!$AG$826:$AG$827,AG56),"")),"")),"")</f>
        <v/>
      </c>
      <c r="M56" s="1696"/>
      <c r="N56" s="2256"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600" t="str">
        <f t="shared" ref="V56:V74" si="19">IF($AD56=0,"",IF(AF56&gt;1,"ARTE MARCIAL REPETIDA",IF(NOT(AL56),"ARTE MARCIAL SIN PAGAR",IF(VLOOKUP($AD56,Tabla_ArtesMarciales,23,FALSE)&lt;&gt;"-","FALTAN REQUISITOS",IF(VLOOKUP($AD56,Tabla_ArtesMarciales,16,FALSE)&gt;55,"Ver",VLOOKUP($AD56,Tabla_ArtesMarciales,9,FALSE))))))</f>
        <v/>
      </c>
      <c r="W56" s="3601"/>
      <c r="X56" s="3601"/>
      <c r="Y56" s="3601"/>
      <c r="Z56" s="3601"/>
      <c r="AA56" s="3602"/>
      <c r="AB56" s="1989"/>
      <c r="AC56" s="953"/>
      <c r="AD56" s="2755">
        <f>IF(OR(E56="",J56=""),,E56&amp;" ("&amp;J56&amp;")")</f>
        <v>0</v>
      </c>
      <c r="AE56" s="2764" t="str">
        <f>Tablas!$AK816</f>
        <v/>
      </c>
      <c r="AF56" s="2771">
        <f>COUNTIF($E$56:$E56,E56)</f>
        <v>0</v>
      </c>
      <c r="AG56" s="2771">
        <f>Tablas!AQ816</f>
        <v>0</v>
      </c>
      <c r="AH56" s="2771">
        <f>Tablas!AV816</f>
        <v>0</v>
      </c>
      <c r="AI56" s="2771">
        <f>Tablas!BA816</f>
        <v>0</v>
      </c>
      <c r="AJ56" s="2771">
        <f>Tablas!BF816</f>
        <v>0</v>
      </c>
      <c r="AK56" s="2771">
        <f>Tablas!BK816</f>
        <v>0</v>
      </c>
      <c r="AL56" s="1986" t="b">
        <f>Tablas!BL816=1</f>
        <v>0</v>
      </c>
      <c r="AM56" s="2759"/>
      <c r="AN56" s="2759"/>
      <c r="AO56" s="2759"/>
      <c r="AP56" s="2759"/>
      <c r="AQ56" s="1986"/>
      <c r="AR56" s="1986"/>
      <c r="AS56" s="1986"/>
      <c r="AT56" s="1986"/>
      <c r="AU56" s="1986"/>
      <c r="AV56" s="1986"/>
    </row>
    <row r="57" spans="1:48" ht="12" customHeight="1" x14ac:dyDescent="0.2">
      <c r="A57" s="10"/>
      <c r="B57" s="924"/>
      <c r="C57" s="3479"/>
      <c r="D57" s="3581"/>
      <c r="E57" s="3583"/>
      <c r="F57" s="3584"/>
      <c r="G57" s="3584"/>
      <c r="H57" s="3584"/>
      <c r="I57" s="3585"/>
      <c r="J57" s="3588"/>
      <c r="K57" s="3589"/>
      <c r="L57" s="2076" t="str">
        <f>IFERROR(IF(NOT(Tablas!$AK$814),INDEX(Tablas!AN817:AP817,1,Tablas!AL817),IF(M57&lt;&gt;"",IF(Tablas!$AK817="Básica",INDEX(Tablas!$AF$826:$AF$828,AG57),IF(Tablas!$AK817="Avanzada",INDEX(Tablas!$AG$826:$AG$827,AG57),"")),"")),"")</f>
        <v/>
      </c>
      <c r="M57" s="1678"/>
      <c r="N57" s="2251" t="str">
        <f>IFERROR(IF(NOT(Tablas!$AK$814),INDEX(Tablas!AP817:AR817,1,Tablas!AN817),IF(O57&lt;&gt;"",IF(Tablas!$AK817="Básica",INDEX(Tablas!$AF$826:$AF$828,AI57),IF(Tablas!$AK817="Avanzada",INDEX(Tablas!$AG$826:$AG$827,AI57),"")),"")),"")</f>
        <v/>
      </c>
      <c r="O57" s="1678"/>
      <c r="P57" s="2093" t="str">
        <f>IFERROR(IF(NOT(Tablas!$AK$814),INDEX(Tablas!AR817:AT817,1,Tablas!AP817),IF(Q57&lt;&gt;"",IF(Tablas!$AK817="Básica",INDEX(Tablas!$AF$826:$AF$828,AK57),IF(Tablas!$AK817="Avanzada",INDEX(Tablas!$AG$826:$AG$827,AK57),"")),"")),"")</f>
        <v/>
      </c>
      <c r="Q57" s="1678"/>
      <c r="R57" s="2093" t="str">
        <f>IFERROR(IF(NOT(Tablas!$AK$814),INDEX(Tablas!AT817:AV817,1,Tablas!AR817),IF(S57&lt;&gt;"",IF(Tablas!$AK817="Básica",INDEX(Tablas!$AF$826:$AF$828,AM57),IF(Tablas!$AK817="Avanzada",INDEX(Tablas!$AG$826:$AG$827,AM57),"")),"")),"")</f>
        <v/>
      </c>
      <c r="S57" s="1678"/>
      <c r="T57" s="2093" t="str">
        <f>IFERROR(IF(NOT(Tablas!$AK$814),INDEX(Tablas!AV817:AX817,1,Tablas!AT817),IF(U57&lt;&gt;"",IF(Tablas!$AK817="Básica",INDEX(Tablas!$AF$826:$AF$828,AO57),IF(Tablas!$AK817="Avanzada",INDEX(Tablas!$AG$826:$AG$827,AO57),"")),"")),"")</f>
        <v/>
      </c>
      <c r="U57" s="1678"/>
      <c r="V57" s="3603" t="str">
        <f t="shared" si="19"/>
        <v/>
      </c>
      <c r="W57" s="3604"/>
      <c r="X57" s="3604"/>
      <c r="Y57" s="3604"/>
      <c r="Z57" s="3604"/>
      <c r="AA57" s="3605"/>
      <c r="AB57" s="1989"/>
      <c r="AC57" s="953"/>
      <c r="AD57" s="2755">
        <f t="shared" ref="AD57:AD74" si="20">IF(OR(E57="",J57=""),,E57&amp;" ("&amp;J57&amp;")")</f>
        <v>0</v>
      </c>
      <c r="AE57" s="2764" t="str">
        <f>Tablas!$AK817</f>
        <v/>
      </c>
      <c r="AF57" s="2771">
        <f>COUNTIF($E$56:$E57,E57)</f>
        <v>0</v>
      </c>
      <c r="AG57" s="2771">
        <f>Tablas!AQ817</f>
        <v>0</v>
      </c>
      <c r="AH57" s="2771">
        <f>Tablas!AV817</f>
        <v>0</v>
      </c>
      <c r="AI57" s="2771">
        <f>Tablas!BA817</f>
        <v>0</v>
      </c>
      <c r="AJ57" s="2771">
        <f>Tablas!BF817</f>
        <v>0</v>
      </c>
      <c r="AK57" s="2771">
        <f>Tablas!BK817</f>
        <v>0</v>
      </c>
      <c r="AL57" s="1986" t="b">
        <f>Tablas!BL817=1</f>
        <v>0</v>
      </c>
      <c r="AM57" s="2759"/>
      <c r="AN57" s="2759"/>
      <c r="AO57" s="2759"/>
      <c r="AP57" s="2759"/>
      <c r="AQ57" s="1986"/>
      <c r="AR57" s="1986"/>
      <c r="AS57" s="1986"/>
      <c r="AT57" s="1986"/>
      <c r="AU57" s="1986"/>
      <c r="AV57" s="1986"/>
    </row>
    <row r="58" spans="1:48" ht="12" customHeight="1" x14ac:dyDescent="0.2">
      <c r="A58" s="10"/>
      <c r="B58" s="924"/>
      <c r="C58" s="3479"/>
      <c r="D58" s="3581"/>
      <c r="E58" s="3590"/>
      <c r="F58" s="3591"/>
      <c r="G58" s="3591"/>
      <c r="H58" s="3591"/>
      <c r="I58" s="3592"/>
      <c r="J58" s="3586"/>
      <c r="K58" s="3587"/>
      <c r="L58" s="562" t="str">
        <f>IFERROR(IF(NOT(Tablas!$AK$814),INDEX(Tablas!AN818:AP818,1,Tablas!AL818),IF(M58&lt;&gt;"",IF(Tablas!$AK818="Básica",INDEX(Tablas!$AF$826:$AF$828,AG58),IF(Tablas!$AK818="Avanzada",INDEX(Tablas!$AG$826:$AG$827,AG58),"")),"")),"")</f>
        <v/>
      </c>
      <c r="M58" s="1696"/>
      <c r="N58" s="2256"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606" t="str">
        <f t="shared" si="19"/>
        <v/>
      </c>
      <c r="W58" s="3607"/>
      <c r="X58" s="3607"/>
      <c r="Y58" s="3607"/>
      <c r="Z58" s="3607"/>
      <c r="AA58" s="3608"/>
      <c r="AB58" s="1989"/>
      <c r="AC58" s="953"/>
      <c r="AD58" s="2755">
        <f t="shared" si="20"/>
        <v>0</v>
      </c>
      <c r="AE58" s="2764" t="str">
        <f>Tablas!$AK818</f>
        <v/>
      </c>
      <c r="AF58" s="2771">
        <f>COUNTIF($E$56:$E58,E58)</f>
        <v>0</v>
      </c>
      <c r="AG58" s="2771">
        <f>Tablas!AQ818</f>
        <v>0</v>
      </c>
      <c r="AH58" s="2771">
        <f>Tablas!AV818</f>
        <v>0</v>
      </c>
      <c r="AI58" s="2771">
        <f>Tablas!BA818</f>
        <v>0</v>
      </c>
      <c r="AJ58" s="2771">
        <f>Tablas!BF818</f>
        <v>0</v>
      </c>
      <c r="AK58" s="2771">
        <f>Tablas!BK818</f>
        <v>0</v>
      </c>
      <c r="AL58" s="1986" t="b">
        <f>Tablas!BL818=1</f>
        <v>0</v>
      </c>
      <c r="AM58" s="2759"/>
      <c r="AN58" s="2759"/>
      <c r="AO58" s="2759"/>
      <c r="AP58" s="2759"/>
      <c r="AQ58" s="1986"/>
      <c r="AR58" s="1986"/>
      <c r="AS58" s="1986"/>
      <c r="AT58" s="1986"/>
      <c r="AU58" s="1986"/>
      <c r="AV58" s="1986"/>
    </row>
    <row r="59" spans="1:48" ht="12" customHeight="1" x14ac:dyDescent="0.2">
      <c r="A59" s="10"/>
      <c r="B59" s="924"/>
      <c r="C59" s="3479"/>
      <c r="D59" s="3581"/>
      <c r="E59" s="3583"/>
      <c r="F59" s="3584"/>
      <c r="G59" s="3584"/>
      <c r="H59" s="3584"/>
      <c r="I59" s="3585"/>
      <c r="J59" s="3588"/>
      <c r="K59" s="3589"/>
      <c r="L59" s="2076" t="str">
        <f>IFERROR(IF(NOT(Tablas!$AK$814),INDEX(Tablas!AN819:AP819,1,Tablas!AL819),IF(M59&lt;&gt;"",IF(Tablas!$AK819="Básica",INDEX(Tablas!$AF$826:$AF$828,AG59),IF(Tablas!$AK819="Avanzada",INDEX(Tablas!$AG$826:$AG$827,AG59),"")),"")),"")</f>
        <v/>
      </c>
      <c r="M59" s="1678"/>
      <c r="N59" s="2251" t="str">
        <f>IFERROR(IF(NOT(Tablas!$AK$814),INDEX(Tablas!AP819:AR819,1,Tablas!AN819),IF(O59&lt;&gt;"",IF(Tablas!$AK819="Básica",INDEX(Tablas!$AF$826:$AF$828,AI59),IF(Tablas!$AK819="Avanzada",INDEX(Tablas!$AG$826:$AG$827,AI59),"")),"")),"")</f>
        <v/>
      </c>
      <c r="O59" s="1678"/>
      <c r="P59" s="2093" t="str">
        <f>IFERROR(IF(NOT(Tablas!$AK$814),INDEX(Tablas!AR819:AT819,1,Tablas!AP819),IF(Q59&lt;&gt;"",IF(Tablas!$AK819="Básica",INDEX(Tablas!$AF$826:$AF$828,AK59),IF(Tablas!$AK819="Avanzada",INDEX(Tablas!$AG$826:$AG$827,AK59),"")),"")),"")</f>
        <v/>
      </c>
      <c r="Q59" s="1678"/>
      <c r="R59" s="2093" t="str">
        <f>IFERROR(IF(NOT(Tablas!$AK$814),INDEX(Tablas!AT819:AV819,1,Tablas!AR819),IF(S59&lt;&gt;"",IF(Tablas!$AK819="Básica",INDEX(Tablas!$AF$826:$AF$828,AM59),IF(Tablas!$AK819="Avanzada",INDEX(Tablas!$AG$826:$AG$827,AM59),"")),"")),"")</f>
        <v/>
      </c>
      <c r="S59" s="1678"/>
      <c r="T59" s="2093" t="str">
        <f>IFERROR(IF(NOT(Tablas!$AK$814),INDEX(Tablas!AV819:AX819,1,Tablas!AT819),IF(U59&lt;&gt;"",IF(Tablas!$AK819="Básica",INDEX(Tablas!$AF$826:$AF$828,AO59),IF(Tablas!$AK819="Avanzada",INDEX(Tablas!$AG$826:$AG$827,AO59),"")),"")),"")</f>
        <v/>
      </c>
      <c r="U59" s="1678"/>
      <c r="V59" s="3603" t="str">
        <f t="shared" si="19"/>
        <v/>
      </c>
      <c r="W59" s="3604"/>
      <c r="X59" s="3604"/>
      <c r="Y59" s="3604"/>
      <c r="Z59" s="3604"/>
      <c r="AA59" s="3605"/>
      <c r="AB59" s="1989"/>
      <c r="AC59" s="953"/>
      <c r="AD59" s="2755">
        <f t="shared" si="20"/>
        <v>0</v>
      </c>
      <c r="AE59" s="2764" t="str">
        <f>Tablas!$AK819</f>
        <v/>
      </c>
      <c r="AF59" s="2771">
        <f>COUNTIF($E$56:$E59,E59)</f>
        <v>0</v>
      </c>
      <c r="AG59" s="2771">
        <f>Tablas!AQ819</f>
        <v>0</v>
      </c>
      <c r="AH59" s="2771">
        <f>Tablas!AV819</f>
        <v>0</v>
      </c>
      <c r="AI59" s="2771">
        <f>Tablas!BA819</f>
        <v>0</v>
      </c>
      <c r="AJ59" s="2771">
        <f>Tablas!BF819</f>
        <v>0</v>
      </c>
      <c r="AK59" s="2771">
        <f>Tablas!BK819</f>
        <v>0</v>
      </c>
      <c r="AL59" s="1986" t="b">
        <f>Tablas!BL819=1</f>
        <v>0</v>
      </c>
      <c r="AM59" s="2759"/>
      <c r="AN59" s="2759"/>
      <c r="AO59" s="2759"/>
      <c r="AP59" s="2759"/>
      <c r="AQ59" s="1986"/>
      <c r="AR59" s="1986"/>
      <c r="AS59" s="1986"/>
      <c r="AT59" s="1986"/>
      <c r="AU59" s="1986"/>
      <c r="AV59" s="1986"/>
    </row>
    <row r="60" spans="1:48" ht="12" customHeight="1" x14ac:dyDescent="0.2">
      <c r="A60" s="10"/>
      <c r="B60" s="924"/>
      <c r="C60" s="3479"/>
      <c r="D60" s="3581"/>
      <c r="E60" s="3590"/>
      <c r="F60" s="3591"/>
      <c r="G60" s="3591"/>
      <c r="H60" s="3591"/>
      <c r="I60" s="3592"/>
      <c r="J60" s="3586"/>
      <c r="K60" s="3587"/>
      <c r="L60" s="562" t="str">
        <f>IFERROR(IF(NOT(Tablas!$AK$814),INDEX(Tablas!AN820:AP820,1,Tablas!AL820),IF(M60&lt;&gt;"",IF(Tablas!$AK820="Básica",INDEX(Tablas!$AF$826:$AF$828,AG60),IF(Tablas!$AK820="Avanzada",INDEX(Tablas!$AG$826:$AG$827,AG60),"")),"")),"")</f>
        <v/>
      </c>
      <c r="M60" s="1696"/>
      <c r="N60" s="2256"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606" t="str">
        <f t="shared" si="19"/>
        <v/>
      </c>
      <c r="W60" s="3607"/>
      <c r="X60" s="3607"/>
      <c r="Y60" s="3607"/>
      <c r="Z60" s="3607"/>
      <c r="AA60" s="3608"/>
      <c r="AB60" s="1989"/>
      <c r="AC60" s="953"/>
      <c r="AD60" s="2755">
        <f t="shared" si="20"/>
        <v>0</v>
      </c>
      <c r="AE60" s="2764" t="str">
        <f>Tablas!$AK820</f>
        <v/>
      </c>
      <c r="AF60" s="2771">
        <f>COUNTIF($E$56:$E60,E60)</f>
        <v>0</v>
      </c>
      <c r="AG60" s="2771">
        <f>Tablas!AQ820</f>
        <v>0</v>
      </c>
      <c r="AH60" s="2771">
        <f>Tablas!AV820</f>
        <v>0</v>
      </c>
      <c r="AI60" s="2771">
        <f>Tablas!BA820</f>
        <v>0</v>
      </c>
      <c r="AJ60" s="2771">
        <f>Tablas!BF820</f>
        <v>0</v>
      </c>
      <c r="AK60" s="2771">
        <f>Tablas!BK820</f>
        <v>0</v>
      </c>
      <c r="AL60" s="1986" t="b">
        <f>Tablas!BL820=1</f>
        <v>0</v>
      </c>
      <c r="AM60" s="2759"/>
      <c r="AN60" s="2759"/>
      <c r="AO60" s="2759"/>
      <c r="AP60" s="2759"/>
      <c r="AQ60" s="1986"/>
      <c r="AR60" s="1986"/>
      <c r="AS60" s="1986"/>
      <c r="AT60" s="1986"/>
      <c r="AU60" s="1986"/>
      <c r="AV60" s="1986"/>
    </row>
    <row r="61" spans="1:48" ht="12" customHeight="1" x14ac:dyDescent="0.2">
      <c r="A61" s="10"/>
      <c r="B61" s="924"/>
      <c r="C61" s="3479"/>
      <c r="D61" s="3581"/>
      <c r="E61" s="3583"/>
      <c r="F61" s="3584"/>
      <c r="G61" s="3584"/>
      <c r="H61" s="3584"/>
      <c r="I61" s="3585"/>
      <c r="J61" s="3588"/>
      <c r="K61" s="3589"/>
      <c r="L61" s="2076" t="str">
        <f>IFERROR(IF(NOT(Tablas!$AK$814),INDEX(Tablas!AN821:AP821,1,Tablas!AL821),IF(M61&lt;&gt;"",IF(Tablas!$AK821="Básica",INDEX(Tablas!$AF$826:$AF$828,AG61),IF(Tablas!$AK821="Avanzada",INDEX(Tablas!$AG$826:$AG$827,AG61),"")),"")),"")</f>
        <v/>
      </c>
      <c r="M61" s="1678"/>
      <c r="N61" s="2251" t="str">
        <f>IFERROR(IF(NOT(Tablas!$AK$814),INDEX(Tablas!AP821:AR821,1,Tablas!AN821),IF(O61&lt;&gt;"",IF(Tablas!$AK821="Básica",INDEX(Tablas!$AF$826:$AF$828,AI61),IF(Tablas!$AK821="Avanzada",INDEX(Tablas!$AG$826:$AG$827,AI61),"")),"")),"")</f>
        <v/>
      </c>
      <c r="O61" s="1678"/>
      <c r="P61" s="2093" t="str">
        <f>IFERROR(IF(NOT(Tablas!$AK$814),INDEX(Tablas!AR821:AT821,1,Tablas!AP821),IF(Q61&lt;&gt;"",IF(Tablas!$AK821="Básica",INDEX(Tablas!$AF$826:$AF$828,AK61),IF(Tablas!$AK821="Avanzada",INDEX(Tablas!$AG$826:$AG$827,AK61),"")),"")),"")</f>
        <v/>
      </c>
      <c r="Q61" s="1678"/>
      <c r="R61" s="2093" t="str">
        <f>IFERROR(IF(NOT(Tablas!$AK$814),INDEX(Tablas!AT821:AV821,1,Tablas!AR821),IF(S61&lt;&gt;"",IF(Tablas!$AK821="Básica",INDEX(Tablas!$AF$826:$AF$828,AM61),IF(Tablas!$AK821="Avanzada",INDEX(Tablas!$AG$826:$AG$827,AM61),"")),"")),"")</f>
        <v/>
      </c>
      <c r="S61" s="1678"/>
      <c r="T61" s="2093" t="str">
        <f>IFERROR(IF(NOT(Tablas!$AK$814),INDEX(Tablas!AV821:AX821,1,Tablas!AT821),IF(U61&lt;&gt;"",IF(Tablas!$AK821="Básica",INDEX(Tablas!$AF$826:$AF$828,AO61),IF(Tablas!$AK821="Avanzada",INDEX(Tablas!$AG$826:$AG$827,AO61),"")),"")),"")</f>
        <v/>
      </c>
      <c r="U61" s="1678"/>
      <c r="V61" s="3603" t="str">
        <f t="shared" si="19"/>
        <v/>
      </c>
      <c r="W61" s="3604"/>
      <c r="X61" s="3604"/>
      <c r="Y61" s="3604"/>
      <c r="Z61" s="3604"/>
      <c r="AA61" s="3605"/>
      <c r="AB61" s="1992"/>
      <c r="AC61" s="953"/>
      <c r="AD61" s="2755">
        <f t="shared" si="20"/>
        <v>0</v>
      </c>
      <c r="AE61" s="2764" t="str">
        <f>Tablas!$AK821</f>
        <v/>
      </c>
      <c r="AF61" s="2771">
        <f>COUNTIF($E$56:$E61,E61)</f>
        <v>0</v>
      </c>
      <c r="AG61" s="2771">
        <f>Tablas!AQ821</f>
        <v>0</v>
      </c>
      <c r="AH61" s="2771">
        <f>Tablas!AV821</f>
        <v>0</v>
      </c>
      <c r="AI61" s="2771">
        <f>Tablas!BA821</f>
        <v>0</v>
      </c>
      <c r="AJ61" s="2771">
        <f>Tablas!BF821</f>
        <v>0</v>
      </c>
      <c r="AK61" s="2771">
        <f>Tablas!BK821</f>
        <v>0</v>
      </c>
      <c r="AL61" s="1986" t="b">
        <f>Tablas!BL821=1</f>
        <v>0</v>
      </c>
      <c r="AM61" s="2759"/>
      <c r="AN61" s="2759"/>
      <c r="AO61" s="2759"/>
      <c r="AP61" s="2759"/>
      <c r="AQ61" s="1986"/>
      <c r="AR61" s="1986"/>
      <c r="AS61" s="1986"/>
      <c r="AT61" s="1986"/>
      <c r="AU61" s="1986"/>
      <c r="AV61" s="1986"/>
    </row>
    <row r="62" spans="1:48" ht="12" customHeight="1" x14ac:dyDescent="0.2">
      <c r="A62" s="10"/>
      <c r="B62" s="924"/>
      <c r="C62" s="3479"/>
      <c r="D62" s="3581"/>
      <c r="E62" s="3590"/>
      <c r="F62" s="3591"/>
      <c r="G62" s="3591"/>
      <c r="H62" s="3591"/>
      <c r="I62" s="3592"/>
      <c r="J62" s="3586"/>
      <c r="K62" s="3587"/>
      <c r="L62" s="562" t="str">
        <f>IFERROR(IF(NOT(Tablas!$AK$814),INDEX(Tablas!AN822:AP822,1,Tablas!AL822),IF(M62&lt;&gt;"",IF(Tablas!$AK822="Básica",INDEX(Tablas!$AF$826:$AF$828,AG62),IF(Tablas!$AK822="Avanzada",INDEX(Tablas!$AG$826:$AG$827,AG62),"")),"")),"")</f>
        <v/>
      </c>
      <c r="M62" s="1696"/>
      <c r="N62" s="2256"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606" t="str">
        <f t="shared" si="19"/>
        <v/>
      </c>
      <c r="W62" s="3607"/>
      <c r="X62" s="3607"/>
      <c r="Y62" s="3607"/>
      <c r="Z62" s="3607"/>
      <c r="AA62" s="3608"/>
      <c r="AB62" s="1989"/>
      <c r="AC62" s="953"/>
      <c r="AD62" s="2755">
        <f t="shared" si="20"/>
        <v>0</v>
      </c>
      <c r="AE62" s="2764" t="str">
        <f>Tablas!$AK822</f>
        <v/>
      </c>
      <c r="AF62" s="2771">
        <f>COUNTIF($E$56:$E62,E62)</f>
        <v>0</v>
      </c>
      <c r="AG62" s="2771">
        <f>Tablas!AQ822</f>
        <v>0</v>
      </c>
      <c r="AH62" s="2771">
        <f>Tablas!AV822</f>
        <v>0</v>
      </c>
      <c r="AI62" s="2771">
        <f>Tablas!BA822</f>
        <v>0</v>
      </c>
      <c r="AJ62" s="2771">
        <f>Tablas!BF822</f>
        <v>0</v>
      </c>
      <c r="AK62" s="2771">
        <f>Tablas!BK822</f>
        <v>0</v>
      </c>
      <c r="AL62" s="1986" t="b">
        <f>Tablas!BL822=1</f>
        <v>0</v>
      </c>
      <c r="AM62" s="2759"/>
      <c r="AN62" s="2759"/>
      <c r="AO62" s="2759"/>
      <c r="AP62" s="2759"/>
      <c r="AQ62" s="1986"/>
      <c r="AR62" s="1986"/>
      <c r="AS62" s="1986"/>
      <c r="AT62" s="1986"/>
      <c r="AU62" s="1986"/>
      <c r="AV62" s="1986"/>
    </row>
    <row r="63" spans="1:48" ht="12" customHeight="1" x14ac:dyDescent="0.2">
      <c r="A63" s="10"/>
      <c r="B63" s="924"/>
      <c r="C63" s="3479"/>
      <c r="D63" s="3581"/>
      <c r="E63" s="3583"/>
      <c r="F63" s="3584"/>
      <c r="G63" s="3584"/>
      <c r="H63" s="3584"/>
      <c r="I63" s="3585"/>
      <c r="J63" s="3588"/>
      <c r="K63" s="3589"/>
      <c r="L63" s="2076" t="str">
        <f>IFERROR(IF(NOT(Tablas!$AK$814),INDEX(Tablas!AN823:AP823,1,Tablas!AL823),IF(M63&lt;&gt;"",IF(Tablas!$AK823="Básica",INDEX(Tablas!$AF$826:$AF$828,AG63),IF(Tablas!$AK823="Avanzada",INDEX(Tablas!$AG$826:$AG$827,AG63),"")),"")),"")</f>
        <v/>
      </c>
      <c r="M63" s="1678"/>
      <c r="N63" s="2251" t="str">
        <f>IFERROR(IF(NOT(Tablas!$AK$814),INDEX(Tablas!AP823:AR823,1,Tablas!AN823),IF(O63&lt;&gt;"",IF(Tablas!$AK823="Básica",INDEX(Tablas!$AF$826:$AF$828,AI63),IF(Tablas!$AK823="Avanzada",INDEX(Tablas!$AG$826:$AG$827,AI63),"")),"")),"")</f>
        <v/>
      </c>
      <c r="O63" s="1678"/>
      <c r="P63" s="2093" t="str">
        <f>IFERROR(IF(NOT(Tablas!$AK$814),INDEX(Tablas!AR823:AT823,1,Tablas!AP823),IF(Q63&lt;&gt;"",IF(Tablas!$AK823="Básica",INDEX(Tablas!$AF$826:$AF$828,AK63),IF(Tablas!$AK823="Avanzada",INDEX(Tablas!$AG$826:$AG$827,AK63),"")),"")),"")</f>
        <v/>
      </c>
      <c r="Q63" s="1678"/>
      <c r="R63" s="2093" t="str">
        <f>IFERROR(IF(NOT(Tablas!$AK$814),INDEX(Tablas!AT823:AV823,1,Tablas!AR823),IF(S63&lt;&gt;"",IF(Tablas!$AK823="Básica",INDEX(Tablas!$AF$826:$AF$828,AM63),IF(Tablas!$AK823="Avanzada",INDEX(Tablas!$AG$826:$AG$827,AM63),"")),"")),"")</f>
        <v/>
      </c>
      <c r="S63" s="1678"/>
      <c r="T63" s="2093" t="str">
        <f>IFERROR(IF(NOT(Tablas!$AK$814),INDEX(Tablas!AV823:AX823,1,Tablas!AT823),IF(U63&lt;&gt;"",IF(Tablas!$AK823="Básica",INDEX(Tablas!$AF$826:$AF$828,AO63),IF(Tablas!$AK823="Avanzada",INDEX(Tablas!$AG$826:$AG$827,AO63),"")),"")),"")</f>
        <v/>
      </c>
      <c r="U63" s="1678"/>
      <c r="V63" s="3603" t="str">
        <f t="shared" si="19"/>
        <v/>
      </c>
      <c r="W63" s="3604"/>
      <c r="X63" s="3604"/>
      <c r="Y63" s="3604"/>
      <c r="Z63" s="3604"/>
      <c r="AA63" s="3605"/>
      <c r="AB63" s="1993"/>
      <c r="AC63" s="953"/>
      <c r="AD63" s="2755">
        <f t="shared" si="20"/>
        <v>0</v>
      </c>
      <c r="AE63" s="2764" t="str">
        <f>Tablas!$AK823</f>
        <v/>
      </c>
      <c r="AF63" s="2771">
        <f>COUNTIF($E$56:$E63,E63)</f>
        <v>0</v>
      </c>
      <c r="AG63" s="2771">
        <f>Tablas!AQ823</f>
        <v>0</v>
      </c>
      <c r="AH63" s="2771">
        <f>Tablas!AV823</f>
        <v>0</v>
      </c>
      <c r="AI63" s="2771">
        <f>Tablas!BA823</f>
        <v>0</v>
      </c>
      <c r="AJ63" s="2771">
        <f>Tablas!BF823</f>
        <v>0</v>
      </c>
      <c r="AK63" s="2771">
        <f>Tablas!BK823</f>
        <v>0</v>
      </c>
      <c r="AL63" s="1986" t="b">
        <f>Tablas!BL823=1</f>
        <v>0</v>
      </c>
      <c r="AM63" s="2759"/>
      <c r="AN63" s="2759"/>
      <c r="AO63" s="2759"/>
      <c r="AP63" s="2759"/>
      <c r="AQ63" s="1986"/>
      <c r="AR63" s="1986"/>
      <c r="AS63" s="1986"/>
      <c r="AT63" s="1986"/>
      <c r="AU63" s="1986"/>
      <c r="AV63" s="1986"/>
    </row>
    <row r="64" spans="1:48" ht="12" customHeight="1" x14ac:dyDescent="0.2">
      <c r="A64" s="10"/>
      <c r="B64" s="924"/>
      <c r="C64" s="3479"/>
      <c r="D64" s="3581"/>
      <c r="E64" s="3590"/>
      <c r="F64" s="3591"/>
      <c r="G64" s="3591"/>
      <c r="H64" s="3591"/>
      <c r="I64" s="3592"/>
      <c r="J64" s="3586"/>
      <c r="K64" s="3587"/>
      <c r="L64" s="562" t="str">
        <f>IFERROR(IF(NOT(Tablas!$AK$814),INDEX(Tablas!AN824:AP824,1,Tablas!AL824),IF(M64&lt;&gt;"",IF(Tablas!$AK824="Básica",INDEX(Tablas!$AF$826:$AF$828,AG64),IF(Tablas!$AK824="Avanzada",INDEX(Tablas!$AG$826:$AG$827,AG64),"")),"")),"")</f>
        <v/>
      </c>
      <c r="M64" s="1696"/>
      <c r="N64" s="2256"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606" t="str">
        <f t="shared" si="19"/>
        <v/>
      </c>
      <c r="W64" s="3607"/>
      <c r="X64" s="3607"/>
      <c r="Y64" s="3607"/>
      <c r="Z64" s="3607"/>
      <c r="AA64" s="3608"/>
      <c r="AB64" s="1993"/>
      <c r="AC64" s="953"/>
      <c r="AD64" s="2755">
        <f t="shared" si="20"/>
        <v>0</v>
      </c>
      <c r="AE64" s="2764" t="str">
        <f>Tablas!$AK824</f>
        <v/>
      </c>
      <c r="AF64" s="2771">
        <f>COUNTIF($E$56:$E64,E64)</f>
        <v>0</v>
      </c>
      <c r="AG64" s="2771">
        <f>Tablas!AQ824</f>
        <v>0</v>
      </c>
      <c r="AH64" s="2771">
        <f>Tablas!AV824</f>
        <v>0</v>
      </c>
      <c r="AI64" s="2771">
        <f>Tablas!BA824</f>
        <v>0</v>
      </c>
      <c r="AJ64" s="2771">
        <f>Tablas!BF824</f>
        <v>0</v>
      </c>
      <c r="AK64" s="2771">
        <f>Tablas!BK824</f>
        <v>0</v>
      </c>
      <c r="AL64" s="1986" t="b">
        <f>Tablas!BL824=1</f>
        <v>0</v>
      </c>
      <c r="AM64" s="2759"/>
      <c r="AN64" s="2759"/>
      <c r="AO64" s="2759"/>
      <c r="AP64" s="2759"/>
      <c r="AQ64" s="1986"/>
      <c r="AR64" s="1986"/>
      <c r="AS64" s="1986"/>
      <c r="AT64" s="1986"/>
      <c r="AU64" s="1986"/>
      <c r="AV64" s="1986"/>
    </row>
    <row r="65" spans="1:48" ht="12" customHeight="1" x14ac:dyDescent="0.2">
      <c r="A65" s="10"/>
      <c r="B65" s="924"/>
      <c r="C65" s="3479"/>
      <c r="D65" s="3581"/>
      <c r="E65" s="3583"/>
      <c r="F65" s="3584"/>
      <c r="G65" s="3584"/>
      <c r="H65" s="3584"/>
      <c r="I65" s="3585"/>
      <c r="J65" s="3588"/>
      <c r="K65" s="3589"/>
      <c r="L65" s="2076" t="str">
        <f>IFERROR(IF(NOT(Tablas!$AK$814),INDEX(Tablas!AN825:AP825,1,Tablas!AL825),IF(M65&lt;&gt;"",IF(Tablas!$AK825="Básica",INDEX(Tablas!$AF$826:$AF$828,AG65),IF(Tablas!$AK825="Avanzada",INDEX(Tablas!$AG$826:$AG$827,AG65),"")),"")),"")</f>
        <v/>
      </c>
      <c r="M65" s="1678"/>
      <c r="N65" s="2251" t="str">
        <f>IFERROR(IF(NOT(Tablas!$AK$814),INDEX(Tablas!AP825:AR825,1,Tablas!AN825),IF(O65&lt;&gt;"",IF(Tablas!$AK825="Básica",INDEX(Tablas!$AF$826:$AF$828,AI65),IF(Tablas!$AK825="Avanzada",INDEX(Tablas!$AG$826:$AG$827,AI65),"")),"")),"")</f>
        <v/>
      </c>
      <c r="O65" s="1678"/>
      <c r="P65" s="2093" t="str">
        <f>IFERROR(IF(NOT(Tablas!$AK$814),INDEX(Tablas!AR825:AT825,1,Tablas!AP825),IF(Q65&lt;&gt;"",IF(Tablas!$AK825="Básica",INDEX(Tablas!$AF$826:$AF$828,AK65),IF(Tablas!$AK825="Avanzada",INDEX(Tablas!$AG$826:$AG$827,AK65),"")),"")),"")</f>
        <v/>
      </c>
      <c r="Q65" s="1678"/>
      <c r="R65" s="2093" t="str">
        <f>IFERROR(IF(NOT(Tablas!$AK$814),INDEX(Tablas!AT825:AV825,1,Tablas!AR825),IF(S65&lt;&gt;"",IF(Tablas!$AK825="Básica",INDEX(Tablas!$AF$826:$AF$828,AM65),IF(Tablas!$AK825="Avanzada",INDEX(Tablas!$AG$826:$AG$827,AM65),"")),"")),"")</f>
        <v/>
      </c>
      <c r="S65" s="1678"/>
      <c r="T65" s="2093" t="str">
        <f>IFERROR(IF(NOT(Tablas!$AK$814),INDEX(Tablas!AV825:AX825,1,Tablas!AT825),IF(U65&lt;&gt;"",IF(Tablas!$AK825="Básica",INDEX(Tablas!$AF$826:$AF$828,AO65),IF(Tablas!$AK825="Avanzada",INDEX(Tablas!$AG$826:$AG$827,AO65),"")),"")),"")</f>
        <v/>
      </c>
      <c r="U65" s="1678"/>
      <c r="V65" s="3603" t="str">
        <f t="shared" si="19"/>
        <v/>
      </c>
      <c r="W65" s="3604"/>
      <c r="X65" s="3604"/>
      <c r="Y65" s="3604"/>
      <c r="Z65" s="3604"/>
      <c r="AA65" s="3605"/>
      <c r="AB65" s="1993"/>
      <c r="AC65" s="953"/>
      <c r="AD65" s="2755">
        <f t="shared" si="20"/>
        <v>0</v>
      </c>
      <c r="AE65" s="2764" t="str">
        <f>Tablas!$AK825</f>
        <v/>
      </c>
      <c r="AF65" s="2771">
        <f>COUNTIF($E$56:$E65,E65)</f>
        <v>0</v>
      </c>
      <c r="AG65" s="2771">
        <f>Tablas!AQ825</f>
        <v>0</v>
      </c>
      <c r="AH65" s="2771">
        <f>Tablas!AV825</f>
        <v>0</v>
      </c>
      <c r="AI65" s="2771">
        <f>Tablas!BA825</f>
        <v>0</v>
      </c>
      <c r="AJ65" s="2771">
        <f>Tablas!BF825</f>
        <v>0</v>
      </c>
      <c r="AK65" s="2771">
        <f>Tablas!BK825</f>
        <v>0</v>
      </c>
      <c r="AL65" s="1986" t="b">
        <f>Tablas!BL825=1</f>
        <v>0</v>
      </c>
      <c r="AM65" s="2759"/>
      <c r="AN65" s="2759"/>
      <c r="AO65" s="2759"/>
      <c r="AP65" s="2759"/>
      <c r="AQ65" s="1986"/>
      <c r="AR65" s="1986"/>
      <c r="AS65" s="1986"/>
      <c r="AT65" s="1986"/>
      <c r="AU65" s="1986"/>
      <c r="AV65" s="1986"/>
    </row>
    <row r="66" spans="1:48" ht="12" customHeight="1" x14ac:dyDescent="0.2">
      <c r="A66" s="10"/>
      <c r="B66" s="924"/>
      <c r="C66" s="3479"/>
      <c r="D66" s="3581"/>
      <c r="E66" s="3590"/>
      <c r="F66" s="3591"/>
      <c r="G66" s="3591"/>
      <c r="H66" s="3591"/>
      <c r="I66" s="3592"/>
      <c r="J66" s="3586"/>
      <c r="K66" s="3587"/>
      <c r="L66" s="562" t="str">
        <f>IFERROR(IF(NOT(Tablas!$AK$814),INDEX(Tablas!AN826:AP826,1,Tablas!AL826),IF(M66&lt;&gt;"",IF(Tablas!$AK826="Básica",INDEX(Tablas!$AF$826:$AF$828,AG66),IF(Tablas!$AK826="Avanzada",INDEX(Tablas!$AG$826:$AG$827,AG66),"")),"")),"")</f>
        <v/>
      </c>
      <c r="M66" s="1696"/>
      <c r="N66" s="2256"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606" t="str">
        <f t="shared" si="19"/>
        <v/>
      </c>
      <c r="W66" s="3607"/>
      <c r="X66" s="3607"/>
      <c r="Y66" s="3607"/>
      <c r="Z66" s="3607"/>
      <c r="AA66" s="3608"/>
      <c r="AB66" s="1993"/>
      <c r="AC66" s="953"/>
      <c r="AD66" s="2755">
        <f t="shared" si="20"/>
        <v>0</v>
      </c>
      <c r="AE66" s="2764" t="str">
        <f>Tablas!$AK826</f>
        <v/>
      </c>
      <c r="AF66" s="2771">
        <f>COUNTIF($E$56:$E66,E66)</f>
        <v>0</v>
      </c>
      <c r="AG66" s="2771">
        <f>Tablas!AQ826</f>
        <v>0</v>
      </c>
      <c r="AH66" s="2771">
        <f>Tablas!AV826</f>
        <v>0</v>
      </c>
      <c r="AI66" s="2771">
        <f>Tablas!BA826</f>
        <v>0</v>
      </c>
      <c r="AJ66" s="2771">
        <f>Tablas!BF826</f>
        <v>0</v>
      </c>
      <c r="AK66" s="2771">
        <f>Tablas!BK826</f>
        <v>0</v>
      </c>
      <c r="AL66" s="1986" t="b">
        <f>Tablas!BL826=1</f>
        <v>0</v>
      </c>
      <c r="AM66" s="2759"/>
      <c r="AN66" s="2759"/>
      <c r="AO66" s="2759"/>
      <c r="AP66" s="2759"/>
      <c r="AQ66" s="1986"/>
      <c r="AR66" s="1986"/>
      <c r="AS66" s="1986"/>
      <c r="AT66" s="1986"/>
      <c r="AU66" s="1986"/>
      <c r="AV66" s="1986"/>
    </row>
    <row r="67" spans="1:48" ht="12" customHeight="1" x14ac:dyDescent="0.2">
      <c r="A67" s="10"/>
      <c r="B67" s="924"/>
      <c r="C67" s="3479"/>
      <c r="D67" s="3581"/>
      <c r="E67" s="3583"/>
      <c r="F67" s="3584"/>
      <c r="G67" s="3584"/>
      <c r="H67" s="3584"/>
      <c r="I67" s="3585"/>
      <c r="J67" s="3588"/>
      <c r="K67" s="3589"/>
      <c r="L67" s="2076" t="str">
        <f>IFERROR(IF(NOT(Tablas!$AK$814),INDEX(Tablas!AN827:AP827,1,Tablas!AL827),IF(M67&lt;&gt;"",IF(Tablas!$AK827="Básica",INDEX(Tablas!$AF$826:$AF$828,AG67),IF(Tablas!$AK827="Avanzada",INDEX(Tablas!$AG$826:$AG$827,AG67),"")),"")),"")</f>
        <v/>
      </c>
      <c r="M67" s="1678"/>
      <c r="N67" s="2251" t="str">
        <f>IFERROR(IF(NOT(Tablas!$AK$814),INDEX(Tablas!AP827:AR827,1,Tablas!AN827),IF(O67&lt;&gt;"",IF(Tablas!$AK827="Básica",INDEX(Tablas!$AF$826:$AF$828,AI67),IF(Tablas!$AK827="Avanzada",INDEX(Tablas!$AG$826:$AG$827,AI67),"")),"")),"")</f>
        <v/>
      </c>
      <c r="O67" s="1678"/>
      <c r="P67" s="2093" t="str">
        <f>IFERROR(IF(NOT(Tablas!$AK$814),INDEX(Tablas!AR827:AT827,1,Tablas!AP827),IF(Q67&lt;&gt;"",IF(Tablas!$AK827="Básica",INDEX(Tablas!$AF$826:$AF$828,AK67),IF(Tablas!$AK827="Avanzada",INDEX(Tablas!$AG$826:$AG$827,AK67),"")),"")),"")</f>
        <v/>
      </c>
      <c r="Q67" s="1678"/>
      <c r="R67" s="2093" t="str">
        <f>IFERROR(IF(NOT(Tablas!$AK$814),INDEX(Tablas!AT827:AV827,1,Tablas!AR827),IF(S67&lt;&gt;"",IF(Tablas!$AK827="Básica",INDEX(Tablas!$AF$826:$AF$828,AM67),IF(Tablas!$AK827="Avanzada",INDEX(Tablas!$AG$826:$AG$827,AM67),"")),"")),"")</f>
        <v/>
      </c>
      <c r="S67" s="1678"/>
      <c r="T67" s="2093" t="str">
        <f>IFERROR(IF(NOT(Tablas!$AK$814),INDEX(Tablas!AV827:AX827,1,Tablas!AT827),IF(U67&lt;&gt;"",IF(Tablas!$AK827="Básica",INDEX(Tablas!$AF$826:$AF$828,AO67),IF(Tablas!$AK827="Avanzada",INDEX(Tablas!$AG$826:$AG$827,AO67),"")),"")),"")</f>
        <v/>
      </c>
      <c r="U67" s="1678"/>
      <c r="V67" s="3603" t="str">
        <f t="shared" si="19"/>
        <v/>
      </c>
      <c r="W67" s="3604"/>
      <c r="X67" s="3604"/>
      <c r="Y67" s="3604"/>
      <c r="Z67" s="3604"/>
      <c r="AA67" s="3605"/>
      <c r="AB67" s="1993"/>
      <c r="AC67" s="953"/>
      <c r="AD67" s="2755">
        <f t="shared" si="20"/>
        <v>0</v>
      </c>
      <c r="AE67" s="2764" t="str">
        <f>Tablas!$AK827</f>
        <v/>
      </c>
      <c r="AF67" s="2771">
        <f>COUNTIF($E$56:$E67,E67)</f>
        <v>0</v>
      </c>
      <c r="AG67" s="2771">
        <f>Tablas!AQ827</f>
        <v>0</v>
      </c>
      <c r="AH67" s="2771">
        <f>Tablas!AV827</f>
        <v>0</v>
      </c>
      <c r="AI67" s="2771">
        <f>Tablas!BA827</f>
        <v>0</v>
      </c>
      <c r="AJ67" s="2771">
        <f>Tablas!BF827</f>
        <v>0</v>
      </c>
      <c r="AK67" s="2771">
        <f>Tablas!BK827</f>
        <v>0</v>
      </c>
      <c r="AL67" s="1986" t="b">
        <f>Tablas!BL827=1</f>
        <v>0</v>
      </c>
      <c r="AM67" s="2759"/>
      <c r="AN67" s="2759"/>
      <c r="AO67" s="2759"/>
      <c r="AP67" s="2759"/>
      <c r="AQ67" s="1986"/>
      <c r="AR67" s="1986"/>
      <c r="AS67" s="1986"/>
      <c r="AT67" s="1986"/>
      <c r="AU67" s="1986"/>
      <c r="AV67" s="1986"/>
    </row>
    <row r="68" spans="1:48" ht="12" customHeight="1" x14ac:dyDescent="0.2">
      <c r="A68" s="10"/>
      <c r="B68" s="924"/>
      <c r="C68" s="3479"/>
      <c r="D68" s="3581"/>
      <c r="E68" s="3590"/>
      <c r="F68" s="3591"/>
      <c r="G68" s="3591"/>
      <c r="H68" s="3591"/>
      <c r="I68" s="3592"/>
      <c r="J68" s="3586"/>
      <c r="K68" s="3587"/>
      <c r="L68" s="562" t="str">
        <f>IFERROR(IF(NOT(Tablas!$AK$814),INDEX(Tablas!AN828:AP828,1,Tablas!AL828),IF(M68&lt;&gt;"",IF(Tablas!$AK828="Básica",INDEX(Tablas!$AF$826:$AF$828,AG68),IF(Tablas!$AK828="Avanzada",INDEX(Tablas!$AG$826:$AG$827,AG68),"")),"")),"")</f>
        <v/>
      </c>
      <c r="M68" s="1696"/>
      <c r="N68" s="2256"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606" t="str">
        <f t="shared" si="19"/>
        <v/>
      </c>
      <c r="W68" s="3607"/>
      <c r="X68" s="3607"/>
      <c r="Y68" s="3607"/>
      <c r="Z68" s="3607"/>
      <c r="AA68" s="3608"/>
      <c r="AB68" s="1993"/>
      <c r="AC68" s="953"/>
      <c r="AD68" s="2755">
        <f t="shared" si="20"/>
        <v>0</v>
      </c>
      <c r="AE68" s="2764" t="str">
        <f>Tablas!$AK828</f>
        <v/>
      </c>
      <c r="AF68" s="2771">
        <f>COUNTIF($E$56:$E68,E68)</f>
        <v>0</v>
      </c>
      <c r="AG68" s="2771">
        <f>Tablas!AQ828</f>
        <v>0</v>
      </c>
      <c r="AH68" s="2771">
        <f>Tablas!AV828</f>
        <v>0</v>
      </c>
      <c r="AI68" s="2771">
        <f>Tablas!BA828</f>
        <v>0</v>
      </c>
      <c r="AJ68" s="2771">
        <f>Tablas!BF828</f>
        <v>0</v>
      </c>
      <c r="AK68" s="2771">
        <f>Tablas!BK828</f>
        <v>0</v>
      </c>
      <c r="AL68" s="1986" t="b">
        <f>Tablas!BL828=1</f>
        <v>0</v>
      </c>
      <c r="AM68" s="2759"/>
      <c r="AN68" s="2759"/>
      <c r="AO68" s="2759"/>
      <c r="AP68" s="2759"/>
      <c r="AQ68" s="1986"/>
      <c r="AR68" s="1986"/>
      <c r="AS68" s="1986"/>
      <c r="AT68" s="1986"/>
      <c r="AU68" s="1986"/>
      <c r="AV68" s="1986"/>
    </row>
    <row r="69" spans="1:48" s="15" customFormat="1" ht="12" customHeight="1" x14ac:dyDescent="0.2">
      <c r="A69" s="10"/>
      <c r="B69" s="924"/>
      <c r="C69" s="3479"/>
      <c r="D69" s="3581"/>
      <c r="E69" s="3583"/>
      <c r="F69" s="3584"/>
      <c r="G69" s="3584"/>
      <c r="H69" s="3584"/>
      <c r="I69" s="3585"/>
      <c r="J69" s="3588"/>
      <c r="K69" s="3589"/>
      <c r="L69" s="2076" t="str">
        <f>IFERROR(IF(NOT(Tablas!$AK$814),INDEX(Tablas!AN829:AP829,1,Tablas!AL829),IF(M69&lt;&gt;"",IF(Tablas!$AK829="Básica",INDEX(Tablas!$AF$826:$AF$828,AG69),IF(Tablas!$AK829="Avanzada",INDEX(Tablas!$AG$826:$AG$827,AG69),"")),"")),"")</f>
        <v/>
      </c>
      <c r="M69" s="1678"/>
      <c r="N69" s="2251" t="str">
        <f>IFERROR(IF(NOT(Tablas!$AK$814),INDEX(Tablas!AP829:AR829,1,Tablas!AN829),IF(O69&lt;&gt;"",IF(Tablas!$AK829="Básica",INDEX(Tablas!$AF$826:$AF$828,AI69),IF(Tablas!$AK829="Avanzada",INDEX(Tablas!$AG$826:$AG$827,AI69),"")),"")),"")</f>
        <v/>
      </c>
      <c r="O69" s="1678"/>
      <c r="P69" s="2093" t="str">
        <f>IFERROR(IF(NOT(Tablas!$AK$814),INDEX(Tablas!AR829:AT829,1,Tablas!AP829),IF(Q69&lt;&gt;"",IF(Tablas!$AK829="Básica",INDEX(Tablas!$AF$826:$AF$828,AK69),IF(Tablas!$AK829="Avanzada",INDEX(Tablas!$AG$826:$AG$827,AK69),"")),"")),"")</f>
        <v/>
      </c>
      <c r="Q69" s="1678"/>
      <c r="R69" s="2093" t="str">
        <f>IFERROR(IF(NOT(Tablas!$AK$814),INDEX(Tablas!AT829:AV829,1,Tablas!AR829),IF(S69&lt;&gt;"",IF(Tablas!$AK829="Básica",INDEX(Tablas!$AF$826:$AF$828,AM69),IF(Tablas!$AK829="Avanzada",INDEX(Tablas!$AG$826:$AG$827,AM69),"")),"")),"")</f>
        <v/>
      </c>
      <c r="S69" s="1678"/>
      <c r="T69" s="2093" t="str">
        <f>IFERROR(IF(NOT(Tablas!$AK$814),INDEX(Tablas!AV829:AX829,1,Tablas!AT829),IF(U69&lt;&gt;"",IF(Tablas!$AK829="Básica",INDEX(Tablas!$AF$826:$AF$828,AO69),IF(Tablas!$AK829="Avanzada",INDEX(Tablas!$AG$826:$AG$827,AO69),"")),"")),"")</f>
        <v/>
      </c>
      <c r="U69" s="1678"/>
      <c r="V69" s="3603" t="str">
        <f t="shared" si="19"/>
        <v/>
      </c>
      <c r="W69" s="3604"/>
      <c r="X69" s="3604"/>
      <c r="Y69" s="3604"/>
      <c r="Z69" s="3604"/>
      <c r="AA69" s="3605"/>
      <c r="AB69" s="1993"/>
      <c r="AC69" s="953"/>
      <c r="AD69" s="2755">
        <f t="shared" si="20"/>
        <v>0</v>
      </c>
      <c r="AE69" s="2764" t="str">
        <f>Tablas!$AK829</f>
        <v/>
      </c>
      <c r="AF69" s="2771">
        <f>COUNTIF($E$56:$E69,E69)</f>
        <v>0</v>
      </c>
      <c r="AG69" s="2771">
        <f>Tablas!AQ829</f>
        <v>0</v>
      </c>
      <c r="AH69" s="2771">
        <f>Tablas!AV829</f>
        <v>0</v>
      </c>
      <c r="AI69" s="2771">
        <f>Tablas!BA829</f>
        <v>0</v>
      </c>
      <c r="AJ69" s="2771">
        <f>Tablas!BF829</f>
        <v>0</v>
      </c>
      <c r="AK69" s="2771">
        <f>Tablas!BK829</f>
        <v>0</v>
      </c>
      <c r="AL69" s="1986" t="b">
        <f>Tablas!BL829=1</f>
        <v>0</v>
      </c>
      <c r="AM69" s="2759"/>
      <c r="AN69" s="2759"/>
      <c r="AO69" s="2759"/>
      <c r="AP69" s="2759"/>
      <c r="AQ69" s="1986"/>
      <c r="AR69" s="2759"/>
      <c r="AS69" s="1986"/>
      <c r="AT69" s="1986"/>
      <c r="AU69" s="1986"/>
      <c r="AV69" s="1986"/>
    </row>
    <row r="70" spans="1:48" s="15" customFormat="1" ht="12" customHeight="1" x14ac:dyDescent="0.2">
      <c r="A70" s="4"/>
      <c r="B70" s="1036"/>
      <c r="C70" s="3479"/>
      <c r="D70" s="3581"/>
      <c r="E70" s="3590"/>
      <c r="F70" s="3591"/>
      <c r="G70" s="3591"/>
      <c r="H70" s="3591"/>
      <c r="I70" s="3592"/>
      <c r="J70" s="3586"/>
      <c r="K70" s="3587"/>
      <c r="L70" s="562" t="str">
        <f>IFERROR(IF(NOT(Tablas!$AK$814),INDEX(Tablas!AN830:AP830,1,Tablas!AL830),IF(M70&lt;&gt;"",IF(Tablas!$AK830="Básica",INDEX(Tablas!$AF$826:$AF$828,AG70),IF(Tablas!$AK830="Avanzada",INDEX(Tablas!$AG$826:$AG$827,AG70),"")),"")),"")</f>
        <v/>
      </c>
      <c r="M70" s="1696"/>
      <c r="N70" s="2256"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606" t="str">
        <f t="shared" si="19"/>
        <v/>
      </c>
      <c r="W70" s="3607"/>
      <c r="X70" s="3607"/>
      <c r="Y70" s="3607"/>
      <c r="Z70" s="3607"/>
      <c r="AA70" s="3608"/>
      <c r="AB70" s="1993"/>
      <c r="AC70" s="953"/>
      <c r="AD70" s="2755">
        <f t="shared" si="20"/>
        <v>0</v>
      </c>
      <c r="AE70" s="2764" t="str">
        <f>Tablas!$AK830</f>
        <v/>
      </c>
      <c r="AF70" s="2771">
        <f>COUNTIF($E$56:$E70,E70)</f>
        <v>0</v>
      </c>
      <c r="AG70" s="2771">
        <f>Tablas!AQ830</f>
        <v>0</v>
      </c>
      <c r="AH70" s="2771">
        <f>Tablas!AV830</f>
        <v>0</v>
      </c>
      <c r="AI70" s="2771">
        <f>Tablas!BA830</f>
        <v>0</v>
      </c>
      <c r="AJ70" s="2771">
        <f>Tablas!BF830</f>
        <v>0</v>
      </c>
      <c r="AK70" s="2771">
        <f>Tablas!BK830</f>
        <v>0</v>
      </c>
      <c r="AL70" s="1986" t="b">
        <f>Tablas!BL830=1</f>
        <v>0</v>
      </c>
      <c r="AM70" s="2759"/>
      <c r="AN70" s="2759"/>
      <c r="AO70" s="2759"/>
      <c r="AP70" s="2759"/>
      <c r="AQ70" s="2759"/>
      <c r="AR70" s="2759"/>
      <c r="AS70" s="2759"/>
      <c r="AT70" s="2759"/>
      <c r="AU70" s="2759"/>
      <c r="AV70" s="2759"/>
    </row>
    <row r="71" spans="1:48" s="15" customFormat="1" ht="12" customHeight="1" x14ac:dyDescent="0.2">
      <c r="A71" s="4"/>
      <c r="B71" s="1036"/>
      <c r="C71" s="3479"/>
      <c r="D71" s="3581"/>
      <c r="E71" s="3583"/>
      <c r="F71" s="3584"/>
      <c r="G71" s="3584"/>
      <c r="H71" s="3584"/>
      <c r="I71" s="3585"/>
      <c r="J71" s="3588"/>
      <c r="K71" s="3589"/>
      <c r="L71" s="2076" t="str">
        <f>IFERROR(IF(NOT(Tablas!$AK$814),INDEX(Tablas!AN831:AP831,1,Tablas!AL831),IF(M71&lt;&gt;"",IF(Tablas!$AK831="Básica",INDEX(Tablas!$AF$826:$AF$828,AG71),IF(Tablas!$AK831="Avanzada",INDEX(Tablas!$AG$826:$AG$827,AG71),"")),"")),"")</f>
        <v/>
      </c>
      <c r="M71" s="1678"/>
      <c r="N71" s="2251" t="str">
        <f>IFERROR(IF(NOT(Tablas!$AK$814),INDEX(Tablas!AP831:AR831,1,Tablas!AN831),IF(O71&lt;&gt;"",IF(Tablas!$AK831="Básica",INDEX(Tablas!$AF$826:$AF$828,AI71),IF(Tablas!$AK831="Avanzada",INDEX(Tablas!$AG$826:$AG$827,AI71),"")),"")),"")</f>
        <v/>
      </c>
      <c r="O71" s="1678"/>
      <c r="P71" s="2093" t="str">
        <f>IFERROR(IF(NOT(Tablas!$AK$814),INDEX(Tablas!AR831:AT831,1,Tablas!AP831),IF(Q71&lt;&gt;"",IF(Tablas!$AK831="Básica",INDEX(Tablas!$AF$826:$AF$828,AK71),IF(Tablas!$AK831="Avanzada",INDEX(Tablas!$AG$826:$AG$827,AK71),"")),"")),"")</f>
        <v/>
      </c>
      <c r="Q71" s="1678"/>
      <c r="R71" s="2093" t="str">
        <f>IFERROR(IF(NOT(Tablas!$AK$814),INDEX(Tablas!AT831:AV831,1,Tablas!AR831),IF(S71&lt;&gt;"",IF(Tablas!$AK831="Básica",INDEX(Tablas!$AF$826:$AF$828,AM71),IF(Tablas!$AK831="Avanzada",INDEX(Tablas!$AG$826:$AG$827,AM71),"")),"")),"")</f>
        <v/>
      </c>
      <c r="S71" s="1678"/>
      <c r="T71" s="2093" t="str">
        <f>IFERROR(IF(NOT(Tablas!$AK$814),INDEX(Tablas!AV831:AX831,1,Tablas!AT831),IF(U71&lt;&gt;"",IF(Tablas!$AK831="Básica",INDEX(Tablas!$AF$826:$AF$828,AO71),IF(Tablas!$AK831="Avanzada",INDEX(Tablas!$AG$826:$AG$827,AO71),"")),"")),"")</f>
        <v/>
      </c>
      <c r="U71" s="1678"/>
      <c r="V71" s="3603" t="str">
        <f t="shared" si="19"/>
        <v/>
      </c>
      <c r="W71" s="3604"/>
      <c r="X71" s="3604"/>
      <c r="Y71" s="3604"/>
      <c r="Z71" s="3604"/>
      <c r="AA71" s="3605"/>
      <c r="AB71" s="1993"/>
      <c r="AC71" s="953"/>
      <c r="AD71" s="2755">
        <f t="shared" si="20"/>
        <v>0</v>
      </c>
      <c r="AE71" s="2764" t="str">
        <f>Tablas!$AK831</f>
        <v/>
      </c>
      <c r="AF71" s="2771">
        <f>COUNTIF($E$56:$E71,E71)</f>
        <v>0</v>
      </c>
      <c r="AG71" s="2771">
        <f>Tablas!AQ831</f>
        <v>0</v>
      </c>
      <c r="AH71" s="2771">
        <f>Tablas!AV831</f>
        <v>0</v>
      </c>
      <c r="AI71" s="2771">
        <f>Tablas!BA831</f>
        <v>0</v>
      </c>
      <c r="AJ71" s="2771">
        <f>Tablas!BF831</f>
        <v>0</v>
      </c>
      <c r="AK71" s="2771">
        <f>Tablas!BK831</f>
        <v>0</v>
      </c>
      <c r="AL71" s="1986" t="b">
        <f>Tablas!BL831=1</f>
        <v>0</v>
      </c>
      <c r="AM71" s="2759"/>
      <c r="AN71" s="2759"/>
      <c r="AO71" s="2759"/>
      <c r="AP71" s="2759"/>
      <c r="AQ71" s="2759"/>
      <c r="AR71" s="2759"/>
      <c r="AS71" s="2759"/>
      <c r="AT71" s="2759"/>
      <c r="AU71" s="2759"/>
      <c r="AV71" s="2759"/>
    </row>
    <row r="72" spans="1:48" s="15" customFormat="1" ht="12" customHeight="1" x14ac:dyDescent="0.2">
      <c r="A72" s="4"/>
      <c r="B72" s="1036"/>
      <c r="C72" s="3479"/>
      <c r="D72" s="3581"/>
      <c r="E72" s="3590"/>
      <c r="F72" s="3591"/>
      <c r="G72" s="3591"/>
      <c r="H72" s="3591"/>
      <c r="I72" s="3592"/>
      <c r="J72" s="3586"/>
      <c r="K72" s="3587"/>
      <c r="L72" s="562" t="str">
        <f>IFERROR(IF(NOT(Tablas!$AK$814),INDEX(Tablas!AN832:AP832,1,Tablas!AL832),IF(M72&lt;&gt;"",IF(Tablas!$AK832="Básica",INDEX(Tablas!$AF$826:$AF$828,AG72),IF(Tablas!$AK832="Avanzada",INDEX(Tablas!$AG$826:$AG$827,AG72),"")),"")),"")</f>
        <v/>
      </c>
      <c r="M72" s="1696"/>
      <c r="N72" s="2256"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606" t="str">
        <f t="shared" si="19"/>
        <v/>
      </c>
      <c r="W72" s="3607"/>
      <c r="X72" s="3607"/>
      <c r="Y72" s="3607"/>
      <c r="Z72" s="3607"/>
      <c r="AA72" s="3608"/>
      <c r="AB72" s="1993"/>
      <c r="AC72" s="953"/>
      <c r="AD72" s="2755">
        <f t="shared" si="20"/>
        <v>0</v>
      </c>
      <c r="AE72" s="2764" t="str">
        <f>Tablas!$AK832</f>
        <v/>
      </c>
      <c r="AF72" s="2771">
        <f>COUNTIF($E$56:$E72,E72)</f>
        <v>0</v>
      </c>
      <c r="AG72" s="2771">
        <f>Tablas!AQ832</f>
        <v>0</v>
      </c>
      <c r="AH72" s="2771">
        <f>Tablas!AV832</f>
        <v>0</v>
      </c>
      <c r="AI72" s="2771">
        <f>Tablas!BA832</f>
        <v>0</v>
      </c>
      <c r="AJ72" s="2771">
        <f>Tablas!BF832</f>
        <v>0</v>
      </c>
      <c r="AK72" s="2771">
        <f>Tablas!BK832</f>
        <v>0</v>
      </c>
      <c r="AL72" s="1986" t="b">
        <f>Tablas!BL832=1</f>
        <v>0</v>
      </c>
      <c r="AM72" s="2759"/>
      <c r="AN72" s="2759"/>
      <c r="AO72" s="2759"/>
      <c r="AP72" s="2759"/>
      <c r="AQ72" s="2759"/>
      <c r="AR72" s="2759"/>
      <c r="AS72" s="2759"/>
      <c r="AT72" s="2759"/>
      <c r="AU72" s="2759"/>
      <c r="AV72" s="2759"/>
    </row>
    <row r="73" spans="1:48" s="15" customFormat="1" ht="12" customHeight="1" x14ac:dyDescent="0.2">
      <c r="A73" s="4"/>
      <c r="B73" s="1036"/>
      <c r="C73" s="3479"/>
      <c r="D73" s="3581"/>
      <c r="E73" s="3583"/>
      <c r="F73" s="3584"/>
      <c r="G73" s="3584"/>
      <c r="H73" s="3584"/>
      <c r="I73" s="3585"/>
      <c r="J73" s="3588"/>
      <c r="K73" s="3589"/>
      <c r="L73" s="2076" t="str">
        <f>IFERROR(IF(NOT(Tablas!$AK$814),INDEX(Tablas!AN833:AP833,1,Tablas!AL833),IF(M73&lt;&gt;"",IF(Tablas!$AK833="Básica",INDEX(Tablas!$AF$826:$AF$828,AG73),IF(Tablas!$AK833="Avanzada",INDEX(Tablas!$AG$826:$AG$827,AG73),"")),"")),"")</f>
        <v/>
      </c>
      <c r="M73" s="1678"/>
      <c r="N73" s="2251" t="str">
        <f>IFERROR(IF(NOT(Tablas!$AK$814),INDEX(Tablas!AP833:AR833,1,Tablas!AN833),IF(O73&lt;&gt;"",IF(Tablas!$AK833="Básica",INDEX(Tablas!$AF$826:$AF$828,AI73),IF(Tablas!$AK833="Avanzada",INDEX(Tablas!$AG$826:$AG$827,AI73),"")),"")),"")</f>
        <v/>
      </c>
      <c r="O73" s="1678"/>
      <c r="P73" s="2093" t="str">
        <f>IFERROR(IF(NOT(Tablas!$AK$814),INDEX(Tablas!AR833:AT833,1,Tablas!AP833),IF(Q73&lt;&gt;"",IF(Tablas!$AK833="Básica",INDEX(Tablas!$AF$826:$AF$828,AK73),IF(Tablas!$AK833="Avanzada",INDEX(Tablas!$AG$826:$AG$827,AK73),"")),"")),"")</f>
        <v/>
      </c>
      <c r="Q73" s="1678"/>
      <c r="R73" s="2093" t="str">
        <f>IFERROR(IF(NOT(Tablas!$AK$814),INDEX(Tablas!AT833:AV833,1,Tablas!AR833),IF(S73&lt;&gt;"",IF(Tablas!$AK833="Básica",INDEX(Tablas!$AF$826:$AF$828,AM73),IF(Tablas!$AK833="Avanzada",INDEX(Tablas!$AG$826:$AG$827,AM73),"")),"")),"")</f>
        <v/>
      </c>
      <c r="S73" s="1678"/>
      <c r="T73" s="2093" t="str">
        <f>IFERROR(IF(NOT(Tablas!$AK$814),INDEX(Tablas!AV833:AX833,1,Tablas!AT833),IF(U73&lt;&gt;"",IF(Tablas!$AK833="Básica",INDEX(Tablas!$AF$826:$AF$828,AO73),IF(Tablas!$AK833="Avanzada",INDEX(Tablas!$AG$826:$AG$827,AO73),"")),"")),"")</f>
        <v/>
      </c>
      <c r="U73" s="1678"/>
      <c r="V73" s="3603" t="str">
        <f t="shared" si="19"/>
        <v/>
      </c>
      <c r="W73" s="3604"/>
      <c r="X73" s="3604"/>
      <c r="Y73" s="3604"/>
      <c r="Z73" s="3604"/>
      <c r="AA73" s="3605"/>
      <c r="AB73" s="1993"/>
      <c r="AC73" s="953"/>
      <c r="AD73" s="2755">
        <f t="shared" si="20"/>
        <v>0</v>
      </c>
      <c r="AE73" s="2764" t="str">
        <f>Tablas!$AK833</f>
        <v/>
      </c>
      <c r="AF73" s="2771">
        <f>COUNTIF($E$56:$E73,E73)</f>
        <v>0</v>
      </c>
      <c r="AG73" s="2771">
        <f>Tablas!AQ833</f>
        <v>0</v>
      </c>
      <c r="AH73" s="2771">
        <f>Tablas!AV833</f>
        <v>0</v>
      </c>
      <c r="AI73" s="2771">
        <f>Tablas!BA833</f>
        <v>0</v>
      </c>
      <c r="AJ73" s="2771">
        <f>Tablas!BF833</f>
        <v>0</v>
      </c>
      <c r="AK73" s="2771">
        <f>Tablas!BK833</f>
        <v>0</v>
      </c>
      <c r="AL73" s="1986" t="b">
        <f>Tablas!BL833=1</f>
        <v>0</v>
      </c>
      <c r="AM73" s="2759"/>
      <c r="AN73" s="2759"/>
      <c r="AO73" s="2759"/>
      <c r="AP73" s="2759"/>
      <c r="AQ73" s="2759"/>
      <c r="AR73" s="2759"/>
      <c r="AS73" s="2759"/>
      <c r="AT73" s="2759"/>
      <c r="AU73" s="2759"/>
      <c r="AV73" s="2759"/>
    </row>
    <row r="74" spans="1:48" s="15" customFormat="1" ht="12" customHeight="1" x14ac:dyDescent="0.2">
      <c r="A74" s="4"/>
      <c r="B74" s="1036"/>
      <c r="C74" s="3479"/>
      <c r="D74" s="3581"/>
      <c r="E74" s="3693"/>
      <c r="F74" s="3694"/>
      <c r="G74" s="3694"/>
      <c r="H74" s="3694"/>
      <c r="I74" s="3695"/>
      <c r="J74" s="3696"/>
      <c r="K74" s="3697"/>
      <c r="L74" s="562" t="str">
        <f>IFERROR(IF(NOT(Tablas!$AK$814),INDEX(Tablas!AN834:AP834,1,Tablas!AL834),IF(M74&lt;&gt;"",IF(Tablas!$AK834="Básica",INDEX(Tablas!$AF$826:$AF$828,AG74),IF(Tablas!$AK834="Avanzada",INDEX(Tablas!$AG$826:$AG$827,AG74),"")),"")),"")</f>
        <v/>
      </c>
      <c r="M74" s="1696"/>
      <c r="N74" s="2256"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667" t="str">
        <f t="shared" si="19"/>
        <v/>
      </c>
      <c r="W74" s="3668"/>
      <c r="X74" s="3668"/>
      <c r="Y74" s="3668"/>
      <c r="Z74" s="3668"/>
      <c r="AA74" s="3669"/>
      <c r="AB74" s="1993"/>
      <c r="AC74" s="953"/>
      <c r="AD74" s="2755">
        <f t="shared" si="20"/>
        <v>0</v>
      </c>
      <c r="AE74" s="2764" t="str">
        <f>Tablas!$AK834</f>
        <v/>
      </c>
      <c r="AF74" s="2771">
        <f>COUNTIF($E$56:$E74,E74)</f>
        <v>0</v>
      </c>
      <c r="AG74" s="2771">
        <f>Tablas!AQ834</f>
        <v>0</v>
      </c>
      <c r="AH74" s="2771">
        <f>Tablas!AV834</f>
        <v>0</v>
      </c>
      <c r="AI74" s="2771">
        <f>Tablas!BA834</f>
        <v>0</v>
      </c>
      <c r="AJ74" s="2771">
        <f>Tablas!BF834</f>
        <v>0</v>
      </c>
      <c r="AK74" s="2771">
        <f>Tablas!BK834</f>
        <v>0</v>
      </c>
      <c r="AL74" s="1986" t="b">
        <f>Tablas!BL834=1</f>
        <v>0</v>
      </c>
      <c r="AM74" s="2759"/>
      <c r="AN74" s="2759"/>
      <c r="AO74" s="2759"/>
      <c r="AP74" s="2759"/>
      <c r="AQ74" s="2759"/>
      <c r="AR74" s="2759"/>
      <c r="AS74" s="2759"/>
      <c r="AT74" s="2759"/>
      <c r="AU74" s="2759"/>
      <c r="AV74" s="2759"/>
    </row>
    <row r="75" spans="1:48" s="15" customFormat="1" ht="12" customHeight="1" x14ac:dyDescent="0.2">
      <c r="A75" s="4"/>
      <c r="B75" s="1036"/>
      <c r="C75" s="3479"/>
      <c r="D75" s="3581"/>
      <c r="E75" s="3499"/>
      <c r="F75" s="3500"/>
      <c r="G75" s="3500"/>
      <c r="H75" s="3500"/>
      <c r="I75" s="3500"/>
      <c r="J75" s="3500"/>
      <c r="K75" s="3501"/>
      <c r="L75" s="2260" t="str">
        <f>IF($E75=0,"",TRUNC(IF(L$19="Tao",0.5,1)*VLOOKUP($E75,Tabla_AM_Armas,2,FALSE),0))</f>
        <v/>
      </c>
      <c r="M75" s="2246"/>
      <c r="N75" s="2260" t="str">
        <f>IF($E75=0,"",TRUNC(IF(N$19="Tao",0.5,1)*VLOOKUP($E75,Tabla_AM_Armas,2,FALSE),0))</f>
        <v/>
      </c>
      <c r="O75" s="2246"/>
      <c r="P75" s="2260" t="str">
        <f>IF($E75=0,"",TRUNC(IF(P$19="Tao",0.5,1)*VLOOKUP($E75,Tabla_AM_Armas,2,FALSE),0))</f>
        <v/>
      </c>
      <c r="Q75" s="2246"/>
      <c r="R75" s="2260" t="str">
        <f>IF($E75=0,"",TRUNC(IF(R$19="Tao",0.5,1)*VLOOKUP($E75,Tabla_AM_Armas,2,FALSE),0))</f>
        <v/>
      </c>
      <c r="S75" s="2246"/>
      <c r="T75" s="2260" t="str">
        <f>IF($E75=0,"",TRUNC(IF(T$19="Tao",0.5,1)*VLOOKUP($E75,Tabla_AM_Armas,2,FALSE),0))</f>
        <v/>
      </c>
      <c r="U75" s="2246"/>
      <c r="V75" s="3670" t="str">
        <f>IF(E75=0,"",IF(VLOOKUP(E75,Tabla_AM_Armas,4,FALSE)="-","-","FALTAN REQUISITOS"))</f>
        <v/>
      </c>
      <c r="W75" s="3671"/>
      <c r="X75" s="3671"/>
      <c r="Y75" s="3671"/>
      <c r="Z75" s="3671"/>
      <c r="AA75" s="3672"/>
      <c r="AB75" s="1993"/>
      <c r="AC75" s="1596"/>
      <c r="AD75" s="2760"/>
      <c r="AE75" s="2764"/>
      <c r="AF75" s="2771"/>
      <c r="AG75" s="2764"/>
      <c r="AH75" s="2764"/>
      <c r="AI75" s="2764"/>
      <c r="AJ75" s="2764"/>
      <c r="AK75" s="2764"/>
      <c r="AL75" s="2759"/>
      <c r="AM75" s="2759"/>
      <c r="AN75" s="2759"/>
      <c r="AO75" s="2755"/>
      <c r="AP75" s="2759"/>
      <c r="AQ75" s="2759"/>
      <c r="AR75" s="2759"/>
      <c r="AS75" s="2759"/>
      <c r="AT75" s="2759"/>
      <c r="AU75" s="2759"/>
      <c r="AV75" s="2759"/>
    </row>
    <row r="76" spans="1:48" s="15" customFormat="1" ht="12" customHeight="1" x14ac:dyDescent="0.2">
      <c r="A76" s="4"/>
      <c r="B76" s="1036"/>
      <c r="C76" s="3479"/>
      <c r="D76" s="3581"/>
      <c r="E76" s="3504"/>
      <c r="F76" s="3505"/>
      <c r="G76" s="3505"/>
      <c r="H76" s="3505"/>
      <c r="I76" s="3505"/>
      <c r="J76" s="3505"/>
      <c r="K76" s="3506"/>
      <c r="L76" s="2261" t="str">
        <f>IF($E76=0,"",TRUNC(IF(L$19="Tao",0.5,1)*VLOOKUP($E76,Tabla_AM_Armas,2,FALSE),0))</f>
        <v/>
      </c>
      <c r="M76" s="2262"/>
      <c r="N76" s="2261" t="str">
        <f>IF($E76=0,"",TRUNC(IF(N$19="Tao",0.5,1)*VLOOKUP($E76,Tabla_AM_Armas,2,FALSE),0))</f>
        <v/>
      </c>
      <c r="O76" s="2262"/>
      <c r="P76" s="2261" t="str">
        <f>IF($E76=0,"",TRUNC(IF(P$19="Tao",0.5,1)*VLOOKUP($E76,Tabla_AM_Armas,2,FALSE),0))</f>
        <v/>
      </c>
      <c r="Q76" s="2262"/>
      <c r="R76" s="2261" t="str">
        <f>IF($E76=0,"",TRUNC(IF(R$19="Tao",0.5,1)*VLOOKUP($E76,Tabla_AM_Armas,2,FALSE),0))</f>
        <v/>
      </c>
      <c r="S76" s="2262"/>
      <c r="T76" s="2261" t="str">
        <f>IF($E76=0,"",TRUNC(IF(T$19="Tao",0.5,1)*VLOOKUP($E76,Tabla_AM_Armas,2,FALSE),0))</f>
        <v/>
      </c>
      <c r="U76" s="2262"/>
      <c r="V76" s="3673" t="str">
        <f>IF(E76=0,"",IF(VLOOKUP(E76,Tabla_AM_Armas,4,FALSE)="-","-","FALTAN REQUISITOS"))</f>
        <v/>
      </c>
      <c r="W76" s="3674"/>
      <c r="X76" s="3674"/>
      <c r="Y76" s="3674"/>
      <c r="Z76" s="3674"/>
      <c r="AA76" s="3675"/>
      <c r="AB76" s="1993"/>
      <c r="AC76" s="1596"/>
      <c r="AD76" s="2760"/>
      <c r="AE76" s="2764"/>
      <c r="AF76" s="2771"/>
      <c r="AG76" s="2764"/>
      <c r="AH76" s="2764"/>
      <c r="AI76" s="2764"/>
      <c r="AJ76" s="2764"/>
      <c r="AK76" s="2764"/>
      <c r="AL76" s="2759"/>
      <c r="AM76" s="2759"/>
      <c r="AN76" s="2759"/>
      <c r="AO76" s="2755"/>
      <c r="AP76" s="2759"/>
      <c r="AQ76" s="2759"/>
      <c r="AR76" s="2759"/>
      <c r="AS76" s="2759"/>
      <c r="AT76" s="2759"/>
      <c r="AU76" s="2759"/>
      <c r="AV76" s="2759"/>
    </row>
    <row r="77" spans="1:48" s="15" customFormat="1" ht="12" customHeight="1" x14ac:dyDescent="0.2">
      <c r="A77" s="4"/>
      <c r="B77" s="1036"/>
      <c r="C77" s="3479"/>
      <c r="D77" s="3582"/>
      <c r="E77" s="3563"/>
      <c r="F77" s="3564"/>
      <c r="G77" s="3564"/>
      <c r="H77" s="3564"/>
      <c r="I77" s="3564"/>
      <c r="J77" s="3564"/>
      <c r="K77" s="3565"/>
      <c r="L77" s="2263" t="str">
        <f>IF($E77=0,"",TRUNC(IF(L$19="Tao",0.5,1)*VLOOKUP($E77,Tabla_AM_Armas,2,FALSE),0))</f>
        <v/>
      </c>
      <c r="M77" s="2264"/>
      <c r="N77" s="2263" t="str">
        <f>IF($E77=0,"",TRUNC(IF(N$19="Tao",0.5,1)*VLOOKUP($E77,Tabla_AM_Armas,2,FALSE),0))</f>
        <v/>
      </c>
      <c r="O77" s="2264"/>
      <c r="P77" s="2263" t="str">
        <f>IF($E77=0,"",TRUNC(IF(P$19="Tao",0.5,1)*VLOOKUP($E77,Tabla_AM_Armas,2,FALSE),0))</f>
        <v/>
      </c>
      <c r="Q77" s="2264"/>
      <c r="R77" s="2263" t="str">
        <f>IF($E77=0,"",TRUNC(IF(R$19="Tao",0.5,1)*VLOOKUP($E77,Tabla_AM_Armas,2,FALSE),0))</f>
        <v/>
      </c>
      <c r="S77" s="2264"/>
      <c r="T77" s="2263" t="str">
        <f>IF($E77=0,"",TRUNC(IF(T$19="Tao",0.5,1)*VLOOKUP($E77,Tabla_AM_Armas,2,FALSE),0))</f>
        <v/>
      </c>
      <c r="U77" s="2264"/>
      <c r="V77" s="3676" t="str">
        <f>IF(E77=0,"",IF(VLOOKUP(E77,Tabla_AM_Armas,4,FALSE)="-","-","FALTAN REQUISITOS"))</f>
        <v/>
      </c>
      <c r="W77" s="3677"/>
      <c r="X77" s="3677"/>
      <c r="Y77" s="3677"/>
      <c r="Z77" s="3677"/>
      <c r="AA77" s="3678"/>
      <c r="AB77" s="1993"/>
      <c r="AC77" s="1596"/>
      <c r="AD77" s="2760"/>
      <c r="AE77" s="2764"/>
      <c r="AF77" s="2771"/>
      <c r="AG77" s="2764"/>
      <c r="AH77" s="2764"/>
      <c r="AI77" s="2764"/>
      <c r="AJ77" s="2764"/>
      <c r="AK77" s="2764"/>
      <c r="AL77" s="2759"/>
      <c r="AM77" s="2759"/>
      <c r="AN77" s="2759"/>
      <c r="AO77" s="2755"/>
      <c r="AP77" s="2759"/>
      <c r="AQ77" s="2759"/>
      <c r="AR77" s="2759"/>
      <c r="AS77" s="2759"/>
      <c r="AT77" s="2759"/>
      <c r="AU77" s="2759"/>
      <c r="AV77" s="2759"/>
    </row>
    <row r="78" spans="1:48" s="15" customFormat="1" ht="12" customHeight="1" x14ac:dyDescent="0.2">
      <c r="A78" s="4"/>
      <c r="B78" s="1036"/>
      <c r="C78" s="3479"/>
      <c r="D78" s="3572" t="s">
        <v>1513</v>
      </c>
      <c r="E78" s="3574"/>
      <c r="F78" s="3575"/>
      <c r="G78" s="3575"/>
      <c r="H78" s="3575"/>
      <c r="I78" s="3575"/>
      <c r="J78" s="3575"/>
      <c r="K78" s="3576"/>
      <c r="L78" s="2256" t="str">
        <f>IFERROR(IF($E78=0,"",VLOOKUP($E78,Tabla_ArsMagnus,2,FALSE))*IF(AND($E78="Kiai",L$19="Tao"),0.5,1),"")</f>
        <v/>
      </c>
      <c r="M78" s="2245"/>
      <c r="N78" s="2256" t="str">
        <f>IFERROR(IF($E78=0,"",VLOOKUP($E78,Tabla_ArsMagnus,2,FALSE))*IF(AND($E78="Kiai",N$19="Tao"),0.5,1),"")</f>
        <v/>
      </c>
      <c r="O78" s="2245"/>
      <c r="P78" s="2256" t="str">
        <f>IFERROR(IF($E78=0,"",VLOOKUP($E78,Tabla_ArsMagnus,2,FALSE))*IF(AND($E78="Kiai",P$19="Tao"),0.5,1),"")</f>
        <v/>
      </c>
      <c r="Q78" s="2245"/>
      <c r="R78" s="2256" t="str">
        <f>IFERROR(IF($E78=0,"",VLOOKUP($E78,Tabla_ArsMagnus,2,FALSE))*IF(AND($E78="Kiai",R$19="Tao"),0.5,1),"")</f>
        <v/>
      </c>
      <c r="S78" s="2245"/>
      <c r="T78" s="2256" t="str">
        <f>IFERROR(IF($E78=0,"",VLOOKUP($E78,Tabla_ArsMagnus,2,FALSE))*IF(AND($E78="Kiai",T$19="Tao"),0.5,1),"")</f>
        <v/>
      </c>
      <c r="U78" s="2245"/>
      <c r="V78" s="3556" t="str">
        <f>IF(E78=0,"",IF(VLOOKUP(E78,Tabla_ArsMagnus,5,FALSE)="-","Ver Descripción","FALTAN REQUISITOS"))</f>
        <v/>
      </c>
      <c r="W78" s="3557"/>
      <c r="X78" s="3557"/>
      <c r="Y78" s="3557"/>
      <c r="Z78" s="70" t="s">
        <v>1514</v>
      </c>
      <c r="AA78" s="608">
        <f>IF(E78=0,0,VLOOKUP(E78,Tabla_ArsMagnus,3,FALSE))</f>
        <v>0</v>
      </c>
      <c r="AB78" s="1993"/>
      <c r="AC78" s="1596"/>
      <c r="AD78" s="2755"/>
      <c r="AE78" s="2764"/>
      <c r="AF78" s="2771"/>
      <c r="AG78" s="2764"/>
      <c r="AH78" s="2764"/>
      <c r="AI78" s="2764"/>
      <c r="AJ78" s="2764"/>
      <c r="AK78" s="2764"/>
      <c r="AL78" s="2759"/>
      <c r="AM78" s="2759"/>
      <c r="AN78" s="2759"/>
      <c r="AO78" s="2755"/>
      <c r="AP78" s="2759"/>
      <c r="AQ78" s="2759"/>
      <c r="AR78" s="2759"/>
      <c r="AS78" s="2759"/>
      <c r="AT78" s="2759"/>
      <c r="AU78" s="2759"/>
      <c r="AV78" s="2759"/>
    </row>
    <row r="79" spans="1:48" s="15" customFormat="1" ht="12" customHeight="1" x14ac:dyDescent="0.2">
      <c r="A79" s="4"/>
      <c r="B79" s="1036"/>
      <c r="C79" s="3479"/>
      <c r="D79" s="3573"/>
      <c r="E79" s="3577"/>
      <c r="F79" s="3578"/>
      <c r="G79" s="3578"/>
      <c r="H79" s="3578"/>
      <c r="I79" s="3578"/>
      <c r="J79" s="3578"/>
      <c r="K79" s="3579"/>
      <c r="L79" s="2251" t="str">
        <f>IFERROR(IF($E79=0,"",VLOOKUP($E79,Tabla_ArsMagnus,2,FALSE))*IF(AND($E79="Kiai",L$19="Tao"),0.5,1),"")</f>
        <v/>
      </c>
      <c r="M79" s="2244"/>
      <c r="N79" s="2251" t="str">
        <f>IFERROR(IF($E79=0,"",VLOOKUP($E79,Tabla_ArsMagnus,2,FALSE))*IF(AND($E79="Kiai",N$19="Tao"),0.5,1),"")</f>
        <v/>
      </c>
      <c r="O79" s="2244"/>
      <c r="P79" s="2251" t="str">
        <f>IFERROR(IF($E79=0,"",VLOOKUP($E79,Tabla_ArsMagnus,2,FALSE))*IF(AND($E79="Kiai",P$19="Tao"),0.5,1),"")</f>
        <v/>
      </c>
      <c r="Q79" s="2244"/>
      <c r="R79" s="2251" t="str">
        <f>IFERROR(IF($E79=0,"",VLOOKUP($E79,Tabla_ArsMagnus,2,FALSE))*IF(AND($E79="Kiai",R$19="Tao"),0.5,1),"")</f>
        <v/>
      </c>
      <c r="S79" s="2244"/>
      <c r="T79" s="2251" t="str">
        <f>IFERROR(IF($E79=0,"",VLOOKUP($E79,Tabla_ArsMagnus,2,FALSE))*IF(AND($E79="Kiai",T$19="Tao"),0.5,1),"")</f>
        <v/>
      </c>
      <c r="U79" s="2244"/>
      <c r="V79" s="3558" t="str">
        <f>IF(E79=0,"",IF(VLOOKUP(E79,Tabla_ArsMagnus,5,FALSE)="-","Ver Descripción","FALTAN REQUISITOS"))</f>
        <v/>
      </c>
      <c r="W79" s="3559"/>
      <c r="X79" s="3559"/>
      <c r="Y79" s="3559"/>
      <c r="Z79" s="69" t="s">
        <v>1514</v>
      </c>
      <c r="AA79" s="609">
        <f>IF(E79=0,0,VLOOKUP(E79,Tabla_ArsMagnus,3,FALSE))</f>
        <v>0</v>
      </c>
      <c r="AB79" s="1993"/>
      <c r="AC79" s="1596"/>
      <c r="AD79" s="2755"/>
      <c r="AE79" s="2764"/>
      <c r="AF79" s="2771"/>
      <c r="AG79" s="2764"/>
      <c r="AH79" s="2764"/>
      <c r="AI79" s="2764"/>
      <c r="AJ79" s="2764"/>
      <c r="AK79" s="2764"/>
      <c r="AL79" s="2759"/>
      <c r="AM79" s="2759"/>
      <c r="AN79" s="2759"/>
      <c r="AO79" s="2759"/>
      <c r="AP79" s="2759"/>
      <c r="AQ79" s="2759"/>
      <c r="AR79" s="2759"/>
      <c r="AS79" s="2759"/>
      <c r="AT79" s="2759"/>
      <c r="AU79" s="2759"/>
      <c r="AV79" s="2759"/>
    </row>
    <row r="80" spans="1:48" s="15" customFormat="1" ht="12" customHeight="1" x14ac:dyDescent="0.2">
      <c r="A80" s="4"/>
      <c r="B80" s="1036"/>
      <c r="C80" s="3479"/>
      <c r="D80" s="3573"/>
      <c r="E80" s="3574"/>
      <c r="F80" s="3575"/>
      <c r="G80" s="3575"/>
      <c r="H80" s="3575"/>
      <c r="I80" s="3575"/>
      <c r="J80" s="3575"/>
      <c r="K80" s="3576"/>
      <c r="L80" s="2256" t="str">
        <f>IFERROR(IF($E80=0,"",VLOOKUP($E80,Tabla_ArsMagnus,2,FALSE))*IF(AND($E80="Kiai",L$19="Tao"),0.5,1),"")</f>
        <v/>
      </c>
      <c r="M80" s="2245"/>
      <c r="N80" s="2256" t="str">
        <f>IFERROR(IF($E80=0,"",VLOOKUP($E80,Tabla_ArsMagnus,2,FALSE))*IF(AND($E80="Kiai",N$19="Tao"),0.5,1),"")</f>
        <v/>
      </c>
      <c r="O80" s="2245"/>
      <c r="P80" s="2256" t="str">
        <f>IFERROR(IF($E80=0,"",VLOOKUP($E80,Tabla_ArsMagnus,2,FALSE))*IF(AND($E80="Kiai",P$19="Tao"),0.5,1),"")</f>
        <v/>
      </c>
      <c r="Q80" s="2245"/>
      <c r="R80" s="2256" t="str">
        <f>IFERROR(IF($E80=0,"",VLOOKUP($E80,Tabla_ArsMagnus,2,FALSE))*IF(AND($E80="Kiai",R$19="Tao"),0.5,1),"")</f>
        <v/>
      </c>
      <c r="S80" s="2245"/>
      <c r="T80" s="2256" t="str">
        <f>IFERROR(IF($E80=0,"",VLOOKUP($E80,Tabla_ArsMagnus,2,FALSE))*IF(AND($E80="Kiai",T$19="Tao"),0.5,1),"")</f>
        <v/>
      </c>
      <c r="U80" s="2245"/>
      <c r="V80" s="3556" t="str">
        <f>IF(E80=0,"",IF(VLOOKUP(E80,Tabla_ArsMagnus,5,FALSE)="-","Ver Descripción","FALTAN REQUISITOS"))</f>
        <v/>
      </c>
      <c r="W80" s="3557"/>
      <c r="X80" s="3557"/>
      <c r="Y80" s="3557"/>
      <c r="Z80" s="70" t="s">
        <v>1514</v>
      </c>
      <c r="AA80" s="608">
        <f>IF(E80=0,0,VLOOKUP(E80,Tabla_ArsMagnus,3,FALSE))</f>
        <v>0</v>
      </c>
      <c r="AB80" s="1993"/>
      <c r="AC80" s="1596"/>
      <c r="AD80" s="2755"/>
      <c r="AE80" s="2764"/>
      <c r="AF80" s="2771"/>
      <c r="AG80" s="2764"/>
      <c r="AH80" s="2764"/>
      <c r="AI80" s="2764"/>
      <c r="AJ80" s="2764"/>
      <c r="AK80" s="2764"/>
      <c r="AL80" s="2759"/>
      <c r="AM80" s="2759"/>
      <c r="AN80" s="2759"/>
      <c r="AO80" s="2759"/>
      <c r="AP80" s="2759"/>
      <c r="AQ80" s="2759"/>
      <c r="AR80" s="2759"/>
      <c r="AS80" s="2759"/>
      <c r="AT80" s="2759"/>
      <c r="AU80" s="2759"/>
      <c r="AV80" s="2759"/>
    </row>
    <row r="81" spans="1:48" s="15" customFormat="1" ht="12" customHeight="1" x14ac:dyDescent="0.2">
      <c r="A81" s="4"/>
      <c r="B81" s="1036"/>
      <c r="C81" s="3479"/>
      <c r="D81" s="3573"/>
      <c r="E81" s="3577"/>
      <c r="F81" s="3578"/>
      <c r="G81" s="3578"/>
      <c r="H81" s="3578"/>
      <c r="I81" s="3578"/>
      <c r="J81" s="3578"/>
      <c r="K81" s="3579"/>
      <c r="L81" s="2251" t="str">
        <f>IFERROR(IF($E81=0,"",VLOOKUP($E81,Tabla_ArsMagnus,2,FALSE))*IF(AND($E81="Kiai",L$19="Tao"),0.5,1),"")</f>
        <v/>
      </c>
      <c r="M81" s="2244"/>
      <c r="N81" s="2251" t="str">
        <f>IFERROR(IF($E81=0,"",VLOOKUP($E81,Tabla_ArsMagnus,2,FALSE))*IF(AND($E81="Kiai",N$19="Tao"),0.5,1),"")</f>
        <v/>
      </c>
      <c r="O81" s="2244"/>
      <c r="P81" s="2251" t="str">
        <f>IFERROR(IF($E81=0,"",VLOOKUP($E81,Tabla_ArsMagnus,2,FALSE))*IF(AND($E81="Kiai",P$19="Tao"),0.5,1),"")</f>
        <v/>
      </c>
      <c r="Q81" s="2244"/>
      <c r="R81" s="2251" t="str">
        <f>IFERROR(IF($E81=0,"",VLOOKUP($E81,Tabla_ArsMagnus,2,FALSE))*IF(AND($E81="Kiai",R$19="Tao"),0.5,1),"")</f>
        <v/>
      </c>
      <c r="S81" s="2244"/>
      <c r="T81" s="2251" t="str">
        <f>IFERROR(IF($E81=0,"",VLOOKUP($E81,Tabla_ArsMagnus,2,FALSE))*IF(AND($E81="Kiai",T$19="Tao"),0.5,1),"")</f>
        <v/>
      </c>
      <c r="U81" s="2244"/>
      <c r="V81" s="3558" t="str">
        <f>IF(E81=0,"",IF(VLOOKUP(E81,Tabla_ArsMagnus,5,FALSE)="-","Ver Descripción","FALTAN REQUISITOS"))</f>
        <v/>
      </c>
      <c r="W81" s="3559"/>
      <c r="X81" s="3559"/>
      <c r="Y81" s="3559"/>
      <c r="Z81" s="69" t="s">
        <v>1514</v>
      </c>
      <c r="AA81" s="609">
        <f>IF(E81=0,0,VLOOKUP(E81,Tabla_ArsMagnus,3,FALSE))</f>
        <v>0</v>
      </c>
      <c r="AB81" s="1993"/>
      <c r="AC81" s="1596"/>
      <c r="AD81" s="2755"/>
      <c r="AE81" s="2764"/>
      <c r="AF81" s="2771"/>
      <c r="AG81" s="2764"/>
      <c r="AH81" s="2764"/>
      <c r="AI81" s="2764"/>
      <c r="AJ81" s="2764"/>
      <c r="AK81" s="2764"/>
      <c r="AL81" s="2759"/>
      <c r="AM81" s="2759"/>
      <c r="AN81" s="2759"/>
      <c r="AO81" s="2759"/>
      <c r="AP81" s="2759"/>
      <c r="AQ81" s="2759"/>
      <c r="AR81" s="2759"/>
      <c r="AS81" s="2759"/>
      <c r="AT81" s="2759"/>
      <c r="AU81" s="2759"/>
      <c r="AV81" s="2759"/>
    </row>
    <row r="82" spans="1:48" s="15" customFormat="1" ht="12" customHeight="1" thickBot="1" x14ac:dyDescent="0.25">
      <c r="A82" s="4"/>
      <c r="B82" s="1036"/>
      <c r="C82" s="3479"/>
      <c r="D82" s="3573"/>
      <c r="E82" s="3574"/>
      <c r="F82" s="3575"/>
      <c r="G82" s="3575"/>
      <c r="H82" s="3575"/>
      <c r="I82" s="3575"/>
      <c r="J82" s="3575"/>
      <c r="K82" s="3576"/>
      <c r="L82" s="2256" t="str">
        <f>IFERROR(IF($E82=0,"",VLOOKUP($E82,Tabla_ArsMagnus,2,FALSE))*IF(AND($E82="Kiai",L$19="Tao"),0.5,1),"")</f>
        <v/>
      </c>
      <c r="M82" s="2245"/>
      <c r="N82" s="2256" t="str">
        <f>IFERROR(IF($E82=0,"",VLOOKUP($E82,Tabla_ArsMagnus,2,FALSE))*IF(AND($E82="Kiai",N$19="Tao"),0.5,1),"")</f>
        <v/>
      </c>
      <c r="O82" s="2245"/>
      <c r="P82" s="2256" t="str">
        <f>IFERROR(IF($E82=0,"",VLOOKUP($E82,Tabla_ArsMagnus,2,FALSE))*IF(AND($E82="Kiai",P$19="Tao"),0.5,1),"")</f>
        <v/>
      </c>
      <c r="Q82" s="2245"/>
      <c r="R82" s="2256" t="str">
        <f>IFERROR(IF($E82=0,"",VLOOKUP($E82,Tabla_ArsMagnus,2,FALSE))*IF(AND($E82="Kiai",R$19="Tao"),0.5,1),"")</f>
        <v/>
      </c>
      <c r="S82" s="2245"/>
      <c r="T82" s="2256" t="str">
        <f>IFERROR(IF($E82=0,"",VLOOKUP($E82,Tabla_ArsMagnus,2,FALSE))*IF(AND($E82="Kiai",T$19="Tao"),0.5,1),"")</f>
        <v/>
      </c>
      <c r="U82" s="2245"/>
      <c r="V82" s="3556" t="str">
        <f>IF(E82=0,"",IF(VLOOKUP(E82,Tabla_ArsMagnus,5,FALSE)="-","Ver Descripción","FALTAN REQUISITOS"))</f>
        <v/>
      </c>
      <c r="W82" s="3557"/>
      <c r="X82" s="3557"/>
      <c r="Y82" s="3557"/>
      <c r="Z82" s="70" t="s">
        <v>1514</v>
      </c>
      <c r="AA82" s="608">
        <f>IF(E82=0,0,VLOOKUP(E82,Tabla_ArsMagnus,3,FALSE))</f>
        <v>0</v>
      </c>
      <c r="AB82" s="1993"/>
      <c r="AC82" s="1596"/>
      <c r="AD82" s="2755"/>
      <c r="AE82" s="2764"/>
      <c r="AF82" s="2771"/>
      <c r="AG82" s="2764"/>
      <c r="AH82" s="2764"/>
      <c r="AI82" s="2764"/>
      <c r="AJ82" s="2764"/>
      <c r="AK82" s="2764"/>
      <c r="AL82" s="2759"/>
      <c r="AM82" s="2759"/>
      <c r="AN82" s="2759"/>
      <c r="AO82" s="2759"/>
      <c r="AP82" s="2759"/>
      <c r="AQ82" s="2759"/>
      <c r="AR82" s="2759"/>
      <c r="AS82" s="2759"/>
      <c r="AT82" s="2759"/>
      <c r="AU82" s="2759"/>
      <c r="AV82" s="2759"/>
    </row>
    <row r="83" spans="1:48" s="15" customFormat="1" ht="12" customHeight="1" x14ac:dyDescent="0.2">
      <c r="A83" s="4"/>
      <c r="B83" s="1036"/>
      <c r="C83" s="3479"/>
      <c r="D83" s="3566" t="s">
        <v>1515</v>
      </c>
      <c r="E83" s="3567"/>
      <c r="F83" s="3567"/>
      <c r="G83" s="3567"/>
      <c r="H83" s="3567"/>
      <c r="I83" s="3567"/>
      <c r="J83" s="3567"/>
      <c r="K83" s="3568"/>
      <c r="L83" s="3458">
        <f>T$5*IF(Categoría_1=0,0.5,VLOOKUP(Categoría_1,Tabla_Categorías,6,FALSE))</f>
        <v>360.00000000000006</v>
      </c>
      <c r="M83" s="3471">
        <f>SUM(M27:M82)+SUM(M22:M25)</f>
        <v>50</v>
      </c>
      <c r="N83" s="3458">
        <f>SUM(T$5:T$7)*IF(Categoría_2=0,0,VLOOKUP(Categoría_2,Tabla_Categorías,6,FALSE))</f>
        <v>0</v>
      </c>
      <c r="O83" s="3471">
        <f>(SUM(O27:O82)+SUM(O22:O25)+M83)*IF(Categoría_2=0,0,1)</f>
        <v>0</v>
      </c>
      <c r="P83" s="3458">
        <f>SUM(T$5:T$9)*IF(Categoría_3=0,0,VLOOKUP(Categoría_3,Tabla_Categorías,6,FALSE))</f>
        <v>0</v>
      </c>
      <c r="Q83" s="3462">
        <f>(SUM(Q27:Q82)+SUM(Q22:Q25)+O83)*IF(Categoría_3=0,0,1)</f>
        <v>0</v>
      </c>
      <c r="R83" s="3458">
        <f>SUM(T$5:T$11)*IF(Categoría_4=0,0,VLOOKUP(Categoría_4,Tabla_Categorías,6,FALSE))</f>
        <v>0</v>
      </c>
      <c r="S83" s="3471">
        <f>(SUM(S27:S82)+SUM(S22:S25)+Q83)*IF(Categoría_4=0,0,1)</f>
        <v>0</v>
      </c>
      <c r="T83" s="3458">
        <f>SUM(T$5:T$13)*IF(Categoría_5=0,0,VLOOKUP(Categoría_5,Tabla_Categorías,6,FALSE))</f>
        <v>0</v>
      </c>
      <c r="U83" s="3471">
        <f>(SUM(U27:U82)+SUM(U22:U25)+S83)*IF(Categoría_5=0,0,1)</f>
        <v>0</v>
      </c>
      <c r="V83" s="3539"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40"/>
      <c r="X83" s="3540"/>
      <c r="Y83" s="3540"/>
      <c r="Z83" s="3540"/>
      <c r="AA83" s="3541"/>
      <c r="AB83" s="1993"/>
      <c r="AC83" s="1596"/>
      <c r="AD83" s="2755"/>
      <c r="AE83" s="2764"/>
      <c r="AF83" s="2771"/>
      <c r="AG83" s="2764"/>
      <c r="AH83" s="2764"/>
      <c r="AI83" s="2764"/>
      <c r="AJ83" s="2764"/>
      <c r="AK83" s="2764"/>
      <c r="AL83" s="2759"/>
      <c r="AM83" s="2759"/>
      <c r="AN83" s="2759"/>
      <c r="AO83" s="2759"/>
      <c r="AP83" s="2759"/>
      <c r="AQ83" s="2759"/>
      <c r="AR83" s="2759"/>
      <c r="AS83" s="2759"/>
      <c r="AT83" s="2759"/>
      <c r="AU83" s="2759"/>
      <c r="AV83" s="2759"/>
    </row>
    <row r="84" spans="1:48" s="15" customFormat="1" ht="12" customHeight="1" thickBot="1" x14ac:dyDescent="0.25">
      <c r="A84" s="4"/>
      <c r="B84" s="1036"/>
      <c r="C84" s="3480"/>
      <c r="D84" s="3569"/>
      <c r="E84" s="3570"/>
      <c r="F84" s="3570"/>
      <c r="G84" s="3570"/>
      <c r="H84" s="3570"/>
      <c r="I84" s="3570"/>
      <c r="J84" s="3570"/>
      <c r="K84" s="3571"/>
      <c r="L84" s="3459"/>
      <c r="M84" s="3472"/>
      <c r="N84" s="3459"/>
      <c r="O84" s="3472"/>
      <c r="P84" s="3459"/>
      <c r="Q84" s="3212"/>
      <c r="R84" s="3459"/>
      <c r="S84" s="3472"/>
      <c r="T84" s="3459"/>
      <c r="U84" s="3472"/>
      <c r="V84" s="3542"/>
      <c r="W84" s="3543"/>
      <c r="X84" s="3543"/>
      <c r="Y84" s="3543"/>
      <c r="Z84" s="3543"/>
      <c r="AA84" s="3544"/>
      <c r="AB84" s="1993"/>
      <c r="AC84" s="1596"/>
      <c r="AD84" s="2755"/>
      <c r="AE84" s="2764"/>
      <c r="AF84" s="2771"/>
      <c r="AG84" s="2764"/>
      <c r="AH84" s="2764"/>
      <c r="AI84" s="2764"/>
      <c r="AJ84" s="2764"/>
      <c r="AK84" s="2764"/>
      <c r="AL84" s="2759"/>
      <c r="AM84" s="2759"/>
      <c r="AN84" s="2759"/>
      <c r="AO84" s="2759"/>
      <c r="AP84" s="2759"/>
      <c r="AQ84" s="2759"/>
      <c r="AR84" s="2759"/>
      <c r="AS84" s="2759"/>
      <c r="AT84" s="2759"/>
      <c r="AU84" s="2759"/>
      <c r="AV84" s="2759"/>
    </row>
    <row r="85" spans="1:48" s="15" customFormat="1" ht="12" customHeight="1" x14ac:dyDescent="0.2">
      <c r="A85" s="4"/>
      <c r="B85" s="1036"/>
      <c r="AB85" s="1993"/>
      <c r="AC85" s="1596"/>
      <c r="AD85" s="2755"/>
      <c r="AE85" s="2764"/>
      <c r="AF85" s="2771"/>
      <c r="AG85" s="2764"/>
      <c r="AH85" s="2764"/>
      <c r="AI85" s="2764"/>
      <c r="AJ85" s="2764"/>
      <c r="AK85" s="2764"/>
      <c r="AL85" s="2759"/>
      <c r="AM85" s="2759"/>
      <c r="AN85" s="2759"/>
      <c r="AO85" s="2759"/>
      <c r="AP85" s="2759"/>
      <c r="AQ85" s="2759"/>
      <c r="AR85" s="2759"/>
      <c r="AS85" s="2759"/>
      <c r="AT85" s="2759"/>
      <c r="AU85" s="2759"/>
      <c r="AV85" s="2759"/>
    </row>
    <row r="86" spans="1:48" s="15" customFormat="1" ht="12" customHeight="1" thickBot="1" x14ac:dyDescent="0.25">
      <c r="A86" s="4"/>
      <c r="B86" s="1036"/>
      <c r="AB86" s="1993"/>
      <c r="AC86" s="1596"/>
      <c r="AD86" s="2755"/>
      <c r="AE86" s="2764"/>
      <c r="AF86" s="2771"/>
      <c r="AG86" s="2764"/>
      <c r="AH86" s="2764"/>
      <c r="AI86" s="2764"/>
      <c r="AJ86" s="2764"/>
      <c r="AK86" s="2764"/>
      <c r="AL86" s="2759"/>
      <c r="AM86" s="2759"/>
      <c r="AN86" s="2759"/>
      <c r="AO86" s="2759"/>
      <c r="AP86" s="2759"/>
      <c r="AQ86" s="2759"/>
      <c r="AR86" s="2759"/>
      <c r="AS86" s="2759"/>
      <c r="AT86" s="2759"/>
      <c r="AU86" s="2759"/>
      <c r="AV86" s="2759"/>
    </row>
    <row r="87" spans="1:48" s="15" customFormat="1" ht="12" customHeight="1" x14ac:dyDescent="0.2">
      <c r="A87" s="4"/>
      <c r="B87" s="1036"/>
      <c r="L87" s="3514" t="str">
        <f>IF(Categoría_1=0,"",Categoría_1)</f>
        <v>Novel</v>
      </c>
      <c r="M87" s="3515"/>
      <c r="N87" s="3518" t="str">
        <f>IF(Categoría_2=0,"",Categoría_2)</f>
        <v/>
      </c>
      <c r="O87" s="3515"/>
      <c r="P87" s="3518" t="str">
        <f>IF(Categoría_3=0,"",Categoría_3)</f>
        <v/>
      </c>
      <c r="Q87" s="3515"/>
      <c r="R87" s="3518" t="str">
        <f>IF(Categoría_4=0,"",Categoría_4)</f>
        <v/>
      </c>
      <c r="S87" s="3515"/>
      <c r="T87" s="3518" t="str">
        <f>IF(Categoría_5=0,"",Categoría_5)</f>
        <v/>
      </c>
      <c r="U87" s="3551"/>
      <c r="V87" s="71"/>
      <c r="W87" s="71"/>
      <c r="X87" s="71"/>
      <c r="Y87" s="71"/>
      <c r="Z87" s="71"/>
      <c r="AA87" s="71"/>
      <c r="AB87" s="1993"/>
      <c r="AC87" s="1596"/>
      <c r="AD87" s="2755"/>
      <c r="AE87" s="2764"/>
      <c r="AF87" s="2771"/>
      <c r="AG87" s="2764"/>
      <c r="AH87" s="2764"/>
      <c r="AI87" s="2764"/>
      <c r="AJ87" s="2764"/>
      <c r="AK87" s="2764"/>
      <c r="AL87" s="2759"/>
      <c r="AM87" s="2759"/>
      <c r="AN87" s="2759"/>
      <c r="AO87" s="2755"/>
      <c r="AP87" s="2759"/>
      <c r="AQ87" s="2759"/>
      <c r="AR87" s="2759"/>
      <c r="AS87" s="2759"/>
      <c r="AT87" s="2759"/>
      <c r="AU87" s="2759"/>
      <c r="AV87" s="2759"/>
    </row>
    <row r="88" spans="1:48" s="15" customFormat="1" ht="12" customHeight="1" thickBot="1" x14ac:dyDescent="0.25">
      <c r="A88" s="4"/>
      <c r="B88" s="1036"/>
      <c r="C88" s="21"/>
      <c r="L88" s="3516"/>
      <c r="M88" s="3517"/>
      <c r="N88" s="3519"/>
      <c r="O88" s="3517"/>
      <c r="P88" s="3519"/>
      <c r="Q88" s="3517"/>
      <c r="R88" s="3519"/>
      <c r="S88" s="3517"/>
      <c r="T88" s="3519"/>
      <c r="U88" s="3552"/>
      <c r="V88" s="71"/>
      <c r="W88" s="71"/>
      <c r="X88" s="71"/>
      <c r="Y88" s="71"/>
      <c r="Z88" s="71"/>
      <c r="AA88" s="71"/>
      <c r="AB88" s="1993"/>
      <c r="AC88" s="1596"/>
      <c r="AD88" s="2755"/>
      <c r="AE88" s="2764"/>
      <c r="AF88" s="2771"/>
      <c r="AG88" s="2764"/>
      <c r="AH88" s="2764"/>
      <c r="AI88" s="2764"/>
      <c r="AJ88" s="2764"/>
      <c r="AK88" s="2764"/>
      <c r="AL88" s="2759"/>
      <c r="AM88" s="2759"/>
      <c r="AN88" s="2759"/>
      <c r="AO88" s="2755"/>
      <c r="AP88" s="2759"/>
      <c r="AQ88" s="2759"/>
      <c r="AR88" s="2759"/>
      <c r="AS88" s="2759"/>
      <c r="AT88" s="2759"/>
      <c r="AU88" s="2759"/>
      <c r="AV88" s="2759"/>
    </row>
    <row r="89" spans="1:48" s="15" customFormat="1" ht="12" customHeight="1" thickBot="1" x14ac:dyDescent="0.25">
      <c r="A89" s="4"/>
      <c r="B89" s="1036"/>
      <c r="C89" s="3478" t="s">
        <v>1516</v>
      </c>
      <c r="D89" s="588" t="s">
        <v>1407</v>
      </c>
      <c r="E89" s="3685" t="s">
        <v>1383</v>
      </c>
      <c r="F89" s="3599"/>
      <c r="G89" s="3599"/>
      <c r="H89" s="3599"/>
      <c r="I89" s="3599"/>
      <c r="J89" s="3599"/>
      <c r="K89" s="3686"/>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599" t="s">
        <v>1497</v>
      </c>
      <c r="Y89" s="3599"/>
      <c r="Z89" s="589" t="s">
        <v>1426</v>
      </c>
      <c r="AA89" s="591" t="s">
        <v>1357</v>
      </c>
      <c r="AB89" s="1993"/>
      <c r="AC89" s="1596"/>
      <c r="AD89" s="2755"/>
      <c r="AE89" s="2755"/>
      <c r="AF89" s="2771"/>
      <c r="AG89" s="2764"/>
      <c r="AH89" s="2764"/>
      <c r="AI89" s="2764"/>
      <c r="AJ89" s="2764"/>
      <c r="AK89" s="2764"/>
      <c r="AL89" s="2759"/>
      <c r="AM89" s="2759"/>
      <c r="AN89" s="2759"/>
      <c r="AO89" s="2755"/>
      <c r="AP89" s="2759"/>
      <c r="AQ89" s="2759"/>
      <c r="AR89" s="2759"/>
      <c r="AS89" s="2759"/>
      <c r="AT89" s="2759"/>
      <c r="AU89" s="2759"/>
      <c r="AV89" s="2759"/>
    </row>
    <row r="90" spans="1:48" s="15" customFormat="1" ht="12" customHeight="1" x14ac:dyDescent="0.2">
      <c r="A90" s="4"/>
      <c r="B90" s="1036"/>
      <c r="C90" s="3484"/>
      <c r="D90" s="3679" t="s">
        <v>1373</v>
      </c>
      <c r="E90" s="3638" t="s">
        <v>1517</v>
      </c>
      <c r="F90" s="3107"/>
      <c r="G90" s="3107"/>
      <c r="H90" s="3107"/>
      <c r="I90" s="3107"/>
      <c r="J90" s="3107"/>
      <c r="K90" s="3639"/>
      <c r="L90" s="2251">
        <f>IFERROR(VLOOKUP(L$19,Tabla_Categorías,MATCH("Coste"&amp;$E90,Name_Tabla_Cat,FALSE),FALSE),0)</f>
        <v>2</v>
      </c>
      <c r="M90" s="1678"/>
      <c r="N90" s="2251">
        <f>IFERROR(VLOOKUP(N$19,Tabla_Categorías,MATCH("Coste"&amp;$E90,Name_Tabla_Cat,FALSE),FALSE),0)</f>
        <v>0</v>
      </c>
      <c r="O90" s="1678"/>
      <c r="P90" s="2251">
        <f>IFERROR(VLOOKUP(P$19,Tabla_Categorías,MATCH("Coste"&amp;$E90,Name_Tabla_Cat,FALSE),FALSE),0)</f>
        <v>0</v>
      </c>
      <c r="Q90" s="1678"/>
      <c r="R90" s="2251">
        <f>IFERROR(VLOOKUP(R$19,Tabla_Categorías,MATCH("Coste"&amp;$E90,Name_Tabla_Cat,FALSE),FALSE),0)</f>
        <v>0</v>
      </c>
      <c r="S90" s="1678"/>
      <c r="T90" s="2251">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135</v>
      </c>
      <c r="X90" s="3421">
        <f>HLOOKUP($E90,Bonos_Cat_Base,2,FALSE)</f>
        <v>10</v>
      </c>
      <c r="Y90" s="3421">
        <f>HLOOKUP($E90,Bonos_Cat_Base,2,FALSE)</f>
        <v>10</v>
      </c>
      <c r="Z90" s="2550"/>
      <c r="AA90" s="62">
        <f>Z90+X90+V90+W90</f>
        <v>145</v>
      </c>
      <c r="AB90" s="1993"/>
      <c r="AC90" s="1596"/>
      <c r="AD90" s="2755"/>
      <c r="AE90" s="2764"/>
      <c r="AF90" s="2771"/>
      <c r="AG90" s="2764"/>
      <c r="AH90" s="2764"/>
      <c r="AI90" s="2764"/>
      <c r="AJ90" s="2764"/>
      <c r="AK90" s="2764"/>
      <c r="AL90" s="2759"/>
      <c r="AM90" s="2759"/>
      <c r="AN90" s="2759"/>
      <c r="AO90" s="2755"/>
      <c r="AP90" s="2759"/>
      <c r="AQ90" s="2759"/>
      <c r="AR90" s="2759"/>
      <c r="AS90" s="2759"/>
      <c r="AT90" s="2759"/>
      <c r="AU90" s="2759"/>
      <c r="AV90" s="2759"/>
    </row>
    <row r="91" spans="1:48" s="15" customFormat="1" ht="12" customHeight="1" x14ac:dyDescent="0.2">
      <c r="A91" s="4"/>
      <c r="B91" s="1036"/>
      <c r="C91" s="3484"/>
      <c r="D91" s="3679"/>
      <c r="E91" s="3593" t="s">
        <v>1518</v>
      </c>
      <c r="F91" s="3594"/>
      <c r="G91" s="3594"/>
      <c r="H91" s="3594"/>
      <c r="I91" s="3594"/>
      <c r="J91" s="3594"/>
      <c r="K91" s="3595"/>
      <c r="L91" s="2256">
        <f>IFERROR(VLOOKUP(L$19,Tabla_Categorías,MATCH("Coste"&amp;$E91,Name_Tabla_Cat,FALSE),FALSE),0)</f>
        <v>60</v>
      </c>
      <c r="M91" s="1696"/>
      <c r="N91" s="2256">
        <f>IFERROR(VLOOKUP(N$19,Tabla_Categorías,MATCH("Coste"&amp;$E91,Name_Tabla_Cat,FALSE),FALSE),0)</f>
        <v>0</v>
      </c>
      <c r="O91" s="1696"/>
      <c r="P91" s="2256">
        <f>IFERROR(VLOOKUP(P$19,Tabla_Categorías,MATCH("Coste"&amp;$E91,Name_Tabla_Cat,FALSE),FALSE),0)</f>
        <v>0</v>
      </c>
      <c r="Q91" s="1696"/>
      <c r="R91" s="2256">
        <f>IFERROR(VLOOKUP(R$19,Tabla_Categorías,MATCH("Coste"&amp;$E91,Name_Tabla_Cat,FALSE),FALSE),0)</f>
        <v>0</v>
      </c>
      <c r="S91" s="1696"/>
      <c r="T91" s="2256">
        <f>IFERROR(VLOOKUP(T$19,Tabla_Categorías,MATCH("Coste"&amp;$E91,Name_Tabla_Cat,FALSE),FALSE),0)</f>
        <v>0</v>
      </c>
      <c r="U91" s="1696"/>
      <c r="V91" s="63">
        <f>(IF(L91=0,0,TRUNC((M91/L91),0))+IF(N91=0,0,TRUNC((O91/N91),0))+IF(P91=0,0,TRUNC((Q91/P91),0))+IF(R91=0,0,TRUNC((S91/R91),0))+IF(T91=0,0,TRUNC((U91/T91),0)))*W91</f>
        <v>0</v>
      </c>
      <c r="W91" s="562">
        <f>IF(POD=0,0,VLOOKUP(POD,TablaValoresBase,3))</f>
        <v>10</v>
      </c>
      <c r="X91" s="3555" t="s">
        <v>1464</v>
      </c>
      <c r="Y91" s="3555"/>
      <c r="Z91" s="2549"/>
      <c r="AA91" s="64">
        <f>MAX(0,Z91+W91+V91+IF(Mod_ATA&lt;0,TRUNC(Mod_ATA/2,0),0))</f>
        <v>10</v>
      </c>
      <c r="AB91" s="1993"/>
      <c r="AC91" s="1596"/>
      <c r="AD91" s="2755"/>
      <c r="AE91" s="2764"/>
      <c r="AF91" s="2771"/>
      <c r="AG91" s="2764"/>
      <c r="AH91" s="2764"/>
      <c r="AI91" s="2764"/>
      <c r="AJ91" s="2764"/>
      <c r="AK91" s="2764"/>
      <c r="AL91" s="2759"/>
      <c r="AM91" s="2759"/>
      <c r="AN91" s="2759"/>
      <c r="AO91" s="2755"/>
      <c r="AP91" s="2759"/>
      <c r="AQ91" s="2759"/>
      <c r="AR91" s="2759"/>
      <c r="AS91" s="2759"/>
      <c r="AT91" s="2759"/>
      <c r="AU91" s="2759"/>
      <c r="AV91" s="2759"/>
    </row>
    <row r="92" spans="1:48" s="15" customFormat="1" ht="12" customHeight="1" x14ac:dyDescent="0.2">
      <c r="A92" s="4"/>
      <c r="B92" s="1036"/>
      <c r="C92" s="3484"/>
      <c r="D92" s="3679"/>
      <c r="E92" s="3638" t="s">
        <v>1519</v>
      </c>
      <c r="F92" s="3107"/>
      <c r="G92" s="3107"/>
      <c r="H92" s="3107"/>
      <c r="I92" s="3107"/>
      <c r="J92" s="3107"/>
      <c r="K92" s="3639"/>
      <c r="L92" s="2251">
        <f>L$91/2</f>
        <v>30</v>
      </c>
      <c r="M92" s="1678"/>
      <c r="N92" s="2251">
        <f>N$91/2</f>
        <v>0</v>
      </c>
      <c r="O92" s="1678"/>
      <c r="P92" s="2251">
        <f>P$91/2</f>
        <v>0</v>
      </c>
      <c r="Q92" s="1678"/>
      <c r="R92" s="2251">
        <f>R$91/2</f>
        <v>0</v>
      </c>
      <c r="S92" s="1678"/>
      <c r="T92" s="2251">
        <f>T$91/2</f>
        <v>0</v>
      </c>
      <c r="U92" s="1678"/>
      <c r="V92" s="565">
        <f>(IF(L92=0,0,TRUNC((M92/L92),0))+IF(N92=0,0,TRUNC((O92/N92),0))+IF(P92=0,0,TRUNC((Q92/P92),0))+IF(R92=0,0,TRUNC((S92/R92),0))+IF(T92=0,0,TRUNC((U92/T92),0)))*W91</f>
        <v>0</v>
      </c>
      <c r="W92" s="565">
        <f>$AA$91+10*(Metamagia!$R$59+Metamagia!$X$63+Metamagia!$X$48)</f>
        <v>10</v>
      </c>
      <c r="X92" s="3421" t="s">
        <v>1464</v>
      </c>
      <c r="Y92" s="3421"/>
      <c r="Z92" s="2550"/>
      <c r="AA92" s="62">
        <f>W92+V92+Z92</f>
        <v>10</v>
      </c>
      <c r="AB92" s="1993"/>
      <c r="AC92" s="1596"/>
      <c r="AD92" s="2755"/>
      <c r="AE92" s="2764"/>
      <c r="AF92" s="2771"/>
      <c r="AG92" s="2764"/>
      <c r="AH92" s="2764"/>
      <c r="AI92" s="2764"/>
      <c r="AJ92" s="2764"/>
      <c r="AK92" s="2764"/>
      <c r="AL92" s="2759"/>
      <c r="AM92" s="2759"/>
      <c r="AN92" s="2759"/>
      <c r="AO92" s="2755"/>
      <c r="AP92" s="2759"/>
      <c r="AQ92" s="2759"/>
      <c r="AR92" s="2759"/>
      <c r="AS92" s="2759"/>
      <c r="AT92" s="2759"/>
      <c r="AU92" s="2759"/>
      <c r="AV92" s="2759"/>
    </row>
    <row r="93" spans="1:48" s="15" customFormat="1" ht="12" customHeight="1" x14ac:dyDescent="0.2">
      <c r="A93" s="4"/>
      <c r="B93" s="1036"/>
      <c r="C93" s="3484"/>
      <c r="D93" s="3679"/>
      <c r="E93" s="3593" t="s">
        <v>1520</v>
      </c>
      <c r="F93" s="3594"/>
      <c r="G93" s="3594"/>
      <c r="H93" s="3594"/>
      <c r="I93" s="3594"/>
      <c r="J93" s="3594"/>
      <c r="K93" s="3595"/>
      <c r="L93" s="2256">
        <f>IFERROR(VLOOKUP(L$19,Tabla_Categorías,MATCH("Coste"&amp;$E93,Name_Tabla_Cat,FALSE),FALSE),0)</f>
        <v>2</v>
      </c>
      <c r="M93" s="1696"/>
      <c r="N93" s="2256">
        <f>IFERROR(VLOOKUP(N$19,Tabla_Categorías,MATCH("Coste"&amp;$E93,Name_Tabla_Cat,FALSE),FALSE),0)</f>
        <v>0</v>
      </c>
      <c r="O93" s="1696"/>
      <c r="P93" s="2256">
        <f>IFERROR(VLOOKUP(P$19,Tabla_Categorías,MATCH("Coste"&amp;$E93,Name_Tabla_Cat,FALSE),FALSE),0)</f>
        <v>0</v>
      </c>
      <c r="Q93" s="1696"/>
      <c r="R93" s="2256">
        <f>IFERROR(VLOOKUP(R$19,Tabla_Categorías,MATCH("Coste"&amp;$E93,Name_Tabla_Cat,FALSE),FALSE),0)</f>
        <v>0</v>
      </c>
      <c r="S93" s="1696"/>
      <c r="T93" s="2256">
        <f>IFERROR(VLOOKUP(T$19,Tabla_Categorías,MATCH("Coste"&amp;$E93,Name_Tabla_Cat,FALSE),FALSE),0)</f>
        <v>0</v>
      </c>
      <c r="U93" s="1696"/>
      <c r="V93" s="63">
        <f>IF(L93=0,0,TRUNC(M93/L93,0))+IF(N93=0,0,TRUNC(O93/N93,0))+IF(P93=0,0,TRUNC(Q93/P93,0))+IF(R93=0,0,TRUNC(S93/R93,0))+IF(T93=0,0,TRUNC(U93/T93,0))</f>
        <v>0</v>
      </c>
      <c r="W93" s="562">
        <f>Bono_Des</f>
        <v>0</v>
      </c>
      <c r="X93" s="3555" t="s">
        <v>1464</v>
      </c>
      <c r="Y93" s="3555"/>
      <c r="Z93" s="2549"/>
      <c r="AA93" s="64">
        <f>Z93+V93+W93+Mod_ATA</f>
        <v>0</v>
      </c>
      <c r="AB93" s="1993"/>
      <c r="AC93" s="1596"/>
      <c r="AD93" s="2755"/>
      <c r="AE93" s="2764"/>
      <c r="AF93" s="2771"/>
      <c r="AG93" s="2764"/>
      <c r="AH93" s="2764"/>
      <c r="AI93" s="2764"/>
      <c r="AJ93" s="2764"/>
      <c r="AK93" s="2764"/>
      <c r="AL93" s="2759"/>
      <c r="AM93" s="2759"/>
      <c r="AN93" s="2759"/>
      <c r="AO93" s="2755"/>
      <c r="AP93" s="2759"/>
      <c r="AQ93" s="2759"/>
      <c r="AR93" s="2759"/>
      <c r="AS93" s="2759"/>
      <c r="AT93" s="2759"/>
      <c r="AU93" s="2759"/>
      <c r="AV93" s="2759"/>
    </row>
    <row r="94" spans="1:48" s="15" customFormat="1" ht="12" customHeight="1" x14ac:dyDescent="0.2">
      <c r="A94" s="4"/>
      <c r="B94" s="1036"/>
      <c r="C94" s="3484"/>
      <c r="D94" s="3680"/>
      <c r="E94" s="3638" t="s">
        <v>1521</v>
      </c>
      <c r="F94" s="3107"/>
      <c r="G94" s="3107"/>
      <c r="H94" s="3107"/>
      <c r="I94" s="3107"/>
      <c r="J94" s="3107"/>
      <c r="K94" s="3639"/>
      <c r="L94" s="2251">
        <v>5</v>
      </c>
      <c r="M94" s="1678"/>
      <c r="N94" s="2251">
        <v>5</v>
      </c>
      <c r="O94" s="1678"/>
      <c r="P94" s="2251">
        <v>5</v>
      </c>
      <c r="Q94" s="1678"/>
      <c r="R94" s="2251">
        <v>5</v>
      </c>
      <c r="S94" s="1678"/>
      <c r="T94" s="2251">
        <v>5</v>
      </c>
      <c r="U94" s="1678"/>
      <c r="V94" s="66">
        <f>(IF(L94=0,0,TRUNC(M94/L94,0))+IF(N94=0,0,TRUNC(O94/N94,0))+IF(P94=0,0,TRUNC(Q94/P94,0))+IF(R94=0,0,TRUNC(S94/R94,0))+IF(T94=0,0,TRUNC(U94/T94,0)))*5</f>
        <v>0</v>
      </c>
      <c r="W94" s="565">
        <f>IF(INT=0,0,VLOOKUP(INT-Principal!$F$15,Tabla_NivelMagia,2))</f>
        <v>0</v>
      </c>
      <c r="X94" s="3421">
        <f>IF(Tablas!G442&gt;0,5*Nivel_Total,0)</f>
        <v>0</v>
      </c>
      <c r="Y94" s="3421"/>
      <c r="Z94" s="2550"/>
      <c r="AA94" s="73">
        <f>Z94+V94+W94+X94</f>
        <v>0</v>
      </c>
      <c r="AB94" s="1993"/>
      <c r="AC94" s="1596"/>
      <c r="AD94" s="2755"/>
      <c r="AE94" s="2764"/>
      <c r="AF94" s="2771"/>
      <c r="AG94" s="2764"/>
      <c r="AH94" s="2764"/>
      <c r="AI94" s="2764"/>
      <c r="AJ94" s="2764"/>
      <c r="AK94" s="2764"/>
      <c r="AL94" s="2759"/>
      <c r="AM94" s="2759"/>
      <c r="AN94" s="2759"/>
      <c r="AO94" s="2755"/>
      <c r="AP94" s="2759"/>
      <c r="AQ94" s="2759"/>
      <c r="AR94" s="2759"/>
      <c r="AS94" s="2759"/>
      <c r="AT94" s="2759"/>
      <c r="AU94" s="2759"/>
      <c r="AV94" s="2759"/>
    </row>
    <row r="95" spans="1:48" s="15" customFormat="1" ht="12" customHeight="1" x14ac:dyDescent="0.2">
      <c r="A95" s="4"/>
      <c r="B95" s="1036"/>
      <c r="C95" s="3484"/>
      <c r="D95" s="3485" t="s">
        <v>1522</v>
      </c>
      <c r="E95" s="3512" t="s">
        <v>1523</v>
      </c>
      <c r="F95" s="3513"/>
      <c r="G95" s="3513"/>
      <c r="H95" s="3513"/>
      <c r="I95" s="3513"/>
      <c r="J95" s="3513"/>
      <c r="K95" s="3689"/>
      <c r="L95" s="2271">
        <f>IFERROR(VLOOKUP(L$19,Tabla_Categorías,MATCH("Coste"&amp;$E95,Name_Tabla_Cat,FALSE),FALSE),0)</f>
        <v>2</v>
      </c>
      <c r="M95" s="1717"/>
      <c r="N95" s="2271">
        <f>IFERROR(VLOOKUP(N$19,Tabla_Categorías,MATCH("Coste"&amp;$E95,Name_Tabla_Cat,FALSE),FALSE),0)</f>
        <v>0</v>
      </c>
      <c r="O95" s="1717"/>
      <c r="P95" s="2271">
        <f>IFERROR(VLOOKUP(P$19,Tabla_Categorías,MATCH("Coste"&amp;$E95,Name_Tabla_Cat,FALSE),FALSE),0)</f>
        <v>0</v>
      </c>
      <c r="Q95" s="1717"/>
      <c r="R95" s="2271">
        <f>IFERROR(VLOOKUP(R$19,Tabla_Categorías,MATCH("Coste"&amp;$E95,Name_Tabla_Cat,FALSE),FALSE),0)</f>
        <v>0</v>
      </c>
      <c r="S95" s="1717"/>
      <c r="T95" s="2271">
        <f>IFERROR(VLOOKUP(T$19,Tabla_Categorías,MATCH("Coste"&amp;$E95,Name_Tabla_Cat,FALSE),FALSE),0)</f>
        <v>0</v>
      </c>
      <c r="U95" s="1717"/>
      <c r="V95" s="593">
        <f>IF(L95=0,0,TRUNC(M95/L95,0))+IF(N95=0,0,TRUNC(O95/N95,0))+IF(P95=0,0,TRUNC(Q95/P95,0))+IF(R95=0,0,TRUNC(S95/R95,0))+IF(T95=0,0,TRUNC(U95/T95,0))</f>
        <v>0</v>
      </c>
      <c r="W95" s="610">
        <f>Bono_Pod</f>
        <v>15</v>
      </c>
      <c r="X95" s="3596">
        <f t="shared" ref="X95:Y98" si="21">HLOOKUP($E95,Bonos_Cat_Base,2,FALSE)</f>
        <v>0</v>
      </c>
      <c r="Y95" s="3596">
        <f t="shared" si="21"/>
        <v>0</v>
      </c>
      <c r="Z95" s="2563"/>
      <c r="AA95" s="74">
        <f>Z95+X95+V95+W95+IF(Mod_ATA&lt;0,Mod_ATA,0)+IF(Raza="Devah",10,0)+IF(Nephilim="Nephilim Devah",10,0)</f>
        <v>15</v>
      </c>
      <c r="AB95" s="1993"/>
      <c r="AC95" s="1596"/>
      <c r="AD95" s="2755"/>
      <c r="AE95" s="2764"/>
      <c r="AF95" s="2771"/>
      <c r="AG95" s="2764"/>
      <c r="AH95" s="2764"/>
      <c r="AI95" s="2764"/>
      <c r="AJ95" s="2764"/>
      <c r="AK95" s="2764"/>
      <c r="AL95" s="2759"/>
      <c r="AM95" s="2759"/>
      <c r="AN95" s="2759"/>
      <c r="AO95" s="2755"/>
      <c r="AP95" s="2759"/>
      <c r="AQ95" s="2759"/>
      <c r="AR95" s="2759"/>
      <c r="AS95" s="2759"/>
      <c r="AT95" s="2759"/>
      <c r="AU95" s="2759"/>
      <c r="AV95" s="2759"/>
    </row>
    <row r="96" spans="1:48" s="15" customFormat="1" ht="12" customHeight="1" x14ac:dyDescent="0.2">
      <c r="A96" s="4"/>
      <c r="B96" s="1036"/>
      <c r="C96" s="3484"/>
      <c r="D96" s="3486"/>
      <c r="E96" s="3429" t="s">
        <v>7218</v>
      </c>
      <c r="F96" s="3430"/>
      <c r="G96" s="3430"/>
      <c r="H96" s="3430"/>
      <c r="I96" s="3430"/>
      <c r="J96" s="3430"/>
      <c r="K96" s="3490"/>
      <c r="L96" s="2268">
        <f>IFERROR(VLOOKUP(L$19,Tabla_Categorías,MATCH("Coste"&amp;$E96,Name_Tabla_Cat,FALSE),FALSE),0)</f>
        <v>2</v>
      </c>
      <c r="M96" s="1684"/>
      <c r="N96" s="2268">
        <f>IFERROR(VLOOKUP(N$19,Tabla_Categorías,MATCH("Coste"&amp;$E96,Name_Tabla_Cat,FALSE),FALSE),0)</f>
        <v>0</v>
      </c>
      <c r="O96" s="1684"/>
      <c r="P96" s="2268">
        <f>IFERROR(VLOOKUP(P$19,Tabla_Categorías,MATCH("Coste"&amp;$E96,Name_Tabla_Cat,FALSE),FALSE),0)</f>
        <v>0</v>
      </c>
      <c r="Q96" s="1684"/>
      <c r="R96" s="2268">
        <f>IFERROR(VLOOKUP(R$19,Tabla_Categorías,MATCH("Coste"&amp;$E96,Name_Tabla_Cat,FALSE),FALSE),0)</f>
        <v>0</v>
      </c>
      <c r="S96" s="1684"/>
      <c r="T96" s="2268">
        <f>IFERROR(VLOOKUP(T$19,Tabla_Categorías,MATCH("Coste"&amp;$E96,Name_Tabla_Cat,FALSE),FALSE),0)</f>
        <v>0</v>
      </c>
      <c r="U96" s="1684"/>
      <c r="V96" s="61">
        <f>IF(L96=0,0,TRUNC(M96/L96,0))+IF(N96=0,0,TRUNC(O96/N96,0))+IF(P96=0,0,TRUNC(Q96/P96,0))+IF(R96=0,0,TRUNC(S96/R96,0))+IF(T96=0,0,TRUNC(U96/T96,0))</f>
        <v>0</v>
      </c>
      <c r="W96" s="82">
        <f>Bono_Vol</f>
        <v>0</v>
      </c>
      <c r="X96" s="3597">
        <f t="shared" si="21"/>
        <v>0</v>
      </c>
      <c r="Y96" s="3597">
        <f t="shared" si="21"/>
        <v>0</v>
      </c>
      <c r="Z96" s="2564"/>
      <c r="AA96" s="561">
        <f>Z96+X96+V96+W96+IF(Mod_ATA&lt;0,Mod_ATA,0)+IF(Raza="Devah",10,0)+Tablas!$K$1762</f>
        <v>0</v>
      </c>
      <c r="AB96" s="1993"/>
      <c r="AC96" s="1596"/>
      <c r="AD96" s="2755"/>
      <c r="AE96" s="2764"/>
      <c r="AF96" s="2771"/>
      <c r="AG96" s="2764"/>
      <c r="AH96" s="2761"/>
      <c r="AI96" s="2764"/>
      <c r="AJ96" s="2764"/>
      <c r="AK96" s="2764"/>
      <c r="AL96" s="2759"/>
      <c r="AM96" s="2759"/>
      <c r="AN96" s="2759"/>
      <c r="AO96" s="2755"/>
      <c r="AP96" s="2759"/>
      <c r="AQ96" s="2759"/>
      <c r="AR96" s="2759"/>
      <c r="AS96" s="2759"/>
      <c r="AT96" s="2759"/>
      <c r="AU96" s="2759"/>
      <c r="AV96" s="2759"/>
    </row>
    <row r="97" spans="1:48" s="15" customFormat="1" ht="12" customHeight="1" x14ac:dyDescent="0.2">
      <c r="A97" s="4"/>
      <c r="B97" s="1036"/>
      <c r="C97" s="3484"/>
      <c r="D97" s="3486"/>
      <c r="E97" s="3431" t="s">
        <v>386</v>
      </c>
      <c r="F97" s="3432"/>
      <c r="G97" s="3432"/>
      <c r="H97" s="3432"/>
      <c r="I97" s="3432"/>
      <c r="J97" s="3432"/>
      <c r="K97" s="3492"/>
      <c r="L97" s="2270">
        <f>IFERROR(VLOOKUP(L$19,Tabla_Categorías,MATCH("Coste"&amp;$E97,Name_Tabla_Cat,FALSE),FALSE),0)</f>
        <v>2</v>
      </c>
      <c r="M97" s="1718"/>
      <c r="N97" s="2270">
        <f>IFERROR(VLOOKUP(N$19,Tabla_Categorías,MATCH("Coste"&amp;$E97,Name_Tabla_Cat,FALSE),FALSE),0)</f>
        <v>0</v>
      </c>
      <c r="O97" s="1718"/>
      <c r="P97" s="2270">
        <f>IFERROR(VLOOKUP(P$19,Tabla_Categorías,MATCH("Coste"&amp;$E97,Name_Tabla_Cat,FALSE),FALSE),0)</f>
        <v>0</v>
      </c>
      <c r="Q97" s="1718"/>
      <c r="R97" s="2270">
        <f>IFERROR(VLOOKUP(R$19,Tabla_Categorías,MATCH("Coste"&amp;$E97,Name_Tabla_Cat,FALSE),FALSE),0)</f>
        <v>0</v>
      </c>
      <c r="S97" s="1718"/>
      <c r="T97" s="2270">
        <f>IFERROR(VLOOKUP(T$19,Tabla_Categorías,MATCH("Coste"&amp;$E97,Name_Tabla_Cat,FALSE),FALSE),0)</f>
        <v>0</v>
      </c>
      <c r="U97" s="1718"/>
      <c r="V97" s="63">
        <f>IF(L97=0,0,TRUNC(M97/L97,0))+IF(N97=0,0,TRUNC(O97/N97,0))+IF(P97=0,0,TRUNC(Q97/P97,0))+IF(R97=0,0,TRUNC(S97/R97,0))+IF(T97=0,0,TRUNC(U97/T97,0))</f>
        <v>0</v>
      </c>
      <c r="W97" s="279">
        <f>Bono_Pod</f>
        <v>15</v>
      </c>
      <c r="X97" s="3598">
        <f t="shared" si="21"/>
        <v>0</v>
      </c>
      <c r="Y97" s="3598">
        <f t="shared" si="21"/>
        <v>0</v>
      </c>
      <c r="Z97" s="2565"/>
      <c r="AA97" s="564">
        <f>Z97+X97+V97+W97+IF(Mod_ATA&lt;0,Mod_ATA,0)+IF(Raza="Devah",10,0)</f>
        <v>15</v>
      </c>
      <c r="AB97" s="1993"/>
      <c r="AC97" s="1596"/>
      <c r="AD97" s="2755"/>
      <c r="AE97" s="2764"/>
      <c r="AF97" s="2771"/>
      <c r="AG97" s="2764"/>
      <c r="AH97" s="2764"/>
      <c r="AI97" s="2764"/>
      <c r="AJ97" s="2764"/>
      <c r="AK97" s="2764"/>
      <c r="AL97" s="2759"/>
      <c r="AM97" s="2759"/>
      <c r="AN97" s="2759"/>
      <c r="AO97" s="2755"/>
      <c r="AP97" s="2759"/>
      <c r="AQ97" s="2759"/>
      <c r="AR97" s="2759"/>
      <c r="AS97" s="2759"/>
      <c r="AT97" s="2759"/>
      <c r="AU97" s="2759"/>
      <c r="AV97" s="2759"/>
    </row>
    <row r="98" spans="1:48" s="15" customFormat="1" ht="12" customHeight="1" x14ac:dyDescent="0.2">
      <c r="A98" s="4"/>
      <c r="B98" s="1036"/>
      <c r="C98" s="3484"/>
      <c r="D98" s="3681"/>
      <c r="E98" s="3434" t="s">
        <v>1526</v>
      </c>
      <c r="F98" s="3435"/>
      <c r="G98" s="3435"/>
      <c r="H98" s="3435"/>
      <c r="I98" s="3435"/>
      <c r="J98" s="3435"/>
      <c r="K98" s="3684"/>
      <c r="L98" s="2269">
        <f>IFERROR(VLOOKUP(L$19,Tabla_Categorías,MATCH("Coste"&amp;$E98,Name_Tabla_Cat,FALSE),FALSE),0)</f>
        <v>2</v>
      </c>
      <c r="M98" s="1685"/>
      <c r="N98" s="2269">
        <f>IFERROR(VLOOKUP(N$19,Tabla_Categorías,MATCH("Coste"&amp;$E98,Name_Tabla_Cat,FALSE),FALSE),0)</f>
        <v>0</v>
      </c>
      <c r="O98" s="1685"/>
      <c r="P98" s="2269">
        <f>IFERROR(VLOOKUP(P$19,Tabla_Categorías,MATCH("Coste"&amp;$E98,Name_Tabla_Cat,FALSE),FALSE),0)</f>
        <v>0</v>
      </c>
      <c r="Q98" s="1685"/>
      <c r="R98" s="2269">
        <f>IFERROR(VLOOKUP(R$19,Tabla_Categorías,MATCH("Coste"&amp;$E98,Name_Tabla_Cat,FALSE),FALSE),0)</f>
        <v>0</v>
      </c>
      <c r="S98" s="1685"/>
      <c r="T98" s="2269">
        <f>IFERROR(VLOOKUP(T$19,Tabla_Categorías,MATCH("Coste"&amp;$E98,Name_Tabla_Cat,FALSE),FALSE),0)</f>
        <v>0</v>
      </c>
      <c r="U98" s="1685"/>
      <c r="V98" s="592">
        <f>IF(L98=0,0,TRUNC(M98/L98,0))+IF(N98=0,0,TRUNC(O98/N98,0))+IF(P98=0,0,TRUNC(Q98/P98,0))+IF(R98=0,0,TRUNC(S98/R98,0))+IF(T98=0,0,TRUNC(U98/T98,0))</f>
        <v>0</v>
      </c>
      <c r="W98" s="567">
        <f>Bono_Pod</f>
        <v>15</v>
      </c>
      <c r="X98" s="3560">
        <f t="shared" si="21"/>
        <v>0</v>
      </c>
      <c r="Y98" s="3560">
        <f t="shared" si="21"/>
        <v>0</v>
      </c>
      <c r="Z98" s="2566"/>
      <c r="AA98" s="75">
        <f>Z98+X98+V98+W98+IF(Mod_ATA&lt;0,Mod_ATA,0)+IF(Raza="Devah",10,0)+IF(Nephilim="Nephilim Devah",10,0)</f>
        <v>15</v>
      </c>
      <c r="AB98" s="1993"/>
      <c r="AC98" s="1596"/>
      <c r="AD98" s="2755"/>
      <c r="AE98" s="2764"/>
      <c r="AF98" s="2771"/>
      <c r="AG98" s="2764"/>
      <c r="AH98" s="2764"/>
      <c r="AI98" s="2764"/>
      <c r="AJ98" s="2764"/>
      <c r="AK98" s="2764"/>
      <c r="AL98" s="2759"/>
      <c r="AM98" s="2759"/>
      <c r="AN98" s="2759"/>
      <c r="AO98" s="2755"/>
      <c r="AP98" s="2759"/>
      <c r="AQ98" s="2759"/>
      <c r="AR98" s="2759"/>
      <c r="AS98" s="2759"/>
      <c r="AT98" s="2759"/>
      <c r="AU98" s="2759"/>
      <c r="AV98" s="2759"/>
    </row>
    <row r="99" spans="1:48" s="15" customFormat="1" ht="12" customHeight="1" x14ac:dyDescent="0.2">
      <c r="A99" s="4"/>
      <c r="B99" s="1036"/>
      <c r="C99" s="3484"/>
      <c r="D99" s="3682" t="s">
        <v>1527</v>
      </c>
      <c r="E99" s="3648"/>
      <c r="F99" s="3505"/>
      <c r="G99" s="3505"/>
      <c r="H99" s="3505"/>
      <c r="I99" s="3505"/>
      <c r="J99" s="3505"/>
      <c r="K99" s="3506"/>
      <c r="L99" s="2256" t="str">
        <f>IF($E99=0,"",VLOOKUP($E99,Tabla_TablasSobrenat,2))</f>
        <v/>
      </c>
      <c r="M99" s="1700"/>
      <c r="N99" s="2256" t="str">
        <f>IF($E99=0,"",VLOOKUP($E99,Tabla_TablasSobrenat,2))</f>
        <v/>
      </c>
      <c r="O99" s="1700"/>
      <c r="P99" s="2256" t="str">
        <f>IF($E99=0,"",VLOOKUP($E99,Tabla_TablasSobrenat,2))</f>
        <v/>
      </c>
      <c r="Q99" s="1700"/>
      <c r="R99" s="2256" t="str">
        <f>IF($E99=0,"",VLOOKUP($E99,Tabla_TablasSobrenat,2))</f>
        <v/>
      </c>
      <c r="S99" s="1700"/>
      <c r="T99" s="2256" t="str">
        <f>IF($E99=0,"",VLOOKUP($E99,Tabla_TablasSobrenat,2))</f>
        <v/>
      </c>
      <c r="U99" s="1700"/>
      <c r="V99" s="3673" t="str">
        <f>IF($E99=0,"",VLOOKUP($E99,Tabla_TablasSobrenat,3))</f>
        <v/>
      </c>
      <c r="W99" s="3674">
        <f t="shared" ref="W99:AA100" si="22">IF($E99=0,0,VLOOKUP($E99,Tabla_TablasSobrenat,2))</f>
        <v>0</v>
      </c>
      <c r="X99" s="3674">
        <f t="shared" si="22"/>
        <v>0</v>
      </c>
      <c r="Y99" s="3674">
        <f t="shared" si="22"/>
        <v>0</v>
      </c>
      <c r="Z99" s="3674">
        <f t="shared" si="22"/>
        <v>0</v>
      </c>
      <c r="AA99" s="3764">
        <f t="shared" si="22"/>
        <v>0</v>
      </c>
      <c r="AB99" s="1993"/>
      <c r="AC99" s="1596"/>
      <c r="AD99" s="2755"/>
      <c r="AE99" s="2764"/>
      <c r="AF99" s="2771"/>
      <c r="AG99" s="2764"/>
      <c r="AH99" s="2764"/>
      <c r="AI99" s="2764"/>
      <c r="AJ99" s="2764"/>
      <c r="AK99" s="2764"/>
      <c r="AL99" s="2759"/>
      <c r="AM99" s="2759"/>
      <c r="AN99" s="2759"/>
      <c r="AO99" s="2755"/>
      <c r="AP99" s="2759"/>
      <c r="AQ99" s="2759"/>
      <c r="AR99" s="2759"/>
      <c r="AS99" s="2759"/>
      <c r="AT99" s="2759"/>
      <c r="AU99" s="2759"/>
      <c r="AV99" s="2759"/>
    </row>
    <row r="100" spans="1:48" s="15" customFormat="1" ht="12" customHeight="1" thickBot="1" x14ac:dyDescent="0.25">
      <c r="A100" s="4"/>
      <c r="B100" s="1036"/>
      <c r="C100" s="3484"/>
      <c r="D100" s="3683"/>
      <c r="E100" s="3649"/>
      <c r="F100" s="3500"/>
      <c r="G100" s="3500"/>
      <c r="H100" s="3500"/>
      <c r="I100" s="3500"/>
      <c r="J100" s="3500"/>
      <c r="K100" s="3501"/>
      <c r="L100" s="2251" t="str">
        <f>IF($E100=0,"",VLOOKUP($E100,Tabla_TablasSobrenat,2))</f>
        <v/>
      </c>
      <c r="M100" s="1678"/>
      <c r="N100" s="2251" t="str">
        <f>IF($E100=0,"",VLOOKUP($E100,Tabla_TablasSobrenat,2))</f>
        <v/>
      </c>
      <c r="O100" s="1678"/>
      <c r="P100" s="2251" t="str">
        <f>IF($E100=0,"",VLOOKUP($E100,Tabla_TablasSobrenat,2))</f>
        <v/>
      </c>
      <c r="Q100" s="1678"/>
      <c r="R100" s="2251" t="str">
        <f>IF($E100=0,"",VLOOKUP($E100,Tabla_TablasSobrenat,2))</f>
        <v/>
      </c>
      <c r="S100" s="1678"/>
      <c r="T100" s="2251" t="str">
        <f>IF($E100=0,"",VLOOKUP($E100,Tabla_TablasSobrenat,2))</f>
        <v/>
      </c>
      <c r="U100" s="1678"/>
      <c r="V100" s="3765" t="str">
        <f>IF($E100=0,"",VLOOKUP($E100,Tabla_TablasSobrenat,3))</f>
        <v/>
      </c>
      <c r="W100" s="3766">
        <f t="shared" si="22"/>
        <v>0</v>
      </c>
      <c r="X100" s="3766">
        <f t="shared" si="22"/>
        <v>0</v>
      </c>
      <c r="Y100" s="3766">
        <f t="shared" si="22"/>
        <v>0</v>
      </c>
      <c r="Z100" s="3766">
        <f t="shared" si="22"/>
        <v>0</v>
      </c>
      <c r="AA100" s="3767">
        <f t="shared" si="22"/>
        <v>0</v>
      </c>
      <c r="AB100" s="1993"/>
      <c r="AC100" s="1596"/>
      <c r="AD100" s="2755"/>
      <c r="AE100" s="2764"/>
      <c r="AF100" s="2771"/>
      <c r="AG100" s="2764"/>
      <c r="AH100" s="2764"/>
      <c r="AI100" s="2764"/>
      <c r="AJ100" s="2764"/>
      <c r="AK100" s="2764"/>
      <c r="AL100" s="2759"/>
      <c r="AM100" s="2759"/>
      <c r="AN100" s="2759"/>
      <c r="AO100" s="2755"/>
      <c r="AP100" s="2759"/>
      <c r="AQ100" s="2759"/>
      <c r="AR100" s="2759"/>
      <c r="AS100" s="2759"/>
      <c r="AT100" s="2759"/>
      <c r="AU100" s="2759"/>
      <c r="AV100" s="2759"/>
    </row>
    <row r="101" spans="1:48" s="15" customFormat="1" ht="12" customHeight="1" x14ac:dyDescent="0.2">
      <c r="A101" s="31"/>
      <c r="B101" s="925"/>
      <c r="C101" s="3479"/>
      <c r="D101" s="3566" t="s">
        <v>1528</v>
      </c>
      <c r="E101" s="3567"/>
      <c r="F101" s="3567"/>
      <c r="G101" s="3567"/>
      <c r="H101" s="3567"/>
      <c r="I101" s="3567"/>
      <c r="J101" s="3567"/>
      <c r="K101" s="3687"/>
      <c r="L101" s="3458">
        <f>T$5*IF(Categoría_1=0,0.5,VLOOKUP(Categoría_1,Tabla_Categorías,7,FALSE))</f>
        <v>360.00000000000006</v>
      </c>
      <c r="M101" s="3471">
        <f>SUM(M90:M100)</f>
        <v>0</v>
      </c>
      <c r="N101" s="3458">
        <f>SUM(T$5:T$8)*IF(Categoría_2=0,0,VLOOKUP(Categoría_2,Tabla_Categorías,7,FALSE))</f>
        <v>0</v>
      </c>
      <c r="O101" s="3471">
        <f>(SUM(O90:O100)+M101)*IF(Categoría_2=0,0,1)</f>
        <v>0</v>
      </c>
      <c r="P101" s="3458">
        <f>SUM(T$5:T$10)*IF(Categoría_3=0,0,VLOOKUP(Categoría_3,Tabla_Categorías,7,FALSE))</f>
        <v>0</v>
      </c>
      <c r="Q101" s="3462">
        <f>(SUM(Q90:Q100)+O101)*IF(Categoría_3=0,0,1)</f>
        <v>0</v>
      </c>
      <c r="R101" s="3458">
        <f>SUM(T$5:T$11)*IF(Categoría_4=0,0,VLOOKUP(Categoría_4,Tabla_Categorías,7,FALSE))</f>
        <v>0</v>
      </c>
      <c r="S101" s="3471">
        <f>(SUM(S90:S100)+Q101)*IF(Categoría_4=0,0,1)</f>
        <v>0</v>
      </c>
      <c r="T101" s="3561">
        <f>SUM(T$5:T$13)*IF(Categoría_5=0,0,VLOOKUP(Categoría_5,Tabla_Categorías,7,FALSE))</f>
        <v>0</v>
      </c>
      <c r="U101" s="3553">
        <f>(SUM(U90:U100)+S101)*IF(Categoría_5=0,0,1)</f>
        <v>0</v>
      </c>
      <c r="V101" s="3698" t="str">
        <f>IF(OR(M93&gt;L101/2,O93&gt;N101/2,Q93&gt;P101/2,S93&gt;R101/2,U93&gt;T101/2),"Exceso en Proyección Mágica",IF(M94+O94+Q94+S94+U94&gt;0.1*$Z$189,"Exceso de PDs en Nivel de Magia",IF(OR(M101&gt;L101,O101&gt;N101,Q101&gt;P101,S101&gt;R101,U101&gt;T101),"Exceso de PDs en Habilidades Místicas","")))</f>
        <v/>
      </c>
      <c r="W101" s="3699"/>
      <c r="X101" s="3699"/>
      <c r="Y101" s="3699"/>
      <c r="Z101" s="3699"/>
      <c r="AA101" s="3700"/>
      <c r="AB101" s="1989"/>
      <c r="AC101" s="953"/>
      <c r="AD101" s="2755"/>
      <c r="AE101" s="2764"/>
      <c r="AF101" s="2771"/>
      <c r="AG101" s="2764"/>
      <c r="AH101" s="2764"/>
      <c r="AI101" s="2764"/>
      <c r="AJ101" s="2764"/>
      <c r="AK101" s="2764"/>
      <c r="AL101" s="2759"/>
      <c r="AM101" s="2759"/>
      <c r="AN101" s="2759"/>
      <c r="AO101" s="2755"/>
      <c r="AP101" s="2759"/>
      <c r="AQ101" s="2759"/>
      <c r="AR101" s="2759"/>
      <c r="AS101" s="2759"/>
      <c r="AT101" s="2759"/>
      <c r="AU101" s="2759"/>
      <c r="AV101" s="2759"/>
    </row>
    <row r="102" spans="1:48" s="15" customFormat="1" ht="12" customHeight="1" thickBot="1" x14ac:dyDescent="0.25">
      <c r="A102" s="31"/>
      <c r="B102" s="925"/>
      <c r="C102" s="3480"/>
      <c r="D102" s="3569"/>
      <c r="E102" s="3570"/>
      <c r="F102" s="3570"/>
      <c r="G102" s="3570"/>
      <c r="H102" s="3570"/>
      <c r="I102" s="3570"/>
      <c r="J102" s="3570"/>
      <c r="K102" s="3688"/>
      <c r="L102" s="3459"/>
      <c r="M102" s="3472"/>
      <c r="N102" s="3459"/>
      <c r="O102" s="3472"/>
      <c r="P102" s="3459"/>
      <c r="Q102" s="3212"/>
      <c r="R102" s="3459"/>
      <c r="S102" s="3472"/>
      <c r="T102" s="3562"/>
      <c r="U102" s="3554"/>
      <c r="V102" s="3701"/>
      <c r="W102" s="3702"/>
      <c r="X102" s="3702"/>
      <c r="Y102" s="3702"/>
      <c r="Z102" s="3702"/>
      <c r="AA102" s="3703"/>
      <c r="AB102" s="1989"/>
      <c r="AC102" s="953"/>
      <c r="AD102" s="2755"/>
      <c r="AE102" s="2764"/>
      <c r="AF102" s="2771"/>
      <c r="AG102" s="2764"/>
      <c r="AH102" s="2764"/>
      <c r="AI102" s="2764"/>
      <c r="AJ102" s="2764"/>
      <c r="AK102" s="2764"/>
      <c r="AL102" s="2759"/>
      <c r="AM102" s="2759"/>
      <c r="AN102" s="2759"/>
      <c r="AO102" s="2755"/>
      <c r="AP102" s="2759"/>
      <c r="AQ102" s="2759"/>
      <c r="AR102" s="2759"/>
      <c r="AS102" s="2759"/>
      <c r="AT102" s="2759"/>
      <c r="AU102" s="2759"/>
      <c r="AV102" s="2759"/>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9"/>
      <c r="AC103" s="953"/>
      <c r="AD103" s="2755"/>
      <c r="AE103" s="2764"/>
      <c r="AF103" s="2771"/>
      <c r="AG103" s="2764"/>
      <c r="AH103" s="2764"/>
      <c r="AI103" s="2764"/>
      <c r="AJ103" s="2764"/>
      <c r="AK103" s="2764"/>
      <c r="AL103" s="2759"/>
      <c r="AM103" s="2759"/>
      <c r="AN103" s="2759"/>
      <c r="AO103" s="2755"/>
      <c r="AP103" s="2759"/>
      <c r="AQ103" s="2759"/>
      <c r="AR103" s="2759"/>
      <c r="AS103" s="2759"/>
      <c r="AT103" s="2759"/>
      <c r="AU103" s="2759"/>
      <c r="AV103" s="2759"/>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9"/>
      <c r="AC104" s="953"/>
      <c r="AD104" s="2755"/>
      <c r="AE104" s="2764"/>
      <c r="AF104" s="2771"/>
      <c r="AG104" s="2764"/>
      <c r="AH104" s="2764"/>
      <c r="AI104" s="2764"/>
      <c r="AJ104" s="2764"/>
      <c r="AK104" s="2764"/>
      <c r="AL104" s="2759"/>
      <c r="AM104" s="2759"/>
      <c r="AN104" s="2759"/>
      <c r="AO104" s="2755"/>
      <c r="AP104" s="2759"/>
      <c r="AQ104" s="2759"/>
      <c r="AR104" s="2759"/>
      <c r="AS104" s="2759"/>
      <c r="AT104" s="2759"/>
      <c r="AU104" s="2759"/>
      <c r="AV104" s="2759"/>
    </row>
    <row r="105" spans="1:48" s="15" customFormat="1" ht="12" customHeight="1" x14ac:dyDescent="0.2">
      <c r="A105" s="31"/>
      <c r="B105" s="925"/>
      <c r="C105" s="23"/>
      <c r="D105" s="23"/>
      <c r="E105" s="23"/>
      <c r="F105" s="23"/>
      <c r="I105" s="23"/>
      <c r="J105" s="23"/>
      <c r="K105" s="23"/>
      <c r="L105" s="3514" t="str">
        <f>IF(Categoría_1=0,"",Categoría_1)</f>
        <v>Novel</v>
      </c>
      <c r="M105" s="3515"/>
      <c r="N105" s="3518" t="str">
        <f>IF(Categoría_2=0,"",Categoría_2)</f>
        <v/>
      </c>
      <c r="O105" s="3515"/>
      <c r="P105" s="3518" t="str">
        <f>IF(Categoría_3=0,"",Categoría_3)</f>
        <v/>
      </c>
      <c r="Q105" s="3515"/>
      <c r="R105" s="3518" t="str">
        <f>IF(Categoría_4=0,"",Categoría_4)</f>
        <v/>
      </c>
      <c r="S105" s="3515"/>
      <c r="T105" s="3518" t="str">
        <f>IF(Categoría_5=0,"",Categoría_5)</f>
        <v/>
      </c>
      <c r="U105" s="3551"/>
      <c r="V105" s="23"/>
      <c r="W105" s="23"/>
      <c r="X105" s="23"/>
      <c r="Y105" s="23"/>
      <c r="Z105" s="23"/>
      <c r="AA105" s="23"/>
      <c r="AB105" s="1989"/>
      <c r="AC105" s="953"/>
      <c r="AD105" s="2755"/>
      <c r="AE105" s="2764"/>
      <c r="AF105" s="2771"/>
      <c r="AG105" s="2764"/>
      <c r="AH105" s="2764"/>
      <c r="AI105" s="2764"/>
      <c r="AJ105" s="2764"/>
      <c r="AK105" s="2764"/>
      <c r="AL105" s="2759"/>
      <c r="AM105" s="2759"/>
      <c r="AN105" s="2759"/>
      <c r="AO105" s="2755"/>
      <c r="AP105" s="2759"/>
      <c r="AQ105" s="2759"/>
      <c r="AR105" s="2759"/>
      <c r="AS105" s="2759"/>
      <c r="AT105" s="2759"/>
      <c r="AU105" s="2759"/>
      <c r="AV105" s="2759"/>
    </row>
    <row r="106" spans="1:48" s="15" customFormat="1" ht="12" customHeight="1" thickBot="1" x14ac:dyDescent="0.25">
      <c r="A106" s="31"/>
      <c r="B106" s="925"/>
      <c r="C106" s="23"/>
      <c r="D106" s="23"/>
      <c r="E106" s="23"/>
      <c r="F106" s="23"/>
      <c r="I106" s="23"/>
      <c r="J106" s="23"/>
      <c r="K106" s="23"/>
      <c r="L106" s="3516"/>
      <c r="M106" s="3517"/>
      <c r="N106" s="3519"/>
      <c r="O106" s="3517"/>
      <c r="P106" s="3519"/>
      <c r="Q106" s="3517"/>
      <c r="R106" s="3519"/>
      <c r="S106" s="3517"/>
      <c r="T106" s="3519"/>
      <c r="U106" s="3552"/>
      <c r="V106" s="23"/>
      <c r="W106" s="23"/>
      <c r="X106" s="23"/>
      <c r="Y106" s="23"/>
      <c r="Z106" s="23"/>
      <c r="AA106" s="23"/>
      <c r="AB106" s="1989"/>
      <c r="AC106" s="953"/>
      <c r="AD106" s="2755"/>
      <c r="AE106" s="2764"/>
      <c r="AF106" s="2771"/>
      <c r="AG106" s="2764"/>
      <c r="AH106" s="2764"/>
      <c r="AI106" s="2764"/>
      <c r="AJ106" s="2764"/>
      <c r="AK106" s="2764"/>
      <c r="AL106" s="2759"/>
      <c r="AM106" s="2759"/>
      <c r="AN106" s="2759"/>
      <c r="AO106" s="2755"/>
      <c r="AP106" s="2759"/>
      <c r="AQ106" s="2759"/>
      <c r="AR106" s="2759"/>
      <c r="AS106" s="2759"/>
      <c r="AT106" s="2759"/>
      <c r="AU106" s="2759"/>
      <c r="AV106" s="2759"/>
    </row>
    <row r="107" spans="1:48" ht="12" customHeight="1" thickBot="1" x14ac:dyDescent="0.25">
      <c r="A107" s="31"/>
      <c r="B107" s="925"/>
      <c r="C107" s="3483" t="s">
        <v>1529</v>
      </c>
      <c r="D107" s="1623" t="s">
        <v>1407</v>
      </c>
      <c r="E107" s="3487" t="s">
        <v>1383</v>
      </c>
      <c r="F107" s="3487"/>
      <c r="G107" s="3487"/>
      <c r="H107" s="3487"/>
      <c r="I107" s="3487"/>
      <c r="J107" s="3487"/>
      <c r="K107" s="3488"/>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550" t="s">
        <v>1497</v>
      </c>
      <c r="Y107" s="3550"/>
      <c r="Z107" s="563" t="s">
        <v>1426</v>
      </c>
      <c r="AA107" s="60" t="s">
        <v>1357</v>
      </c>
      <c r="AB107" s="1989"/>
      <c r="AC107" s="953"/>
      <c r="AD107" s="2755"/>
      <c r="AE107" s="2755"/>
      <c r="AF107" s="2771"/>
      <c r="AG107" s="2764"/>
      <c r="AH107" s="2764"/>
      <c r="AI107" s="2764"/>
      <c r="AJ107" s="2764"/>
      <c r="AK107" s="2764"/>
      <c r="AL107" s="2759"/>
      <c r="AM107" s="2759"/>
      <c r="AN107" s="2759"/>
      <c r="AO107" s="2755"/>
      <c r="AP107" s="2759"/>
      <c r="AQ107" s="1986"/>
      <c r="AR107" s="1986"/>
      <c r="AS107" s="1986"/>
      <c r="AT107" s="1986"/>
      <c r="AU107" s="1986"/>
      <c r="AV107" s="1986"/>
    </row>
    <row r="108" spans="1:48" ht="12" customHeight="1" x14ac:dyDescent="0.2">
      <c r="A108" s="31"/>
      <c r="B108" s="925"/>
      <c r="C108" s="3484"/>
      <c r="D108" s="3502" t="s">
        <v>1373</v>
      </c>
      <c r="E108" s="3489" t="s">
        <v>1530</v>
      </c>
      <c r="F108" s="3430"/>
      <c r="G108" s="3430"/>
      <c r="H108" s="3430"/>
      <c r="I108" s="3430"/>
      <c r="J108" s="3430"/>
      <c r="K108" s="3490"/>
      <c r="L108" s="2268">
        <f>IFERROR(VLOOKUP(L$19,Tabla_Categorías,MATCH("Coste"&amp;$E108,Name_Tabla_Cat,FALSE),FALSE),0)</f>
        <v>20</v>
      </c>
      <c r="M108" s="1678"/>
      <c r="N108" s="2268">
        <f>IFERROR(VLOOKUP(N$19,Tabla_Categorías,MATCH("Coste"&amp;$E108,Name_Tabla_Cat,FALSE),FALSE),0)</f>
        <v>0</v>
      </c>
      <c r="O108" s="1678"/>
      <c r="P108" s="2268">
        <f>IFERROR(VLOOKUP(P$19,Tabla_Categorías,MATCH("Coste"&amp;$E108,Name_Tabla_Cat,FALSE),FALSE),0)</f>
        <v>0</v>
      </c>
      <c r="Q108" s="1678"/>
      <c r="R108" s="2268">
        <f>IFERROR(VLOOKUP(R$19,Tabla_Categorías,MATCH("Coste"&amp;$E108,Name_Tabla_Cat,FALSE),FALSE),0)</f>
        <v>0</v>
      </c>
      <c r="S108" s="1678"/>
      <c r="T108" s="2268">
        <f>IFERROR(VLOOKUP(T$19,Tabla_Categorías,MATCH("Coste"&amp;$E108,Name_Tabla_Cat,FALSE),FALSE),0)</f>
        <v>0</v>
      </c>
      <c r="U108" s="1678"/>
      <c r="V108" s="61">
        <f>IF(L108=0,0,TRUNC(M108/L108,0))+IF(N108=0,0,TRUNC(O108/N108,0))+IF(P108=0,0,TRUNC(Q108/P108,0))+IF(R108=0,0,TRUNC(S108/R108,0))+IF(T108=0,0,TRUNC(U108/T108,0))</f>
        <v>0</v>
      </c>
      <c r="W108" s="568" t="s">
        <v>1464</v>
      </c>
      <c r="X108" s="3545">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1</v>
      </c>
      <c r="Y108" s="3545"/>
      <c r="Z108" s="2561"/>
      <c r="AA108" s="72">
        <f>V108+Z108+X108</f>
        <v>1</v>
      </c>
      <c r="AB108" s="1989"/>
      <c r="AC108" s="953"/>
      <c r="AD108" s="2755"/>
      <c r="AE108" s="2764"/>
      <c r="AF108" s="2771"/>
      <c r="AG108" s="2764"/>
      <c r="AH108" s="2764"/>
      <c r="AI108" s="2764"/>
      <c r="AJ108" s="2764"/>
      <c r="AK108" s="2764"/>
      <c r="AL108" s="2759"/>
      <c r="AM108" s="2759"/>
      <c r="AN108" s="2759"/>
      <c r="AO108" s="2755"/>
      <c r="AP108" s="2759"/>
      <c r="AQ108" s="1986"/>
      <c r="AR108" s="1986"/>
      <c r="AS108" s="1986"/>
      <c r="AT108" s="1986"/>
      <c r="AU108" s="1986"/>
      <c r="AV108" s="1986"/>
    </row>
    <row r="109" spans="1:48" ht="12" customHeight="1" x14ac:dyDescent="0.2">
      <c r="A109" s="31"/>
      <c r="B109" s="925"/>
      <c r="C109" s="3484"/>
      <c r="D109" s="3503"/>
      <c r="E109" s="3491" t="s">
        <v>1531</v>
      </c>
      <c r="F109" s="3432"/>
      <c r="G109" s="3432"/>
      <c r="H109" s="3432"/>
      <c r="I109" s="3432"/>
      <c r="J109" s="3432"/>
      <c r="K109" s="3492"/>
      <c r="L109" s="2270">
        <f>IFERROR(VLOOKUP(L$19,Tabla_Categorías,MATCH("Coste"&amp;$E109,Name_Tabla_Cat,FALSE),FALSE),0)</f>
        <v>2</v>
      </c>
      <c r="M109" s="1696"/>
      <c r="N109" s="2270">
        <f>IFERROR(VLOOKUP(N$19,Tabla_Categorías,MATCH("Coste"&amp;$E109,Name_Tabla_Cat,FALSE),FALSE),0)</f>
        <v>0</v>
      </c>
      <c r="O109" s="1696"/>
      <c r="P109" s="2270">
        <f>IFERROR(VLOOKUP(P$19,Tabla_Categorías,MATCH("Coste"&amp;$E109,Name_Tabla_Cat,FALSE),FALSE),0)</f>
        <v>0</v>
      </c>
      <c r="Q109" s="1696"/>
      <c r="R109" s="2270">
        <f>IFERROR(VLOOKUP(R$19,Tabla_Categorías,MATCH("Coste"&amp;$E109,Name_Tabla_Cat,FALSE),FALSE),0)</f>
        <v>0</v>
      </c>
      <c r="S109" s="1696"/>
      <c r="T109" s="2270">
        <f>IFERROR(VLOOKUP(T$19,Tabla_Categorías,MATCH("Coste"&amp;$E109,Name_Tabla_Cat,FALSE),FALSE),0)</f>
        <v>0</v>
      </c>
      <c r="U109" s="1696"/>
      <c r="V109" s="63">
        <f>IF(L109=0,0,TRUNC(M109/L109,0))+IF(N109=0,0,TRUNC(O109/N109,0))+IF(P109=0,0,TRUNC(Q109/P109,0))+IF(R109=0,0,TRUNC(S109/R109,0))+IF(T109=0,0,TRUNC(U109/T109,0))</f>
        <v>0</v>
      </c>
      <c r="W109" s="68">
        <f>Bono_Des</f>
        <v>0</v>
      </c>
      <c r="X109" s="3546" t="s">
        <v>1464</v>
      </c>
      <c r="Y109" s="3546"/>
      <c r="Z109" s="2562"/>
      <c r="AA109" s="65">
        <f>V109+W109+Z109+Mod_ATA</f>
        <v>0</v>
      </c>
      <c r="AB109" s="1989"/>
      <c r="AC109" s="953"/>
      <c r="AD109" s="2755"/>
      <c r="AE109" s="2764"/>
      <c r="AF109" s="2771"/>
      <c r="AG109" s="2764"/>
      <c r="AH109" s="2764"/>
      <c r="AI109" s="2764"/>
      <c r="AJ109" s="2764"/>
      <c r="AK109" s="2764"/>
      <c r="AL109" s="2759"/>
      <c r="AM109" s="2759"/>
      <c r="AN109" s="2759"/>
      <c r="AO109" s="2755"/>
      <c r="AP109" s="2759"/>
      <c r="AQ109" s="1986"/>
      <c r="AR109" s="1986"/>
      <c r="AS109" s="1986"/>
      <c r="AT109" s="1986"/>
      <c r="AU109" s="1986"/>
      <c r="AV109" s="1986"/>
    </row>
    <row r="110" spans="1:48" ht="12" customHeight="1" x14ac:dyDescent="0.2">
      <c r="A110" s="31"/>
      <c r="B110" s="925"/>
      <c r="C110" s="3484"/>
      <c r="D110" s="611" t="s">
        <v>1527</v>
      </c>
      <c r="E110" s="3493"/>
      <c r="F110" s="3494"/>
      <c r="G110" s="3494"/>
      <c r="H110" s="3494"/>
      <c r="I110" s="3494"/>
      <c r="J110" s="3494"/>
      <c r="K110" s="3495"/>
      <c r="L110" s="2273">
        <f>IF($E110=0,0,VLOOKUP($E110,Tabla_TablasSobrenat,2))</f>
        <v>0</v>
      </c>
      <c r="M110" s="1686"/>
      <c r="N110" s="2273">
        <f>IF($E110=0,0,VLOOKUP($E110,Tabla_TablasSobrenat,2))</f>
        <v>0</v>
      </c>
      <c r="O110" s="1686"/>
      <c r="P110" s="2273">
        <f>IF($E110=0,0,VLOOKUP($E110,Tabla_TablasSobrenat,2))</f>
        <v>0</v>
      </c>
      <c r="Q110" s="1686"/>
      <c r="R110" s="2273">
        <f>IF($E110=0,0,VLOOKUP($E110,Tabla_TablasSobrenat,2))</f>
        <v>0</v>
      </c>
      <c r="S110" s="1686"/>
      <c r="T110" s="2273">
        <f>IF($E110=0,0,VLOOKUP($E110,Tabla_TablasSobrenat,2))</f>
        <v>0</v>
      </c>
      <c r="U110" s="1686"/>
      <c r="V110" s="3520" t="str">
        <f>IF($E110=0,"",VLOOKUP($E110,Tabla_TablasSobrenat,3))</f>
        <v/>
      </c>
      <c r="W110" s="3521">
        <f>IF($E110=0,0,VLOOKUP($E110,Tabla_TablasSobrenat,2))</f>
        <v>0</v>
      </c>
      <c r="X110" s="3521">
        <f>IF($E110=0,0,VLOOKUP($E110,Tabla_TablasSobrenat,2))</f>
        <v>0</v>
      </c>
      <c r="Y110" s="3521">
        <f>IF($E110=0,0,VLOOKUP($E110,Tabla_TablasSobrenat,2))</f>
        <v>0</v>
      </c>
      <c r="Z110" s="3521">
        <f>IF($E110=0,0,VLOOKUP($E110,Tabla_TablasSobrenat,2))</f>
        <v>0</v>
      </c>
      <c r="AA110" s="3522">
        <f>IF($E110=0,0,VLOOKUP($E110,Tabla_TablasSobrenat,2))</f>
        <v>0</v>
      </c>
      <c r="AB110" s="1989"/>
      <c r="AC110" s="953"/>
      <c r="AD110" s="2755"/>
      <c r="AE110" s="2764"/>
      <c r="AF110" s="2771"/>
      <c r="AG110" s="2764"/>
      <c r="AH110" s="2764"/>
      <c r="AI110" s="2764"/>
      <c r="AJ110" s="2764"/>
      <c r="AK110" s="2764"/>
      <c r="AL110" s="2759"/>
      <c r="AM110" s="2759"/>
      <c r="AN110" s="2759"/>
      <c r="AO110" s="2755"/>
      <c r="AP110" s="2759"/>
      <c r="AQ110" s="1986"/>
      <c r="AR110" s="1986"/>
      <c r="AS110" s="1986"/>
      <c r="AT110" s="1986"/>
      <c r="AU110" s="1986"/>
      <c r="AV110" s="1986"/>
    </row>
    <row r="111" spans="1:48" ht="12" customHeight="1" x14ac:dyDescent="0.2">
      <c r="A111" s="31"/>
      <c r="B111" s="925"/>
      <c r="C111" s="3484"/>
      <c r="D111" s="3485" t="s">
        <v>1532</v>
      </c>
      <c r="E111" s="3496"/>
      <c r="F111" s="3497"/>
      <c r="G111" s="3497"/>
      <c r="H111" s="3497"/>
      <c r="I111" s="3497"/>
      <c r="J111" s="3497"/>
      <c r="K111" s="3498"/>
      <c r="L111" s="2272">
        <f>IF(E111=0,0,VLOOKUP(E111,Tablas!$D$1106:$R$1121,2,FALSE))</f>
        <v>0</v>
      </c>
      <c r="M111" s="1719"/>
      <c r="N111" s="2272">
        <f>IF(G111=0,0,VLOOKUP(G111,Tablas!$D$1106:$R$1121,2,FALSE))</f>
        <v>0</v>
      </c>
      <c r="O111" s="1719"/>
      <c r="P111" s="2272">
        <f>IF(I111=0,0,VLOOKUP(I111,Tablas!$D$1106:$R$1121,2,FALSE))</f>
        <v>0</v>
      </c>
      <c r="Q111" s="1719"/>
      <c r="R111" s="2272">
        <f>IF(K111=0,0,VLOOKUP(K111,Tablas!$D$1106:$R$1121,2,FALSE))</f>
        <v>0</v>
      </c>
      <c r="S111" s="1719"/>
      <c r="T111" s="2272">
        <f>IF(M111=0,0,VLOOKUP(M111,Tablas!$D$1106:$R$1121,2,FALSE))</f>
        <v>0</v>
      </c>
      <c r="U111" s="1719"/>
      <c r="V111" s="3523" t="str">
        <f>IF(E111=0,"",VLOOKUP(E111,Tablas!$D$1106:$R$1121,4,FALSE))</f>
        <v/>
      </c>
      <c r="W111" s="3524"/>
      <c r="X111" s="3524"/>
      <c r="Y111" s="3524"/>
      <c r="Z111" s="3524"/>
      <c r="AA111" s="3525"/>
      <c r="AB111" s="1989"/>
      <c r="AC111" s="953"/>
      <c r="AD111" s="2755"/>
      <c r="AE111" s="2764"/>
      <c r="AF111" s="2771"/>
      <c r="AG111" s="2764"/>
      <c r="AH111" s="2764"/>
      <c r="AI111" s="2764"/>
      <c r="AJ111" s="2764"/>
      <c r="AK111" s="2764"/>
      <c r="AL111" s="2759"/>
      <c r="AM111" s="2759"/>
      <c r="AN111" s="2759"/>
      <c r="AO111" s="2755"/>
      <c r="AP111" s="2759"/>
      <c r="AQ111" s="1986"/>
      <c r="AR111" s="1986"/>
      <c r="AS111" s="1986"/>
      <c r="AT111" s="1986"/>
      <c r="AU111" s="1986"/>
      <c r="AV111" s="1986"/>
    </row>
    <row r="112" spans="1:48" ht="12" customHeight="1" x14ac:dyDescent="0.2">
      <c r="A112" s="31"/>
      <c r="B112" s="925"/>
      <c r="C112" s="3484"/>
      <c r="D112" s="3486"/>
      <c r="E112" s="3499"/>
      <c r="F112" s="3500"/>
      <c r="G112" s="3500"/>
      <c r="H112" s="3500"/>
      <c r="I112" s="3500"/>
      <c r="J112" s="3500"/>
      <c r="K112" s="3501"/>
      <c r="L112" s="2249">
        <f>IF(E112=0,0,VLOOKUP(E112,Tablas!$D$1106:$R$1121,3,FALSE))</f>
        <v>0</v>
      </c>
      <c r="M112" s="1687"/>
      <c r="N112" s="2249">
        <f>IF(G112=0,0,VLOOKUP(G112,Tablas!$D$1106:$R$1121,3,FALSE))</f>
        <v>0</v>
      </c>
      <c r="O112" s="1687"/>
      <c r="P112" s="2249">
        <f>IF(I112=0,0,VLOOKUP(I112,Tablas!$D$1106:$R$1121,3,FALSE))</f>
        <v>0</v>
      </c>
      <c r="Q112" s="1687"/>
      <c r="R112" s="2249">
        <f>IF(K112=0,0,VLOOKUP(K112,Tablas!$D$1106:$R$1121,3,FALSE))</f>
        <v>0</v>
      </c>
      <c r="S112" s="1687"/>
      <c r="T112" s="2249">
        <f>IF(M112=0,0,VLOOKUP(M112,Tablas!$D$1106:$R$1121,3,FALSE))</f>
        <v>0</v>
      </c>
      <c r="U112" s="1687"/>
      <c r="V112" s="3526" t="str">
        <f>IF(E112=0,"",VLOOKUP(E112,Tablas!$D$1106:$R$1121,4,FALSE))</f>
        <v/>
      </c>
      <c r="W112" s="3527"/>
      <c r="X112" s="3527"/>
      <c r="Y112" s="3527"/>
      <c r="Z112" s="3527"/>
      <c r="AA112" s="3528"/>
      <c r="AB112" s="1989"/>
      <c r="AC112" s="953"/>
      <c r="AD112" s="2755"/>
      <c r="AE112" s="2764"/>
      <c r="AF112" s="2771"/>
      <c r="AG112" s="2764"/>
      <c r="AH112" s="2764"/>
      <c r="AI112" s="2764"/>
      <c r="AJ112" s="2764"/>
      <c r="AK112" s="2764"/>
      <c r="AL112" s="2759"/>
      <c r="AM112" s="2759"/>
      <c r="AN112" s="2759"/>
      <c r="AO112" s="2755"/>
      <c r="AP112" s="2759"/>
      <c r="AQ112" s="1986"/>
      <c r="AR112" s="1986"/>
      <c r="AS112" s="1986"/>
      <c r="AT112" s="1986"/>
      <c r="AU112" s="1986"/>
      <c r="AV112" s="1986"/>
    </row>
    <row r="113" spans="1:48" ht="12" customHeight="1" x14ac:dyDescent="0.2">
      <c r="A113" s="31"/>
      <c r="B113" s="925"/>
      <c r="C113" s="3484"/>
      <c r="D113" s="3486"/>
      <c r="E113" s="3504"/>
      <c r="F113" s="3505"/>
      <c r="G113" s="3505"/>
      <c r="H113" s="3505"/>
      <c r="I113" s="3505"/>
      <c r="J113" s="3505"/>
      <c r="K113" s="3506"/>
      <c r="L113" s="2255">
        <f>IF(E113=0,0,VLOOKUP(E113,Tablas!$D$1106:$R$1121,3,FALSE))</f>
        <v>0</v>
      </c>
      <c r="M113" s="1720"/>
      <c r="N113" s="2255">
        <f>IF(G113=0,0,VLOOKUP(G113,Tablas!$D$1106:$R$1121,3,FALSE))</f>
        <v>0</v>
      </c>
      <c r="O113" s="1720"/>
      <c r="P113" s="2255">
        <f>IF(I113=0,0,VLOOKUP(I113,Tablas!$D$1106:$R$1121,3,FALSE))</f>
        <v>0</v>
      </c>
      <c r="Q113" s="1720"/>
      <c r="R113" s="2255">
        <f>IF(K113=0,0,VLOOKUP(K113,Tablas!$D$1106:$R$1121,3,FALSE))</f>
        <v>0</v>
      </c>
      <c r="S113" s="1720"/>
      <c r="T113" s="2255">
        <f>IF(M113=0,0,VLOOKUP(M113,Tablas!$D$1106:$R$1121,3,FALSE))</f>
        <v>0</v>
      </c>
      <c r="U113" s="1720"/>
      <c r="V113" s="3547" t="str">
        <f>IF(E113=0,"",VLOOKUP(E113,Tablas!$D$1106:$R$1121,4,FALSE))</f>
        <v/>
      </c>
      <c r="W113" s="3548"/>
      <c r="X113" s="3548"/>
      <c r="Y113" s="3548"/>
      <c r="Z113" s="3548"/>
      <c r="AA113" s="3549"/>
      <c r="AB113" s="1989"/>
      <c r="AC113" s="953"/>
      <c r="AD113" s="2755"/>
      <c r="AE113" s="2764"/>
      <c r="AF113" s="2771"/>
      <c r="AG113" s="2764"/>
      <c r="AH113" s="2764"/>
      <c r="AI113" s="2764"/>
      <c r="AJ113" s="2764"/>
      <c r="AK113" s="2764"/>
      <c r="AL113" s="2759"/>
      <c r="AM113" s="2759"/>
      <c r="AN113" s="2759"/>
      <c r="AO113" s="2755"/>
      <c r="AP113" s="2759"/>
      <c r="AQ113" s="1986"/>
      <c r="AR113" s="1986"/>
      <c r="AS113" s="1986"/>
      <c r="AT113" s="1986"/>
      <c r="AU113" s="1986"/>
      <c r="AV113" s="1986"/>
    </row>
    <row r="114" spans="1:48" ht="12" customHeight="1" x14ac:dyDescent="0.2">
      <c r="A114" s="31"/>
      <c r="B114" s="925"/>
      <c r="C114" s="3484"/>
      <c r="D114" s="3486"/>
      <c r="E114" s="3499"/>
      <c r="F114" s="3500"/>
      <c r="G114" s="3500"/>
      <c r="H114" s="3500"/>
      <c r="I114" s="3500"/>
      <c r="J114" s="3500"/>
      <c r="K114" s="3501"/>
      <c r="L114" s="2249">
        <f>IF(E114=0,0,VLOOKUP(E114,Tablas!$D$1106:$R$1121,3,FALSE))</f>
        <v>0</v>
      </c>
      <c r="M114" s="1687"/>
      <c r="N114" s="2249">
        <f>IF(G114=0,0,VLOOKUP(G114,Tablas!$D$1106:$R$1121,3,FALSE))</f>
        <v>0</v>
      </c>
      <c r="O114" s="1687"/>
      <c r="P114" s="2249">
        <f>IF(I114=0,0,VLOOKUP(I114,Tablas!$D$1106:$R$1121,3,FALSE))</f>
        <v>0</v>
      </c>
      <c r="Q114" s="1687"/>
      <c r="R114" s="2249">
        <f>IF(K114=0,0,VLOOKUP(K114,Tablas!$D$1106:$R$1121,3,FALSE))</f>
        <v>0</v>
      </c>
      <c r="S114" s="1687"/>
      <c r="T114" s="2249">
        <f>IF(M114=0,0,VLOOKUP(M114,Tablas!$D$1106:$R$1121,3,FALSE))</f>
        <v>0</v>
      </c>
      <c r="U114" s="1687"/>
      <c r="V114" s="3526" t="str">
        <f>IF(E114=0,"",VLOOKUP(E114,Tablas!$D$1106:$R$1121,4,FALSE))</f>
        <v/>
      </c>
      <c r="W114" s="3527"/>
      <c r="X114" s="3527"/>
      <c r="Y114" s="3527"/>
      <c r="Z114" s="3527"/>
      <c r="AA114" s="3528"/>
      <c r="AB114" s="1989"/>
      <c r="AC114" s="953"/>
      <c r="AD114" s="2755"/>
      <c r="AE114" s="2764"/>
      <c r="AF114" s="2771"/>
      <c r="AG114" s="2764"/>
      <c r="AH114" s="2764"/>
      <c r="AI114" s="2764"/>
      <c r="AJ114" s="2764"/>
      <c r="AK114" s="2764"/>
      <c r="AL114" s="2759"/>
      <c r="AM114" s="2759"/>
      <c r="AN114" s="2759"/>
      <c r="AO114" s="2755"/>
      <c r="AP114" s="2759"/>
      <c r="AQ114" s="1986"/>
      <c r="AR114" s="1986"/>
      <c r="AS114" s="1986"/>
      <c r="AT114" s="1986"/>
      <c r="AU114" s="1986"/>
      <c r="AV114" s="1986"/>
    </row>
    <row r="115" spans="1:48" ht="12" customHeight="1" x14ac:dyDescent="0.2">
      <c r="A115" s="31"/>
      <c r="B115" s="925"/>
      <c r="C115" s="3484"/>
      <c r="D115" s="3486"/>
      <c r="E115" s="3504"/>
      <c r="F115" s="3505"/>
      <c r="G115" s="3505"/>
      <c r="H115" s="3505"/>
      <c r="I115" s="3505"/>
      <c r="J115" s="3505"/>
      <c r="K115" s="3506"/>
      <c r="L115" s="2255">
        <f>IF(E115=0,0,VLOOKUP(E115,Tablas!$D$1106:$R$1121,3,FALSE))</f>
        <v>0</v>
      </c>
      <c r="M115" s="1720"/>
      <c r="N115" s="2255">
        <f>IF(G115=0,0,VLOOKUP(G115,Tablas!$D$1106:$R$1121,3,FALSE))</f>
        <v>0</v>
      </c>
      <c r="O115" s="1720"/>
      <c r="P115" s="2255">
        <f>IF(I115=0,0,VLOOKUP(I115,Tablas!$D$1106:$R$1121,3,FALSE))</f>
        <v>0</v>
      </c>
      <c r="Q115" s="1720"/>
      <c r="R115" s="2255">
        <f>IF(K115=0,0,VLOOKUP(K115,Tablas!$D$1106:$R$1121,3,FALSE))</f>
        <v>0</v>
      </c>
      <c r="S115" s="1720"/>
      <c r="T115" s="2255">
        <f>IF(M115=0,0,VLOOKUP(M115,Tablas!$D$1106:$R$1121,3,FALSE))</f>
        <v>0</v>
      </c>
      <c r="U115" s="1720"/>
      <c r="V115" s="3547" t="str">
        <f>IF(E115=0,"",VLOOKUP(E115,Tablas!$D$1106:$R$1121,4,FALSE))</f>
        <v/>
      </c>
      <c r="W115" s="3548"/>
      <c r="X115" s="3548"/>
      <c r="Y115" s="3548"/>
      <c r="Z115" s="3548"/>
      <c r="AA115" s="3549"/>
      <c r="AB115" s="1989"/>
      <c r="AC115" s="953"/>
      <c r="AD115" s="2755"/>
      <c r="AE115" s="2764"/>
      <c r="AF115" s="2771"/>
      <c r="AG115" s="2764"/>
      <c r="AH115" s="2761"/>
      <c r="AI115" s="2764"/>
      <c r="AJ115" s="2764"/>
      <c r="AK115" s="2764"/>
      <c r="AL115" s="2759"/>
      <c r="AM115" s="2759"/>
      <c r="AN115" s="2759"/>
      <c r="AO115" s="2755"/>
      <c r="AP115" s="2759"/>
      <c r="AQ115" s="1986"/>
      <c r="AR115" s="1986"/>
      <c r="AS115" s="1986"/>
      <c r="AT115" s="1986"/>
      <c r="AU115" s="1986"/>
      <c r="AV115" s="1986"/>
    </row>
    <row r="116" spans="1:48" ht="12" customHeight="1" thickBot="1" x14ac:dyDescent="0.25">
      <c r="A116" s="31"/>
      <c r="B116" s="925"/>
      <c r="C116" s="3484"/>
      <c r="D116" s="3486"/>
      <c r="E116" s="3499"/>
      <c r="F116" s="3500"/>
      <c r="G116" s="3500"/>
      <c r="H116" s="3500"/>
      <c r="I116" s="3500"/>
      <c r="J116" s="3500"/>
      <c r="K116" s="3501"/>
      <c r="L116" s="2249">
        <f>IF(E116=0,0,VLOOKUP(E116,Tablas!$D$1106:$R$1121,3,FALSE))</f>
        <v>0</v>
      </c>
      <c r="M116" s="1687"/>
      <c r="N116" s="2249">
        <f>IF(G116=0,0,VLOOKUP(G116,Tablas!$D$1106:$R$1121,3,FALSE))</f>
        <v>0</v>
      </c>
      <c r="O116" s="1687"/>
      <c r="P116" s="2249">
        <f>IF(I116=0,0,VLOOKUP(I116,Tablas!$D$1106:$R$1121,3,FALSE))</f>
        <v>0</v>
      </c>
      <c r="Q116" s="1687"/>
      <c r="R116" s="2249">
        <f>IF(K116=0,0,VLOOKUP(K116,Tablas!$D$1106:$R$1121,3,FALSE))</f>
        <v>0</v>
      </c>
      <c r="S116" s="1687"/>
      <c r="T116" s="2249">
        <f>IF(M116=0,0,VLOOKUP(M116,Tablas!$D$1106:$R$1121,3,FALSE))</f>
        <v>0</v>
      </c>
      <c r="U116" s="1687"/>
      <c r="V116" s="3526" t="str">
        <f>IF(E116=0,"",VLOOKUP(E116,Tablas!$D$1106:$R$1121,4,FALSE))</f>
        <v/>
      </c>
      <c r="W116" s="3527"/>
      <c r="X116" s="3527"/>
      <c r="Y116" s="3527"/>
      <c r="Z116" s="3527"/>
      <c r="AA116" s="3528"/>
      <c r="AB116" s="1989"/>
      <c r="AC116" s="953"/>
      <c r="AD116" s="2755"/>
      <c r="AE116" s="2764"/>
      <c r="AF116" s="2771"/>
      <c r="AG116" s="2764"/>
      <c r="AH116" s="2764"/>
      <c r="AI116" s="2764"/>
      <c r="AJ116" s="2764"/>
      <c r="AK116" s="2764"/>
      <c r="AL116" s="2759"/>
      <c r="AM116" s="2759"/>
      <c r="AN116" s="2759"/>
      <c r="AO116" s="2755"/>
      <c r="AP116" s="2759"/>
      <c r="AQ116" s="1986"/>
      <c r="AR116" s="1986"/>
      <c r="AS116" s="1986"/>
      <c r="AT116" s="1986"/>
      <c r="AU116" s="1986"/>
      <c r="AV116" s="1986"/>
    </row>
    <row r="117" spans="1:48" ht="12" customHeight="1" x14ac:dyDescent="0.2">
      <c r="A117" s="31"/>
      <c r="B117" s="925"/>
      <c r="C117" s="3479"/>
      <c r="D117" s="3460" t="s">
        <v>1533</v>
      </c>
      <c r="E117" s="3461"/>
      <c r="F117" s="3461"/>
      <c r="G117" s="3461"/>
      <c r="H117" s="3461"/>
      <c r="I117" s="3461"/>
      <c r="J117" s="3461"/>
      <c r="K117" s="3462"/>
      <c r="L117" s="3458">
        <f>T$5*IF(Categoría_1=0,0.5,VLOOKUP(Categoría_1,Tabla_Categorías,8,FALSE))</f>
        <v>360.00000000000006</v>
      </c>
      <c r="M117" s="3471">
        <f>SUM(M108:M116)</f>
        <v>0</v>
      </c>
      <c r="N117" s="3458">
        <f>SUM(T$5:T$7)*IF(Categoría_2=0,0,VLOOKUP(Categoría_2,Tabla_Categorías,8,FALSE))</f>
        <v>0</v>
      </c>
      <c r="O117" s="3471">
        <f>(SUM(O108:O116)+M117)*IF(Categoría_2=0,0,1)</f>
        <v>0</v>
      </c>
      <c r="P117" s="3458">
        <f>SUM(T$5:T$9)*IF(Categoría_3=0,0,VLOOKUP(Categoría_3,Tabla_Categorías,8,FALSE))</f>
        <v>0</v>
      </c>
      <c r="Q117" s="3462">
        <f>(SUM(Q108:Q116)+O117)*IF(Categoría_3=0,0,1)</f>
        <v>0</v>
      </c>
      <c r="R117" s="3458">
        <f>SUM(T$5:T$11)*IF(Categoría_4=0,0,VLOOKUP(Categoría_4,Tabla_Categorías,8,FALSE))</f>
        <v>0</v>
      </c>
      <c r="S117" s="3471">
        <f>(SUM(S108:S116)+Q117)*IF(Categoría_4=0,0,1)</f>
        <v>0</v>
      </c>
      <c r="T117" s="3458">
        <f>SUM(T$5:T$13)*IF(Categoría_5=0,0,VLOOKUP(Categoría_5,Tabla_Categorías,8,FALSE))</f>
        <v>0</v>
      </c>
      <c r="U117" s="3471">
        <f>(SUM(U108:U116)+S117)*IF(Categoría_5=0,0,1)</f>
        <v>0</v>
      </c>
      <c r="V117" s="3539" t="str">
        <f>IF(OR(M109&gt;L117/2,O109&gt;N117/2,Q109&gt;P117/2,S109&gt;R117/2,U109&gt;T117/2),"Exceso en Proyección Psíquica",IF(OR(M117&gt;L117,O117&gt;N117,Q117&gt;P117,S117&gt;R117,U117&gt;T117),"Exceso de PDs en Habilidades Psíquicas",""))</f>
        <v/>
      </c>
      <c r="W117" s="3540"/>
      <c r="X117" s="3540"/>
      <c r="Y117" s="3540"/>
      <c r="Z117" s="3540"/>
      <c r="AA117" s="3541"/>
      <c r="AB117" s="1989"/>
      <c r="AC117" s="953"/>
      <c r="AD117" s="2755"/>
      <c r="AE117" s="2764"/>
      <c r="AF117" s="2771"/>
      <c r="AG117" s="2764"/>
      <c r="AH117" s="2764"/>
      <c r="AI117" s="2764"/>
      <c r="AJ117" s="2764"/>
      <c r="AK117" s="2764"/>
      <c r="AL117" s="2759"/>
      <c r="AM117" s="2759"/>
      <c r="AN117" s="2759"/>
      <c r="AO117" s="2755"/>
      <c r="AP117" s="2759"/>
      <c r="AQ117" s="1986"/>
      <c r="AR117" s="1986"/>
      <c r="AS117" s="1986"/>
      <c r="AT117" s="1986"/>
      <c r="AU117" s="1986"/>
      <c r="AV117" s="1986"/>
    </row>
    <row r="118" spans="1:48" ht="12" customHeight="1" thickBot="1" x14ac:dyDescent="0.25">
      <c r="A118" s="31"/>
      <c r="B118" s="925"/>
      <c r="C118" s="3480"/>
      <c r="D118" s="3463"/>
      <c r="E118" s="3211"/>
      <c r="F118" s="3211"/>
      <c r="G118" s="3211"/>
      <c r="H118" s="3211"/>
      <c r="I118" s="3211"/>
      <c r="J118" s="3211"/>
      <c r="K118" s="3212"/>
      <c r="L118" s="3459"/>
      <c r="M118" s="3472"/>
      <c r="N118" s="3459"/>
      <c r="O118" s="3472"/>
      <c r="P118" s="3459"/>
      <c r="Q118" s="3212"/>
      <c r="R118" s="3459"/>
      <c r="S118" s="3472"/>
      <c r="T118" s="3459"/>
      <c r="U118" s="3472"/>
      <c r="V118" s="3542"/>
      <c r="W118" s="3543"/>
      <c r="X118" s="3543"/>
      <c r="Y118" s="3543"/>
      <c r="Z118" s="3543"/>
      <c r="AA118" s="3544"/>
      <c r="AB118" s="1989"/>
      <c r="AC118" s="953"/>
      <c r="AD118" s="2755"/>
      <c r="AE118" s="2755"/>
      <c r="AF118" s="2771"/>
      <c r="AG118" s="2764"/>
      <c r="AH118" s="2764"/>
      <c r="AI118" s="2764"/>
      <c r="AJ118" s="2764"/>
      <c r="AK118" s="2764"/>
      <c r="AL118" s="2759"/>
      <c r="AM118" s="2759"/>
      <c r="AN118" s="2759"/>
      <c r="AO118" s="2755"/>
      <c r="AP118" s="2759"/>
      <c r="AQ118" s="1986"/>
      <c r="AR118" s="1986"/>
      <c r="AS118" s="1986"/>
      <c r="AT118" s="1986"/>
      <c r="AU118" s="1986"/>
      <c r="AV118" s="1986"/>
    </row>
    <row r="119" spans="1:48" ht="12" customHeight="1" x14ac:dyDescent="0.2">
      <c r="A119" s="31"/>
      <c r="B119" s="925"/>
      <c r="AB119" s="1989"/>
      <c r="AC119" s="953"/>
      <c r="AD119" s="2755"/>
      <c r="AE119" s="2764"/>
      <c r="AF119" s="2771"/>
      <c r="AG119" s="2764"/>
      <c r="AH119" s="2764"/>
      <c r="AI119" s="2764"/>
      <c r="AJ119" s="2764"/>
      <c r="AK119" s="2764"/>
      <c r="AL119" s="2759"/>
      <c r="AM119" s="2759"/>
      <c r="AN119" s="2759"/>
      <c r="AO119" s="2759"/>
      <c r="AP119" s="2759"/>
      <c r="AQ119" s="1986"/>
      <c r="AR119" s="1986"/>
      <c r="AS119" s="1986"/>
      <c r="AT119" s="1986"/>
      <c r="AU119" s="1986"/>
      <c r="AV119" s="1986"/>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4"/>
      <c r="AC120" s="953"/>
      <c r="AD120" s="2755"/>
      <c r="AE120" s="2764"/>
      <c r="AF120" s="2771"/>
      <c r="AG120" s="2764"/>
      <c r="AH120" s="2764"/>
      <c r="AI120" s="2764"/>
      <c r="AJ120" s="2764"/>
      <c r="AK120" s="2764"/>
      <c r="AL120" s="2759"/>
      <c r="AM120" s="2759"/>
      <c r="AN120" s="2759"/>
      <c r="AO120" s="2759"/>
      <c r="AP120" s="2759"/>
      <c r="AQ120" s="1986"/>
      <c r="AR120" s="1986"/>
      <c r="AS120" s="1986"/>
      <c r="AT120" s="1986"/>
      <c r="AU120" s="1986"/>
      <c r="AV120" s="1986"/>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7"/>
      <c r="AC121" s="953"/>
      <c r="AD121" s="2755"/>
      <c r="AE121" s="2764"/>
      <c r="AF121" s="2771"/>
      <c r="AG121" s="2764"/>
      <c r="AH121" s="2764"/>
      <c r="AI121" s="2764"/>
      <c r="AJ121" s="2764"/>
      <c r="AK121" s="2764"/>
      <c r="AL121" s="2759"/>
      <c r="AM121" s="2759"/>
      <c r="AN121" s="2759"/>
      <c r="AO121" s="2759"/>
      <c r="AP121" s="2759"/>
      <c r="AQ121" s="1986"/>
      <c r="AR121" s="1986"/>
      <c r="AS121" s="1986"/>
      <c r="AT121" s="1986"/>
      <c r="AU121" s="1986"/>
      <c r="AV121" s="1986"/>
    </row>
    <row r="122" spans="1:48" ht="12" customHeight="1" thickBot="1" x14ac:dyDescent="0.25">
      <c r="A122" s="31"/>
      <c r="B122" s="925"/>
      <c r="AB122" s="1989"/>
      <c r="AC122" s="953"/>
      <c r="AD122" s="2755"/>
      <c r="AE122" s="2764"/>
      <c r="AF122" s="2771"/>
      <c r="AG122" s="2764"/>
      <c r="AH122" s="2764"/>
      <c r="AI122" s="2764"/>
      <c r="AJ122" s="2764"/>
      <c r="AK122" s="2764"/>
      <c r="AL122" s="2759"/>
      <c r="AM122" s="2759"/>
      <c r="AN122" s="2759"/>
      <c r="AO122" s="2759"/>
      <c r="AP122" s="2759"/>
      <c r="AQ122" s="1986"/>
      <c r="AR122" s="1986"/>
      <c r="AS122" s="1986"/>
      <c r="AT122" s="1986"/>
      <c r="AU122" s="1986"/>
      <c r="AV122" s="1986"/>
    </row>
    <row r="123" spans="1:48" ht="12" customHeight="1" thickBot="1" x14ac:dyDescent="0.25">
      <c r="A123" s="10"/>
      <c r="B123" s="925"/>
      <c r="J123" s="3690" t="str">
        <f>IF(Categoría_1=0,"",Categoría_1)</f>
        <v>Novel</v>
      </c>
      <c r="K123" s="3537"/>
      <c r="L123" s="3533" t="str">
        <f>IF(Categoría_2=0,"",Categoría_2)</f>
        <v/>
      </c>
      <c r="M123" s="3537"/>
      <c r="N123" s="3533" t="str">
        <f>IF(Categoría_3=0,"",Categoría_3)</f>
        <v/>
      </c>
      <c r="O123" s="3537"/>
      <c r="P123" s="3533" t="str">
        <f>IF(Categoría_4=0,"",Categoría_4)</f>
        <v/>
      </c>
      <c r="Q123" s="3537"/>
      <c r="R123" s="3533" t="str">
        <f>IF(Categoría_5=0,"",Categoría_5)</f>
        <v/>
      </c>
      <c r="S123" s="3534"/>
      <c r="AB123" s="1989"/>
      <c r="AC123" s="953"/>
      <c r="AD123" s="2755"/>
      <c r="AE123" s="2755" t="s">
        <v>7216</v>
      </c>
      <c r="AF123" s="2759" t="b">
        <f>IF(Tablas!G480&gt;0,TRUE,IF(Personalización!E20&lt;&gt;"No",TRUE,FALSE))</f>
        <v>0</v>
      </c>
      <c r="AG123" s="2764"/>
      <c r="AH123" s="2764"/>
      <c r="AI123" s="2764"/>
      <c r="AJ123" s="2764"/>
      <c r="AK123" s="2764"/>
      <c r="AL123" s="2759"/>
      <c r="AM123" s="2759"/>
      <c r="AN123" s="2759"/>
      <c r="AO123" s="2759"/>
      <c r="AP123" s="2759"/>
      <c r="AQ123" s="1986"/>
      <c r="AR123" s="1986"/>
      <c r="AS123" s="1986"/>
      <c r="AT123" s="1986"/>
      <c r="AU123" s="1986"/>
      <c r="AV123" s="1986"/>
    </row>
    <row r="124" spans="1:48" ht="12" customHeight="1" thickBot="1" x14ac:dyDescent="0.25">
      <c r="A124" s="31"/>
      <c r="B124" s="925"/>
      <c r="J124" s="3691"/>
      <c r="K124" s="3538"/>
      <c r="L124" s="3535"/>
      <c r="M124" s="3538"/>
      <c r="N124" s="3535"/>
      <c r="O124" s="3538"/>
      <c r="P124" s="3535"/>
      <c r="Q124" s="3538"/>
      <c r="R124" s="3535"/>
      <c r="S124" s="3536"/>
      <c r="W124" s="3529" t="s">
        <v>1545</v>
      </c>
      <c r="X124" s="3530"/>
      <c r="AB124" s="1989"/>
      <c r="AC124" s="953"/>
      <c r="AD124" s="2755"/>
      <c r="AE124" s="3692" t="s">
        <v>2547</v>
      </c>
      <c r="AF124" s="3692"/>
      <c r="AG124" s="3692"/>
      <c r="AH124" s="3692"/>
      <c r="AI124" s="3692"/>
      <c r="AJ124" s="3692"/>
      <c r="AK124" s="2764"/>
      <c r="AL124" s="3692" t="s">
        <v>7551</v>
      </c>
      <c r="AM124" s="3692"/>
      <c r="AN124" s="3692"/>
      <c r="AO124" s="3692"/>
      <c r="AP124" s="3692"/>
      <c r="AQ124" s="3692"/>
      <c r="AR124" s="3692"/>
      <c r="AS124" s="3692"/>
      <c r="AT124" s="3692"/>
      <c r="AU124" s="1986"/>
      <c r="AV124" s="1986"/>
    </row>
    <row r="125" spans="1:48" ht="12" customHeight="1" thickBot="1" x14ac:dyDescent="0.25">
      <c r="A125" s="31"/>
      <c r="B125" s="925"/>
      <c r="C125" s="3478" t="s">
        <v>1403</v>
      </c>
      <c r="D125" s="619" t="s">
        <v>1407</v>
      </c>
      <c r="E125" s="3531" t="s">
        <v>1383</v>
      </c>
      <c r="F125" s="3487"/>
      <c r="G125" s="3487"/>
      <c r="H125" s="3532"/>
      <c r="I125" s="892" t="s">
        <v>6436</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9"/>
      <c r="AC125" s="953"/>
      <c r="AD125" s="2755" t="s">
        <v>7215</v>
      </c>
      <c r="AE125" s="2755" t="s">
        <v>7217</v>
      </c>
      <c r="AF125" s="2755" t="s">
        <v>6734</v>
      </c>
      <c r="AG125" s="2755" t="s">
        <v>6735</v>
      </c>
      <c r="AH125" s="2764" t="s">
        <v>1485</v>
      </c>
      <c r="AI125" s="2755" t="s">
        <v>6554</v>
      </c>
      <c r="AJ125" s="2755" t="s">
        <v>6539</v>
      </c>
      <c r="AK125" s="2764"/>
      <c r="AL125" s="2759" t="s">
        <v>7476</v>
      </c>
      <c r="AM125" s="2759"/>
      <c r="AN125" s="2759" t="s">
        <v>7474</v>
      </c>
      <c r="AO125" s="2759"/>
      <c r="AP125" s="2759" t="s">
        <v>7475</v>
      </c>
      <c r="AQ125" s="1986"/>
      <c r="AR125" s="2759" t="s">
        <v>7478</v>
      </c>
      <c r="AS125" s="1986"/>
      <c r="AT125" s="2759" t="s">
        <v>7477</v>
      </c>
      <c r="AU125" s="1986"/>
      <c r="AV125" s="1986"/>
    </row>
    <row r="126" spans="1:48" ht="12" customHeight="1" x14ac:dyDescent="0.2">
      <c r="A126" s="31"/>
      <c r="B126" s="925" t="str">
        <f>D126</f>
        <v>Atléticas</v>
      </c>
      <c r="C126" s="3479"/>
      <c r="D126" s="3507" t="s">
        <v>1412</v>
      </c>
      <c r="E126" s="3481" t="s">
        <v>1413</v>
      </c>
      <c r="F126" s="3482"/>
      <c r="G126" s="3482"/>
      <c r="H126" s="896" t="s">
        <v>1381</v>
      </c>
      <c r="I126" s="1688"/>
      <c r="J126" s="2274">
        <f>IF(ISNA(AL126),0,MAX(MIN(AL126-VLOOKUP("Apto en campo: "&amp;$B126,Tabla_Ventajas,3,FALSE)-Tablas!$O273-2*Tablas!$Q273-3*Tablas!$S273,3),1))</f>
        <v>2</v>
      </c>
      <c r="K126" s="2057"/>
      <c r="L126" s="2274">
        <f>IF(ISNA(AN126),0,MAX(MIN(AN126-VLOOKUP("Apto en campo: "&amp;$B126,Tabla_Ventajas,3,FALSE)-Tablas!$O273-2*Tablas!$Q273-3*Tablas!$S273,3),1))</f>
        <v>0</v>
      </c>
      <c r="M126" s="2057"/>
      <c r="N126" s="2274">
        <f>IF(ISNA(AP126),0,MAX(MIN(AP126-VLOOKUP("Apto en campo: "&amp;$B126,Tabla_Ventajas,3,FALSE)-Tablas!$O273-2*Tablas!$Q273-3*Tablas!$S273,3),1))</f>
        <v>0</v>
      </c>
      <c r="O126" s="2057"/>
      <c r="P126" s="2274">
        <f>IF(ISNA(AR126),0,MAX(MIN(AR126-VLOOKUP("Apto en campo: "&amp;$B126,Tabla_Ventajas,3,FALSE)-Tablas!$O273-2*Tablas!$Q273-3*Tablas!$S273,3),1))</f>
        <v>0</v>
      </c>
      <c r="Q126" s="2057"/>
      <c r="R126" s="2274">
        <f>IF(ISNA(AT126),0,MAX(MIN(AT126-VLOOKUP("Apto en campo: "&amp;$B126,Tabla_Ventajas,3,FALSE)-Tablas!$O273-2*Tablas!$Q273-3*Tablas!$S273,3),1))</f>
        <v>0</v>
      </c>
      <c r="S126" s="2057"/>
      <c r="T126" s="556">
        <f>IF(J126=0,0,TRUNC(K126/J126,0))+IF(L126=0,0,TRUNC(M126/L126,0))+IF(N126=0,0,TRUNC(O126/N126,0))+IF(P126=0,0,TRUNC(Q126/P126,0))+IF(R126=0,0,TRUNC(S126/R126,0))+IF(Personalización!$E$20="Como Base (no oficial)",AF126,0)</f>
        <v>0</v>
      </c>
      <c r="U126" s="556">
        <f t="shared" ref="U126:U157" si="23">MIN(VLOOKUP($H126,Tabla_Características,5,0)*(1+W126)+10*Con.TodasMaterias+10*X126,100)</f>
        <v>15</v>
      </c>
      <c r="V126" s="556">
        <f>IF(ISNA(HLOOKUP($E126,Bonos_Cat_Base,2,FALSE)),0,HLOOKUP($E126,Bonos_Cat_Base,2,FALSE))+Tablas!$Z273*Nivel_Total+10*Y126</f>
        <v>0</v>
      </c>
      <c r="W126" s="2056"/>
      <c r="X126" s="2057"/>
      <c r="Y126" s="2056"/>
      <c r="Z126" s="2554"/>
      <c r="AA126" s="1473">
        <f>IF(AND(T126&lt;5,Tablas!G$303=0),-30,0)+T126+U126+V126+Z126+IF(I126="",0,40)+Mod_ATA+Mod_Fisico+AD126+IF(Personalización!$E$20="Como Base (no oficial)",0,AF126)</f>
        <v>-15</v>
      </c>
      <c r="AB126" s="1990">
        <f t="shared" ref="AB126:AB157" si="24">IF(AA126="-",0,IF(AA126&gt;VLOOKUP(Nivel_Total,Tabla_LímiteSecundarias,2),1,0))</f>
        <v>0</v>
      </c>
      <c r="AC126" s="953"/>
      <c r="AD126" s="2774">
        <f>'Tablas psiquica'!AH53+'Tablas psiquica'!AH55</f>
        <v>0</v>
      </c>
      <c r="AE126" s="276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71">
        <f>IF(AF$123,IF(OR(Region="",ClaseSocial="",Personalización!$AN$9),0,IF(OR(AND(AI126,AJ126),AND(NOT(AI126),NOT(AJ126))),LEFT(AG126,2)+LEFT(AH126,2),IF(AND(AI126,NOT(AJ126)),LEFT(AH126,2),0))),0)</f>
        <v>0</v>
      </c>
      <c r="AG126" s="2755" t="e">
        <f>HLOOKUP(Region&amp;ClaseSocial,Tabla_RaicesCulturales,Tablas!F142,FALSE)</f>
        <v>#N/A</v>
      </c>
      <c r="AH126" s="2764">
        <f>IF(AND(E126="Historia",Personalización!$E$24="Historia (Local)"),20&amp;" "&amp;Personalización!$E$24,IF(E126=Personalización!$E$23,VLOOKUP(E126,Tablas!$L$136:$M$137,2,FALSE),IF(E126=Personalización!$E$24,VLOOKUP(E126,Tablas!$N$136:$O$137,2,FALSE),0)))</f>
        <v>0</v>
      </c>
      <c r="AI126" s="2764" t="b">
        <f t="shared" ref="AI126:AI143" si="25">OR(ISNUMBER(FIND("(",AG126)),ISNUMBER(FIND("(",AH126)))</f>
        <v>0</v>
      </c>
      <c r="AJ126" s="2764" t="b">
        <f t="shared" ref="AJ126:AJ143" si="26">AND(NOT(I126=""),OR(ISNUMBER(SEARCH(I126,AG126)),ISNUMBER(SEARCH(I126,AH126))))</f>
        <v>0</v>
      </c>
      <c r="AK126" s="2764"/>
      <c r="AL126" s="2759">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59"/>
      <c r="AN126" s="2759" t="e">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9"/>
      <c r="AP126" s="2759"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86"/>
      <c r="AR126" s="2759"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86"/>
      <c r="AT126" s="2759"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86"/>
      <c r="AV126" s="1986"/>
    </row>
    <row r="127" spans="1:48" ht="12" customHeight="1" x14ac:dyDescent="0.2">
      <c r="A127" s="31"/>
      <c r="B127" s="925" t="str">
        <f>B126</f>
        <v>Atléticas</v>
      </c>
      <c r="C127" s="3479"/>
      <c r="D127" s="3183"/>
      <c r="E127" s="3431" t="s">
        <v>1414</v>
      </c>
      <c r="F127" s="3432"/>
      <c r="G127" s="3432"/>
      <c r="H127" s="897" t="s">
        <v>1381</v>
      </c>
      <c r="I127" s="1721"/>
      <c r="J127" s="2277">
        <f>IF(ISNA(AL127),0,MAX(MIN(AL127-VLOOKUP("Apto en campo: "&amp;$B127,Tabla_Ventajas,3,FALSE)-Tablas!$O274-2*Tablas!$Q274-3*Tablas!$S274,3),1))</f>
        <v>2</v>
      </c>
      <c r="K127" s="2059"/>
      <c r="L127" s="2277">
        <f>IF(ISNA(AN127),0,MAX(MIN(AN127-VLOOKUP("Apto en campo: "&amp;$B127,Tabla_Ventajas,3,FALSE)-Tablas!$O274-2*Tablas!$Q274-3*Tablas!$S274,3),1))</f>
        <v>0</v>
      </c>
      <c r="M127" s="2059"/>
      <c r="N127" s="2277">
        <f>IF(ISNA(AP127),0,MAX(MIN(AP127-VLOOKUP("Apto en campo: "&amp;$B127,Tabla_Ventajas,3,FALSE)-Tablas!$O274-2*Tablas!$Q274-3*Tablas!$S274,3),1))</f>
        <v>0</v>
      </c>
      <c r="O127" s="2059"/>
      <c r="P127" s="2277">
        <f>IF(ISNA(AR127),0,MAX(MIN(AR127-VLOOKUP("Apto en campo: "&amp;$B127,Tabla_Ventajas,3,FALSE)-Tablas!$O274-2*Tablas!$Q274-3*Tablas!$S274,3),1))</f>
        <v>0</v>
      </c>
      <c r="Q127" s="2059"/>
      <c r="R127" s="2277">
        <f>IF(ISNA(AT127),0,MAX(MIN(AT127-VLOOKUP("Apto en campo: "&amp;$B127,Tabla_Ventajas,3,FALSE)-Tablas!$O274-2*Tablas!$Q274-3*Tablas!$S274,3),1))</f>
        <v>0</v>
      </c>
      <c r="S127" s="2059"/>
      <c r="T127" s="549">
        <f>IF(J127=0,0,TRUNC(K127/J127,0))+IF(L127=0,0,TRUNC(M127/L127,0))+IF(N127=0,0,TRUNC(O127/N127,0))+IF(P127=0,0,TRUNC(Q127/P127,0))+IF(R127=0,0,TRUNC(S127/R127,0))+IF(Personalización!$E$20="Como Base (no oficial)",AF127,0)</f>
        <v>0</v>
      </c>
      <c r="U127" s="549">
        <f t="shared" si="23"/>
        <v>15</v>
      </c>
      <c r="V127" s="549">
        <f>IF(ISNA(HLOOKUP($E127,Bonos_Cat_Base,2,FALSE)),0,HLOOKUP($E127,Bonos_Cat_Base,2,FALSE))+Tablas!$Z274*Nivel_Total+10*Y127</f>
        <v>0</v>
      </c>
      <c r="W127" s="2058"/>
      <c r="X127" s="2059"/>
      <c r="Y127" s="2058"/>
      <c r="Z127" s="2555"/>
      <c r="AA127" s="1474">
        <f>IF(AND(T127&lt;5,Tablas!G$303=0),-30,0)+T127+U127+V127+Z127+IF(I127="",0,40)+Mod_ATA+Mod_Fisico+AD127+IF(Personalización!$E$20="Como Base (no oficial)",0,AF127)</f>
        <v>-15</v>
      </c>
      <c r="AB127" s="1990">
        <f t="shared" si="24"/>
        <v>0</v>
      </c>
      <c r="AC127" s="953"/>
      <c r="AD127" s="2775">
        <f>'Tablas psiquica'!$AH$55</f>
        <v>0</v>
      </c>
      <c r="AE127" s="276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71">
        <f>IF(AF$123,IF(OR(Region="",ClaseSocial="",Personalización!$AN$9),0,IF(OR(AND(AI127,AJ127),AND(NOT(AI127),NOT(AJ127))),LEFT(AG127,2)+LEFT(AH127,2),IF(AND(AI127,NOT(AJ127)),LEFT(AH127,2),0))),0)</f>
        <v>0</v>
      </c>
      <c r="AG127" s="2755" t="e">
        <f>HLOOKUP(Region&amp;ClaseSocial,Tabla_RaicesCulturales,Tablas!F143,FALSE)</f>
        <v>#N/A</v>
      </c>
      <c r="AH127" s="2764">
        <f>IF(AND(E127="Historia",Personalización!$E$24="Historia (Local)"),20&amp;" "&amp;Personalización!$E$24,IF(E127=Personalización!$E$23,VLOOKUP(E127,Tablas!$L$136:$M$137,2,FALSE),IF(E127=Personalización!$E$24,VLOOKUP(E127,Tablas!$N$136:$O$137,2,FALSE),0)))</f>
        <v>0</v>
      </c>
      <c r="AI127" s="2764" t="b">
        <f t="shared" si="25"/>
        <v>0</v>
      </c>
      <c r="AJ127" s="2764" t="b">
        <f t="shared" si="26"/>
        <v>0</v>
      </c>
      <c r="AK127" s="2764"/>
      <c r="AL127" s="2759">
        <f t="shared" si="27"/>
        <v>2</v>
      </c>
      <c r="AM127" s="2759"/>
      <c r="AN127" s="2759" t="e">
        <f t="shared" si="28"/>
        <v>#N/A</v>
      </c>
      <c r="AO127" s="2759"/>
      <c r="AP127" s="2759" t="e">
        <f t="shared" si="29"/>
        <v>#N/A</v>
      </c>
      <c r="AQ127" s="1986"/>
      <c r="AR127" s="2759" t="e">
        <f t="shared" si="30"/>
        <v>#N/A</v>
      </c>
      <c r="AS127" s="1986"/>
      <c r="AT127" s="2759" t="e">
        <f t="shared" si="31"/>
        <v>#N/A</v>
      </c>
      <c r="AU127" s="1986"/>
      <c r="AV127" s="1986"/>
    </row>
    <row r="128" spans="1:48" ht="12" customHeight="1" x14ac:dyDescent="0.2">
      <c r="A128" s="31"/>
      <c r="B128" s="925" t="str">
        <f t="shared" ref="B128:B132" si="32">B127</f>
        <v>Atléticas</v>
      </c>
      <c r="C128" s="3479"/>
      <c r="D128" s="3183"/>
      <c r="E128" s="3429" t="s">
        <v>1417</v>
      </c>
      <c r="F128" s="3430"/>
      <c r="G128" s="3430"/>
      <c r="H128" s="898" t="s">
        <v>1381</v>
      </c>
      <c r="I128" s="1689"/>
      <c r="J128" s="616">
        <f>IF(ISNA(AL128),0,MAX(MIN(AL128-VLOOKUP("Apto en campo: "&amp;$B128,Tabla_Ventajas,3,FALSE)-Tablas!$O275-2*Tablas!$Q275-3*Tablas!$S275,3),1))</f>
        <v>2</v>
      </c>
      <c r="K128" s="2061"/>
      <c r="L128" s="616">
        <f>IF(ISNA(AN128),0,MAX(MIN(AN128-VLOOKUP("Apto en campo: "&amp;$B128,Tabla_Ventajas,3,FALSE)-Tablas!$O275-2*Tablas!$Q275-3*Tablas!$S275,3),1))</f>
        <v>0</v>
      </c>
      <c r="M128" s="2061"/>
      <c r="N128" s="616">
        <f>IF(ISNA(AP128),0,MAX(MIN(AP128-VLOOKUP("Apto en campo: "&amp;$B128,Tabla_Ventajas,3,FALSE)-Tablas!$O275-2*Tablas!$Q275-3*Tablas!$S275,3),1))</f>
        <v>0</v>
      </c>
      <c r="O128" s="2061"/>
      <c r="P128" s="616">
        <f>IF(ISNA(AR128),0,MAX(MIN(AR128-VLOOKUP("Apto en campo: "&amp;$B128,Tabla_Ventajas,3,FALSE)-Tablas!$O275-2*Tablas!$Q275-3*Tablas!$S275,3),1))</f>
        <v>0</v>
      </c>
      <c r="Q128" s="2061"/>
      <c r="R128" s="616">
        <f>IF(ISNA(AT128),0,MAX(MIN(AT128-VLOOKUP("Apto en campo: "&amp;$B128,Tabla_Ventajas,3,FALSE)-Tablas!$O275-2*Tablas!$Q275-3*Tablas!$S275,3),1))</f>
        <v>0</v>
      </c>
      <c r="S128" s="2061"/>
      <c r="T128" s="550">
        <f>IF(J128=0,0,TRUNC(K128/J128,0))+IF(L128=0,0,TRUNC(M128/L128,0))+IF(N128=0,0,TRUNC(O128/N128,0))+IF(P128=0,0,TRUNC(Q128/P128,0))+IF(R128=0,0,TRUNC(S128/R128,0))+IF(Personalización!$E$20="Como Base (no oficial)",AF128,0)</f>
        <v>0</v>
      </c>
      <c r="U128" s="550">
        <f t="shared" si="23"/>
        <v>15</v>
      </c>
      <c r="V128" s="550">
        <f>IF(ISNA(HLOOKUP($E128,Bonos_Cat_Base,2,FALSE)),0,HLOOKUP($E128,Bonos_Cat_Base,2,FALSE))+Tablas!$Z275*Nivel_Total+10*Y128</f>
        <v>0</v>
      </c>
      <c r="W128" s="2060"/>
      <c r="X128" s="2061"/>
      <c r="Y128" s="2060"/>
      <c r="Z128" s="2556"/>
      <c r="AA128" s="1475">
        <f>IF(AND(T128&lt;5,Tablas!G$303=0),-30,0)+T128+U128+V128+Z128+IF(I128="",0,40)+Mod_ATA+Mod_Fisico+AD128+IF(Personalización!$E$20="Como Base (no oficial)",0,AF128)</f>
        <v>-15</v>
      </c>
      <c r="AB128" s="1990">
        <f t="shared" si="24"/>
        <v>0</v>
      </c>
      <c r="AC128" s="953"/>
      <c r="AD128" s="2775">
        <f>'Tablas psiquica'!$AH$55</f>
        <v>0</v>
      </c>
      <c r="AE128" s="276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1">
        <f>IF(AF$123,IF(OR(Region="",ClaseSocial="",Personalización!$AN$9),0,IF(OR(AND(AI128,AJ128),AND(NOT(AI128),NOT(AJ128))),LEFT(AG128,2)+LEFT(AH128,2),IF(AND(AI128,NOT(AJ128)),LEFT(AH128,2),0))),0)</f>
        <v>0</v>
      </c>
      <c r="AG128" s="2755" t="e">
        <f>HLOOKUP(Region&amp;ClaseSocial,Tabla_RaicesCulturales,Tablas!F144,FALSE)</f>
        <v>#N/A</v>
      </c>
      <c r="AH128" s="2764">
        <f>IF(AND(E128="Historia",Personalización!$E$24="Historia (Local)"),20&amp;" "&amp;Personalización!$E$24,IF(E128=Personalización!$E$23,VLOOKUP(E128,Tablas!$L$136:$M$137,2,FALSE),IF(E128=Personalización!$E$24,VLOOKUP(E128,Tablas!$N$136:$O$137,2,FALSE),0)))</f>
        <v>0</v>
      </c>
      <c r="AI128" s="2764" t="b">
        <f t="shared" si="25"/>
        <v>0</v>
      </c>
      <c r="AJ128" s="2764" t="b">
        <f t="shared" si="26"/>
        <v>0</v>
      </c>
      <c r="AK128" s="2764"/>
      <c r="AL128" s="2759">
        <f t="shared" si="27"/>
        <v>2</v>
      </c>
      <c r="AM128" s="2759"/>
      <c r="AN128" s="2759" t="e">
        <f t="shared" si="28"/>
        <v>#N/A</v>
      </c>
      <c r="AO128" s="2759"/>
      <c r="AP128" s="2759" t="e">
        <f t="shared" si="29"/>
        <v>#N/A</v>
      </c>
      <c r="AQ128" s="1986"/>
      <c r="AR128" s="2759" t="e">
        <f t="shared" si="30"/>
        <v>#N/A</v>
      </c>
      <c r="AS128" s="1986"/>
      <c r="AT128" s="2759" t="e">
        <f t="shared" si="31"/>
        <v>#N/A</v>
      </c>
      <c r="AU128" s="1986"/>
      <c r="AV128" s="1986"/>
    </row>
    <row r="129" spans="1:48" ht="12" customHeight="1" x14ac:dyDescent="0.2">
      <c r="A129" s="31"/>
      <c r="B129" s="925" t="str">
        <f t="shared" si="32"/>
        <v>Atléticas</v>
      </c>
      <c r="C129" s="3479"/>
      <c r="D129" s="3183"/>
      <c r="E129" s="3431" t="s">
        <v>1421</v>
      </c>
      <c r="F129" s="3432"/>
      <c r="G129" s="3432"/>
      <c r="H129" s="897" t="s">
        <v>1381</v>
      </c>
      <c r="I129" s="1721"/>
      <c r="J129" s="2277">
        <f>IF(ISNA(AL129),0,MAX(MIN(AL129-VLOOKUP("Apto en campo: "&amp;$B129,Tabla_Ventajas,3,FALSE)-Tablas!$O276-2*Tablas!$Q276-3*Tablas!$S276,3),1))</f>
        <v>2</v>
      </c>
      <c r="K129" s="2059"/>
      <c r="L129" s="2277">
        <f>IF(ISNA(AN129),0,MAX(MIN(AN129-VLOOKUP("Apto en campo: "&amp;$B129,Tabla_Ventajas,3,FALSE)-Tablas!$O276-2*Tablas!$Q276-3*Tablas!$S276,3),1))</f>
        <v>0</v>
      </c>
      <c r="M129" s="2059"/>
      <c r="N129" s="2277">
        <f>IF(ISNA(AP129),0,MAX(MIN(AP129-VLOOKUP("Apto en campo: "&amp;$B129,Tabla_Ventajas,3,FALSE)-Tablas!$O276-2*Tablas!$Q276-3*Tablas!$S276,3),1))</f>
        <v>0</v>
      </c>
      <c r="O129" s="2059"/>
      <c r="P129" s="2277">
        <f>IF(ISNA(AR129),0,MAX(MIN(AR129-VLOOKUP("Apto en campo: "&amp;$B129,Tabla_Ventajas,3,FALSE)-Tablas!$O276-2*Tablas!$Q276-3*Tablas!$S276,3),1))</f>
        <v>0</v>
      </c>
      <c r="Q129" s="2059"/>
      <c r="R129" s="2277">
        <f>IF(ISNA(AT129),0,MAX(MIN(AT129-VLOOKUP("Apto en campo: "&amp;$B129,Tabla_Ventajas,3,FALSE)-Tablas!$O276-2*Tablas!$Q276-3*Tablas!$S276,3),1))</f>
        <v>0</v>
      </c>
      <c r="S129" s="2059"/>
      <c r="T129" s="549">
        <f>IF(J129=0,0,TRUNC(K129/J129,0))+IF(L129=0,0,TRUNC(M129/L129,0))+IF(N129=0,0,TRUNC(O129/N129,0))+IF(P129=0,0,TRUNC(Q129/P129,0))+IF(R129=0,0,TRUNC(S129/R129,0))+IF(Personalización!$E$20="Como Base (no oficial)",AF129,0)</f>
        <v>0</v>
      </c>
      <c r="U129" s="549">
        <f t="shared" si="23"/>
        <v>15</v>
      </c>
      <c r="V129" s="549">
        <f>IF(ISNA(HLOOKUP($E129,Bonos_Cat_Base,2,FALSE)),0,HLOOKUP($E129,Bonos_Cat_Base,2,FALSE))+Tablas!$Z276*Nivel_Total+10*Y129</f>
        <v>0</v>
      </c>
      <c r="W129" s="2058"/>
      <c r="X129" s="2059"/>
      <c r="Y129" s="2058"/>
      <c r="Z129" s="2555"/>
      <c r="AA129" s="1474">
        <f>IF(AND(T129&lt;5,Tablas!G$303=0),-30,0)+T129+U129+V129+Z129+IF(I129="",0,40)+Mod_ATA+Mod_Fisico+AD129+IF(Personalización!$E$20="Como Base (no oficial)",0,AF129)</f>
        <v>-15</v>
      </c>
      <c r="AB129" s="1990">
        <f t="shared" si="24"/>
        <v>0</v>
      </c>
      <c r="AC129" s="953"/>
      <c r="AD129" s="2775">
        <f>'Tablas psiquica'!$AH$55</f>
        <v>0</v>
      </c>
      <c r="AE129" s="276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1">
        <f>IF(AF$123,IF(OR(Region="",ClaseSocial="",Personalización!$AN$9),0,IF(OR(AND(AI129,AJ129),AND(NOT(AI129),NOT(AJ129))),LEFT(AG129,2)+LEFT(AH129,2),IF(AND(AI129,NOT(AJ129)),LEFT(AH129,2),0))),0)</f>
        <v>0</v>
      </c>
      <c r="AG129" s="2755" t="e">
        <f>HLOOKUP(Region&amp;ClaseSocial,Tabla_RaicesCulturales,Tablas!F145,FALSE)</f>
        <v>#N/A</v>
      </c>
      <c r="AH129" s="2764">
        <f>IF(AND(E129="Historia",Personalización!$E$24="Historia (Local)"),20&amp;" "&amp;Personalización!$E$24,IF(E129=Personalización!$E$23,VLOOKUP(E129,Tablas!$L$136:$M$137,2,FALSE),IF(E129=Personalización!$E$24,VLOOKUP(E129,Tablas!$N$136:$O$137,2,FALSE),0)))</f>
        <v>0</v>
      </c>
      <c r="AI129" s="2764" t="b">
        <f t="shared" si="25"/>
        <v>0</v>
      </c>
      <c r="AJ129" s="2764" t="b">
        <f t="shared" si="26"/>
        <v>0</v>
      </c>
      <c r="AK129" s="2764"/>
      <c r="AL129" s="2759">
        <f t="shared" si="27"/>
        <v>2</v>
      </c>
      <c r="AM129" s="2759"/>
      <c r="AN129" s="2759" t="e">
        <f t="shared" si="28"/>
        <v>#N/A</v>
      </c>
      <c r="AO129" s="2759"/>
      <c r="AP129" s="2759" t="e">
        <f t="shared" si="29"/>
        <v>#N/A</v>
      </c>
      <c r="AQ129" s="1986"/>
      <c r="AR129" s="2759" t="e">
        <f t="shared" si="30"/>
        <v>#N/A</v>
      </c>
      <c r="AS129" s="1986"/>
      <c r="AT129" s="2759" t="e">
        <f t="shared" si="31"/>
        <v>#N/A</v>
      </c>
      <c r="AU129" s="1986"/>
      <c r="AV129" s="1986"/>
    </row>
    <row r="130" spans="1:48" ht="12" customHeight="1" x14ac:dyDescent="0.2">
      <c r="A130" s="31"/>
      <c r="B130" s="925" t="str">
        <f t="shared" si="32"/>
        <v>Atléticas</v>
      </c>
      <c r="C130" s="3479"/>
      <c r="D130" s="3183"/>
      <c r="E130" s="3429" t="s">
        <v>1424</v>
      </c>
      <c r="F130" s="3430"/>
      <c r="G130" s="3430"/>
      <c r="H130" s="898" t="s">
        <v>1381</v>
      </c>
      <c r="I130" s="1689"/>
      <c r="J130" s="616">
        <f>IF(ISNA(AL130),0,MAX(MIN(AL130-VLOOKUP("Apto en campo: "&amp;$B130,Tabla_Ventajas,3,FALSE)-Tablas!$O277-2*Tablas!$Q277-3*Tablas!$S277,3),1))</f>
        <v>2</v>
      </c>
      <c r="K130" s="2061"/>
      <c r="L130" s="616">
        <f>IF(ISNA(AN130),0,MAX(MIN(AN130-VLOOKUP("Apto en campo: "&amp;$B130,Tabla_Ventajas,3,FALSE)-Tablas!$O277-2*Tablas!$Q277-3*Tablas!$S277,3),1))</f>
        <v>0</v>
      </c>
      <c r="M130" s="2061"/>
      <c r="N130" s="616">
        <f>IF(ISNA(AP130),0,MAX(MIN(AP130-VLOOKUP("Apto en campo: "&amp;$B130,Tabla_Ventajas,3,FALSE)-Tablas!$O277-2*Tablas!$Q277-3*Tablas!$S277,3),1))</f>
        <v>0</v>
      </c>
      <c r="O130" s="2061"/>
      <c r="P130" s="616">
        <f>IF(ISNA(AR130),0,MAX(MIN(AR130-VLOOKUP("Apto en campo: "&amp;$B130,Tabla_Ventajas,3,FALSE)-Tablas!$O277-2*Tablas!$Q277-3*Tablas!$S277,3),1))</f>
        <v>0</v>
      </c>
      <c r="Q130" s="2061"/>
      <c r="R130" s="616">
        <f>IF(ISNA(AT130),0,MAX(MIN(AT130-VLOOKUP("Apto en campo: "&amp;$B130,Tabla_Ventajas,3,FALSE)-Tablas!$O277-2*Tablas!$Q277-3*Tablas!$S277,3),1))</f>
        <v>0</v>
      </c>
      <c r="S130" s="2061"/>
      <c r="T130" s="550">
        <f>IF(J130=0,0,TRUNC(K130/J130,0))+IF(L130=0,0,TRUNC(M130/L130,0))+IF(N130=0,0,TRUNC(O130/N130,0))+IF(P130=0,0,TRUNC(Q130/P130,0))+IF(R130=0,0,TRUNC(S130/R130,0))+IF(Personalización!$E$20="Como Base (no oficial)",AF130,0)</f>
        <v>0</v>
      </c>
      <c r="U130" s="550">
        <f t="shared" si="23"/>
        <v>15</v>
      </c>
      <c r="V130" s="550">
        <f>IF(ISNA(HLOOKUP($E130,Bonos_Cat_Base,2,FALSE)),0,HLOOKUP($E130,Bonos_Cat_Base,2,FALSE))+Tablas!$Z277*Nivel_Total+10*Y130</f>
        <v>0</v>
      </c>
      <c r="W130" s="2060"/>
      <c r="X130" s="2061"/>
      <c r="Y130" s="2060"/>
      <c r="Z130" s="2556"/>
      <c r="AA130" s="1475">
        <f>IF(AND(T130&lt;5,Tablas!G$303=0),-30,0)+T130+U130+V130+Z130+IF(I130="",0,40)+Mod_ATA+Mod_Fisico+AD130+IF(Personalización!$E$20="Como Base (no oficial)",0,AF130)</f>
        <v>-15</v>
      </c>
      <c r="AB130" s="1990">
        <f t="shared" si="24"/>
        <v>0</v>
      </c>
      <c r="AC130" s="953"/>
      <c r="AD130" s="2775">
        <f>'Tablas psiquica'!$AH$55</f>
        <v>0</v>
      </c>
      <c r="AE130" s="276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1">
        <f>IF(AF$123,IF(OR(Region="",ClaseSocial="",Personalización!$AN$9),0,IF(OR(AND(AI130,AJ130),AND(NOT(AI130),NOT(AJ130))),LEFT(AG130,2)+LEFT(AH130,2),IF(AND(AI130,NOT(AJ130)),LEFT(AH130,2),0))),0)</f>
        <v>0</v>
      </c>
      <c r="AG130" s="2755" t="e">
        <f>HLOOKUP(Region&amp;ClaseSocial,Tabla_RaicesCulturales,Tablas!F146,FALSE)</f>
        <v>#N/A</v>
      </c>
      <c r="AH130" s="2764">
        <f>IF(AND(E130="Historia",Personalización!$E$24="Historia (Local)"),20&amp;" "&amp;Personalización!$E$24,IF(E130=Personalización!$E$23,VLOOKUP(E130,Tablas!$L$136:$M$137,2,FALSE),IF(E130=Personalización!$E$24,VLOOKUP(E130,Tablas!$N$136:$O$137,2,FALSE),0)))</f>
        <v>0</v>
      </c>
      <c r="AI130" s="2764" t="b">
        <f t="shared" si="25"/>
        <v>0</v>
      </c>
      <c r="AJ130" s="2764" t="b">
        <f t="shared" si="26"/>
        <v>0</v>
      </c>
      <c r="AK130" s="2764"/>
      <c r="AL130" s="2759">
        <f t="shared" si="27"/>
        <v>2</v>
      </c>
      <c r="AM130" s="2759"/>
      <c r="AN130" s="2759" t="e">
        <f t="shared" si="28"/>
        <v>#N/A</v>
      </c>
      <c r="AO130" s="2759"/>
      <c r="AP130" s="2759" t="e">
        <f t="shared" si="29"/>
        <v>#N/A</v>
      </c>
      <c r="AQ130" s="1986"/>
      <c r="AR130" s="2759" t="e">
        <f t="shared" si="30"/>
        <v>#N/A</v>
      </c>
      <c r="AS130" s="1986"/>
      <c r="AT130" s="2759" t="e">
        <f t="shared" si="31"/>
        <v>#N/A</v>
      </c>
      <c r="AU130" s="1986"/>
      <c r="AV130" s="1986"/>
    </row>
    <row r="131" spans="1:48" ht="12" customHeight="1" x14ac:dyDescent="0.2">
      <c r="A131" s="31"/>
      <c r="B131" s="925" t="str">
        <f t="shared" si="32"/>
        <v>Atléticas</v>
      </c>
      <c r="C131" s="3479"/>
      <c r="D131" s="3183"/>
      <c r="E131" s="3431" t="s">
        <v>1427</v>
      </c>
      <c r="F131" s="3432"/>
      <c r="G131" s="3432"/>
      <c r="H131" s="897" t="s">
        <v>1391</v>
      </c>
      <c r="I131" s="1721"/>
      <c r="J131" s="2277">
        <f>IF(ISNA(AL131),0,MAX(MIN(AL131-VLOOKUP("Apto en campo: "&amp;$B131,Tabla_Ventajas,3,FALSE)-Tablas!$O278-2*Tablas!$Q278-3*Tablas!$S278,3),1))</f>
        <v>2</v>
      </c>
      <c r="K131" s="2059"/>
      <c r="L131" s="2277">
        <f>IF(ISNA(AN131),0,MAX(MIN(AN131-VLOOKUP("Apto en campo: "&amp;$B131,Tabla_Ventajas,3,FALSE)-Tablas!$O278-2*Tablas!$Q278-3*Tablas!$S278,3),1))</f>
        <v>0</v>
      </c>
      <c r="M131" s="2059"/>
      <c r="N131" s="2277">
        <f>IF(ISNA(AP131),0,MAX(MIN(AP131-VLOOKUP("Apto en campo: "&amp;$B131,Tabla_Ventajas,3,FALSE)-Tablas!$O278-2*Tablas!$Q278-3*Tablas!$S278,3),1))</f>
        <v>0</v>
      </c>
      <c r="O131" s="2059"/>
      <c r="P131" s="2277">
        <f>IF(ISNA(AR131),0,MAX(MIN(AR131-VLOOKUP("Apto en campo: "&amp;$B131,Tabla_Ventajas,3,FALSE)-Tablas!$O278-2*Tablas!$Q278-3*Tablas!$S278,3),1))</f>
        <v>0</v>
      </c>
      <c r="Q131" s="2059"/>
      <c r="R131" s="2277">
        <f>IF(ISNA(AT131),0,MAX(MIN(AT131-VLOOKUP("Apto en campo: "&amp;$B131,Tabla_Ventajas,3,FALSE)-Tablas!$O278-2*Tablas!$Q278-3*Tablas!$S278,3),1))</f>
        <v>0</v>
      </c>
      <c r="S131" s="2059"/>
      <c r="T131" s="549">
        <f>IF(J131=0,0,TRUNC(K131/J131,0))+IF(L131=0,0,TRUNC(M131/L131,0))+IF(N131=0,0,TRUNC(O131/N131,0))+IF(P131=0,0,TRUNC(Q131/P131,0))+IF(R131=0,0,TRUNC(S131/R131,0))+IF(Personalización!$E$20="Como Base (no oficial)",AF131,0)</f>
        <v>0</v>
      </c>
      <c r="U131" s="549">
        <f t="shared" si="23"/>
        <v>0</v>
      </c>
      <c r="V131" s="549">
        <f>IF(ISNA(HLOOKUP($E131,Bonos_Cat_Base,2,FALSE)),0,HLOOKUP($E131,Bonos_Cat_Base,2,FALSE))+Tablas!$Z278*Nivel_Total+10*Y131</f>
        <v>0</v>
      </c>
      <c r="W131" s="2058"/>
      <c r="X131" s="2059"/>
      <c r="Y131" s="2058"/>
      <c r="Z131" s="2555"/>
      <c r="AA131" s="1474">
        <f>IF(AND(T131&lt;5,Tablas!G$303=0),-30,0)+T131+U131+V131+Z131+IF(I131="",0,40)+Mod_ATA+Mod_Fisico+AD131+IF(Personalización!$E$20="Como Base (no oficial)",0,AF131)</f>
        <v>-30</v>
      </c>
      <c r="AB131" s="1990">
        <f t="shared" si="24"/>
        <v>0</v>
      </c>
      <c r="AC131" s="953"/>
      <c r="AD131" s="2775">
        <f>'Tablas psiquica'!AH52+'Tablas psiquica'!$AH$55</f>
        <v>0</v>
      </c>
      <c r="AE131" s="276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71">
        <f>IF(AF$123,IF(OR(Region="",ClaseSocial="",Personalización!$AN$9),0,IF(OR(AND(AI131,AJ131),AND(NOT(AI131),NOT(AJ131))),LEFT(AG131,2)+LEFT(AH131,2),IF(AND(AI131,NOT(AJ131)),LEFT(AH131,2),0))),0)</f>
        <v>0</v>
      </c>
      <c r="AG131" s="2755" t="e">
        <f>HLOOKUP(Region&amp;ClaseSocial,Tabla_RaicesCulturales,Tablas!F147,FALSE)</f>
        <v>#N/A</v>
      </c>
      <c r="AH131" s="2764">
        <f>IF(AND(E131="Historia",Personalización!$E$24="Historia (Local)"),20&amp;" "&amp;Personalización!$E$24,IF(E131=Personalización!$E$23,VLOOKUP(E131,Tablas!$L$136:$M$137,2,FALSE),IF(E131=Personalización!$E$24,VLOOKUP(E131,Tablas!$N$136:$O$137,2,FALSE),0)))</f>
        <v>0</v>
      </c>
      <c r="AI131" s="2764" t="b">
        <f t="shared" si="25"/>
        <v>0</v>
      </c>
      <c r="AJ131" s="2764" t="b">
        <f t="shared" si="26"/>
        <v>0</v>
      </c>
      <c r="AK131" s="2764"/>
      <c r="AL131" s="2759">
        <f t="shared" si="27"/>
        <v>2</v>
      </c>
      <c r="AM131" s="2759"/>
      <c r="AN131" s="2759" t="e">
        <f t="shared" si="28"/>
        <v>#N/A</v>
      </c>
      <c r="AO131" s="2759"/>
      <c r="AP131" s="2759" t="e">
        <f t="shared" si="29"/>
        <v>#N/A</v>
      </c>
      <c r="AQ131" s="1986"/>
      <c r="AR131" s="2759" t="e">
        <f t="shared" si="30"/>
        <v>#N/A</v>
      </c>
      <c r="AS131" s="1986"/>
      <c r="AT131" s="2759" t="e">
        <f t="shared" si="31"/>
        <v>#N/A</v>
      </c>
      <c r="AU131" s="1986"/>
      <c r="AV131" s="1986"/>
    </row>
    <row r="132" spans="1:48" ht="12" customHeight="1" x14ac:dyDescent="0.2">
      <c r="A132" s="31"/>
      <c r="B132" s="925" t="str">
        <f t="shared" si="32"/>
        <v>Atléticas</v>
      </c>
      <c r="C132" s="3479"/>
      <c r="D132" s="3183"/>
      <c r="E132" s="3429" t="s">
        <v>6431</v>
      </c>
      <c r="F132" s="3430"/>
      <c r="G132" s="3430"/>
      <c r="H132" s="898" t="s">
        <v>1386</v>
      </c>
      <c r="I132" s="1690"/>
      <c r="J132" s="616">
        <f>IF(ISNA(AL132),0,MAX(MIN(AL132-VLOOKUP("Apto en campo: "&amp;$B132,Tabla_Ventajas,3,FALSE)-Tablas!$O279-2*Tablas!$Q279-3*Tablas!$S279,3),1))</f>
        <v>2</v>
      </c>
      <c r="K132" s="2061"/>
      <c r="L132" s="616">
        <f>IF(ISNA(AN132),0,MAX(MIN(AN132-VLOOKUP("Apto en campo: "&amp;$B132,Tabla_Ventajas,3,FALSE)-Tablas!$O279-2*Tablas!$Q279-3*Tablas!$S279,3),1))</f>
        <v>0</v>
      </c>
      <c r="M132" s="2061"/>
      <c r="N132" s="616">
        <f>IF(ISNA(AP132),0,MAX(MIN(AP132-VLOOKUP("Apto en campo: "&amp;$B132,Tabla_Ventajas,3,FALSE)-Tablas!$O279-2*Tablas!$Q279-3*Tablas!$S279,3),1))</f>
        <v>0</v>
      </c>
      <c r="O132" s="2061"/>
      <c r="P132" s="616">
        <f>IF(ISNA(AR132),0,MAX(MIN(AR132-VLOOKUP("Apto en campo: "&amp;$B132,Tabla_Ventajas,3,FALSE)-Tablas!$O279-2*Tablas!$Q279-3*Tablas!$S279,3),1))</f>
        <v>0</v>
      </c>
      <c r="Q132" s="2061"/>
      <c r="R132" s="616">
        <f>IF(ISNA(AT132),0,MAX(MIN(AT132-VLOOKUP("Apto en campo: "&amp;$B132,Tabla_Ventajas,3,FALSE)-Tablas!$O279-2*Tablas!$Q279-3*Tablas!$S279,3),1))</f>
        <v>0</v>
      </c>
      <c r="S132" s="2061"/>
      <c r="T132" s="550">
        <f>IF(J132=0,0,TRUNC(K132/J132,0))+IF(L132=0,0,TRUNC(M132/L132,0))+IF(N132=0,0,TRUNC(O132/N132,0))+IF(P132=0,0,TRUNC(Q132/P132,0))+IF(R132=0,0,TRUNC(S132/R132,0))+IF(Personalización!$E$20="Como Base (no oficial)",AF132,0)</f>
        <v>0</v>
      </c>
      <c r="U132" s="550">
        <f t="shared" si="23"/>
        <v>0</v>
      </c>
      <c r="V132" s="550">
        <f>IF(ISNA(HLOOKUP($E132,Bonos_Cat_Base,2,FALSE)),0,HLOOKUP($E132,Bonos_Cat_Base,2,FALSE))+Tablas!$Z279*Nivel_Total+10*Y132</f>
        <v>0</v>
      </c>
      <c r="W132" s="2060"/>
      <c r="X132" s="2061"/>
      <c r="Y132" s="2060"/>
      <c r="Z132" s="2556"/>
      <c r="AA132" s="1475">
        <f>IF(AND(T132&lt;5,Tablas!G$303=0),-30,0)+T132+U132+V132+Z132+IF(I132="",0,40)+Mod_ATA+Mod_Fisico+AD132+IF(Personalización!$E$20="Como Base (no oficial)",0,AF132)</f>
        <v>-30</v>
      </c>
      <c r="AB132" s="1990">
        <f t="shared" si="24"/>
        <v>0</v>
      </c>
      <c r="AC132" s="953"/>
      <c r="AD132" s="2775">
        <f>'Tablas psiquica'!$AH$55</f>
        <v>0</v>
      </c>
      <c r="AE132" s="276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1">
        <f>IF(AF$123,IF(OR(Region="",ClaseSocial="",Personalización!$AN$9),0,IF(OR(AND(AI132,AJ132),AND(NOT(AI132),NOT(AJ132))),LEFT(AG132,2)+LEFT(AH132,2),IF(AND(AI132,NOT(AJ132)),LEFT(AH132,2),0))),0)</f>
        <v>0</v>
      </c>
      <c r="AG132" s="2755" t="e">
        <f>HLOOKUP(Region&amp;ClaseSocial,Tabla_RaicesCulturales,Tablas!F148,FALSE)</f>
        <v>#N/A</v>
      </c>
      <c r="AH132" s="2764">
        <f>IF(AND(E132="Historia",Personalización!$E$24="Historia (Local)"),20&amp;" "&amp;Personalización!$E$24,IF(E132=Personalización!$E$23,VLOOKUP(E132,Tablas!$L$136:$M$137,2,FALSE),IF(E132=Personalización!$E$24,VLOOKUP(E132,Tablas!$N$136:$O$137,2,FALSE),0)))</f>
        <v>0</v>
      </c>
      <c r="AI132" s="2764" t="b">
        <f t="shared" si="25"/>
        <v>0</v>
      </c>
      <c r="AJ132" s="2764" t="b">
        <f t="shared" si="26"/>
        <v>0</v>
      </c>
      <c r="AK132" s="2764"/>
      <c r="AL132" s="2759">
        <f t="shared" si="27"/>
        <v>2</v>
      </c>
      <c r="AM132" s="2759"/>
      <c r="AN132" s="2759" t="e">
        <f t="shared" si="28"/>
        <v>#N/A</v>
      </c>
      <c r="AO132" s="2759"/>
      <c r="AP132" s="2759" t="e">
        <f t="shared" si="29"/>
        <v>#N/A</v>
      </c>
      <c r="AQ132" s="1986"/>
      <c r="AR132" s="2759" t="e">
        <f t="shared" si="30"/>
        <v>#N/A</v>
      </c>
      <c r="AS132" s="1986"/>
      <c r="AT132" s="2759" t="e">
        <f t="shared" si="31"/>
        <v>#N/A</v>
      </c>
      <c r="AU132" s="1986"/>
      <c r="AV132" s="1986"/>
    </row>
    <row r="133" spans="1:48" ht="12" customHeight="1" x14ac:dyDescent="0.2">
      <c r="A133" s="31"/>
      <c r="B133" s="925" t="str">
        <f>D133</f>
        <v>Sociales</v>
      </c>
      <c r="C133" s="3479"/>
      <c r="D133" s="3433" t="s">
        <v>1430</v>
      </c>
      <c r="E133" s="3512" t="s">
        <v>1431</v>
      </c>
      <c r="F133" s="3513"/>
      <c r="G133" s="3513"/>
      <c r="H133" s="899" t="s">
        <v>1399</v>
      </c>
      <c r="I133" s="1722"/>
      <c r="J133" s="2278">
        <f>IF(ISNA(AL133),0,MAX(MIN(AL133-VLOOKUP("Apto en campo: "&amp;$B133,Tabla_Ventajas,3,FALSE)-Tablas!$O280-2*Tablas!$Q280-3*Tablas!$S280,3),1))</f>
        <v>2</v>
      </c>
      <c r="K133" s="2063"/>
      <c r="L133" s="2278">
        <f>IF(ISNA(AN133),0,MAX(MIN(AN133-VLOOKUP("Apto en campo: "&amp;$B133,Tabla_Ventajas,3,FALSE)-Tablas!$O280-2*Tablas!$Q280-3*Tablas!$S280,3),1))</f>
        <v>0</v>
      </c>
      <c r="M133" s="2063"/>
      <c r="N133" s="2278">
        <f>IF(ISNA(AP133),0,MAX(MIN(AP133-VLOOKUP("Apto en campo: "&amp;$B133,Tabla_Ventajas,3,FALSE)-Tablas!$O280-2*Tablas!$Q280-3*Tablas!$S280,3),1))</f>
        <v>0</v>
      </c>
      <c r="O133" s="2063"/>
      <c r="P133" s="2278">
        <f>IF(ISNA(AR133),0,MAX(MIN(AR133-VLOOKUP("Apto en campo: "&amp;$B133,Tabla_Ventajas,3,FALSE)-Tablas!$O280-2*Tablas!$Q280-3*Tablas!$S280,3),1))</f>
        <v>0</v>
      </c>
      <c r="Q133" s="2063"/>
      <c r="R133" s="2278">
        <f>IF(ISNA(AT133),0,MAX(MIN(AT133-VLOOKUP("Apto en campo: "&amp;$B133,Tabla_Ventajas,3,FALSE)-Tablas!$O280-2*Tablas!$Q280-3*Tablas!$S280,3),1))</f>
        <v>0</v>
      </c>
      <c r="S133" s="2063"/>
      <c r="T133" s="552">
        <f>IF(J133=0,0,TRUNC(K133/J133,0))+IF(L133=0,0,TRUNC(M133/L133,0))+IF(N133=0,0,TRUNC(O133/N133,0))+IF(P133=0,0,TRUNC(Q133/P133,0))+IF(R133=0,0,TRUNC(S133/R133,0))+IF(Personalización!$E$20="Como Base (no oficial)",AF133,0)</f>
        <v>0</v>
      </c>
      <c r="U133" s="552">
        <f t="shared" si="23"/>
        <v>15</v>
      </c>
      <c r="V133" s="552">
        <f>IF(ISNA(HLOOKUP($E133,Bonos_Cat_Base,2,FALSE)),0,HLOOKUP($E133,Bonos_Cat_Base,2,FALSE))+Tablas!$Z280*Nivel_Total+10*Y133</f>
        <v>0</v>
      </c>
      <c r="W133" s="2062"/>
      <c r="X133" s="2063"/>
      <c r="Y133" s="2062"/>
      <c r="Z133" s="2557"/>
      <c r="AA133" s="2710">
        <f>IF(AND(T133&lt;5,Tablas!G$303=0),-30,0)+T133+U133+V133+Z133+IF(I133="",0,40)+Mod_ATA+AD133+IF(Personalización!$E$20="Como Base (no oficial)",0,AF133)</f>
        <v>-15</v>
      </c>
      <c r="AB133" s="1990">
        <f t="shared" si="24"/>
        <v>0</v>
      </c>
      <c r="AC133" s="953"/>
      <c r="AD133" s="2755">
        <f>Tablas!$K$1852</f>
        <v>0</v>
      </c>
      <c r="AE133" s="276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71">
        <f>IF(AF$123,IF(OR(Region="",ClaseSocial="",Personalización!$AN$9),0,IF(OR(AND(AI133,AJ133),AND(NOT(AI133),NOT(AJ133))),LEFT(AG133,2)+LEFT(AH133,2),IF(AND(AI133,NOT(AJ133)),LEFT(AH133,2),0))),0)</f>
        <v>0</v>
      </c>
      <c r="AG133" s="2755" t="e">
        <f>HLOOKUP(Region&amp;ClaseSocial,Tabla_RaicesCulturales,Tablas!F149,FALSE)</f>
        <v>#N/A</v>
      </c>
      <c r="AH133" s="2764">
        <f>IF(AND(E133="Historia",Personalización!$E$24="Historia (Local)"),20&amp;" "&amp;Personalización!$E$24,IF(E133=Personalización!$E$23,VLOOKUP(E133,Tablas!$L$136:$M$137,2,FALSE),IF(E133=Personalización!$E$24,VLOOKUP(E133,Tablas!$N$136:$O$137,2,FALSE),0)))</f>
        <v>0</v>
      </c>
      <c r="AI133" s="2764" t="b">
        <f t="shared" si="25"/>
        <v>0</v>
      </c>
      <c r="AJ133" s="2764" t="b">
        <f t="shared" si="26"/>
        <v>0</v>
      </c>
      <c r="AK133" s="2764"/>
      <c r="AL133" s="2759">
        <f t="shared" si="27"/>
        <v>2</v>
      </c>
      <c r="AM133" s="2759"/>
      <c r="AN133" s="2759" t="e">
        <f t="shared" si="28"/>
        <v>#N/A</v>
      </c>
      <c r="AO133" s="2759"/>
      <c r="AP133" s="2759" t="e">
        <f t="shared" si="29"/>
        <v>#N/A</v>
      </c>
      <c r="AQ133" s="1986"/>
      <c r="AR133" s="2759" t="e">
        <f t="shared" si="30"/>
        <v>#N/A</v>
      </c>
      <c r="AS133" s="1986"/>
      <c r="AT133" s="2759" t="e">
        <f t="shared" si="31"/>
        <v>#N/A</v>
      </c>
      <c r="AU133" s="1986"/>
      <c r="AV133" s="1986"/>
    </row>
    <row r="134" spans="1:48" ht="12" customHeight="1" x14ac:dyDescent="0.2">
      <c r="A134" s="31"/>
      <c r="B134" s="925" t="str">
        <f>B133</f>
        <v>Sociales</v>
      </c>
      <c r="C134" s="3479"/>
      <c r="D134" s="3183"/>
      <c r="E134" s="3429" t="s">
        <v>1433</v>
      </c>
      <c r="F134" s="3430"/>
      <c r="G134" s="3430"/>
      <c r="H134" s="898" t="s">
        <v>1400</v>
      </c>
      <c r="I134" s="1689"/>
      <c r="J134" s="616">
        <f>IF(ISNA(AL134),0,MAX(MIN(AL134-VLOOKUP("Apto en campo: "&amp;$B134,Tabla_Ventajas,3,FALSE)-Tablas!$O281-2*Tablas!$Q281-3*Tablas!$S281,3),1))</f>
        <v>2</v>
      </c>
      <c r="K134" s="2061"/>
      <c r="L134" s="616">
        <f>IF(ISNA(AN134),0,MAX(MIN(AN134-VLOOKUP("Apto en campo: "&amp;$B134,Tabla_Ventajas,3,FALSE)-Tablas!$O281-2*Tablas!$Q281-3*Tablas!$S281,3),1))</f>
        <v>0</v>
      </c>
      <c r="M134" s="2061"/>
      <c r="N134" s="616">
        <f>IF(ISNA(AP134),0,MAX(MIN(AP134-VLOOKUP("Apto en campo: "&amp;$B134,Tabla_Ventajas,3,FALSE)-Tablas!$O281-2*Tablas!$Q281-3*Tablas!$S281,3),1))</f>
        <v>0</v>
      </c>
      <c r="O134" s="2061"/>
      <c r="P134" s="616">
        <f>IF(ISNA(AR134),0,MAX(MIN(AR134-VLOOKUP("Apto en campo: "&amp;$B134,Tabla_Ventajas,3,FALSE)-Tablas!$O281-2*Tablas!$Q281-3*Tablas!$S281,3),1))</f>
        <v>0</v>
      </c>
      <c r="Q134" s="2061"/>
      <c r="R134" s="616">
        <f>IF(ISNA(AT134),0,MAX(MIN(AT134-VLOOKUP("Apto en campo: "&amp;$B134,Tabla_Ventajas,3,FALSE)-Tablas!$O281-2*Tablas!$Q281-3*Tablas!$S281,3),1))</f>
        <v>0</v>
      </c>
      <c r="S134" s="2061"/>
      <c r="T134" s="550">
        <f>IF(J134=0,0,TRUNC(K134/J134,0))+IF(L134=0,0,TRUNC(M134/L134,0))+IF(N134=0,0,TRUNC(O134/N134,0))+IF(P134=0,0,TRUNC(Q134/P134,0))+IF(R134=0,0,TRUNC(S134/R134,0))+IF(Personalización!$E$20="Como Base (no oficial)",AF134,0)</f>
        <v>0</v>
      </c>
      <c r="U134" s="550">
        <f t="shared" si="23"/>
        <v>0</v>
      </c>
      <c r="V134" s="550">
        <f>IF(ISNA(HLOOKUP($E134,Bonos_Cat_Base,2,FALSE)),0,HLOOKUP($E134,Bonos_Cat_Base,2,FALSE))+Tablas!$Z281*Nivel_Total+10*Y134</f>
        <v>0</v>
      </c>
      <c r="W134" s="2060"/>
      <c r="X134" s="2061"/>
      <c r="Y134" s="2060"/>
      <c r="Z134" s="2556"/>
      <c r="AA134" s="1475">
        <f>IF(AND(T134&lt;5,Tablas!G$303=0),-30,0)+T134+U134+V134+Z134+IF(I134="",0,40)+Mod_ATA+AD134+IF(Personalización!$E$20="Como Base (no oficial)",0,AF134)</f>
        <v>-30</v>
      </c>
      <c r="AB134" s="1990">
        <f t="shared" si="24"/>
        <v>0</v>
      </c>
      <c r="AC134" s="953"/>
      <c r="AD134" s="2755">
        <f>Tablas!$K$1816</f>
        <v>0</v>
      </c>
      <c r="AE134" s="276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71">
        <f>IF(AF$123,IF(OR(Region="",ClaseSocial="",Personalización!$AN$9),0,IF(OR(AND(AI134,AJ134),AND(NOT(AI134),NOT(AJ134))),LEFT(AG134,2)+LEFT(AH134,2),IF(AND(AI134,NOT(AJ134)),LEFT(AH134,2),0))),0)</f>
        <v>0</v>
      </c>
      <c r="AG134" s="2755" t="e">
        <f>HLOOKUP(Region&amp;ClaseSocial,Tabla_RaicesCulturales,Tablas!F150,FALSE)</f>
        <v>#N/A</v>
      </c>
      <c r="AH134" s="2764">
        <f>IF(AND(E134="Historia",Personalización!$E$24="Historia (Local)"),20&amp;" "&amp;Personalización!$E$24,IF(E134=Personalización!$E$23,VLOOKUP(E134,Tablas!$L$136:$M$137,2,FALSE),IF(E134=Personalización!$E$24,VLOOKUP(E134,Tablas!$N$136:$O$137,2,FALSE),0)))</f>
        <v>0</v>
      </c>
      <c r="AI134" s="2764" t="b">
        <f t="shared" si="25"/>
        <v>0</v>
      </c>
      <c r="AJ134" s="2764" t="b">
        <f t="shared" si="26"/>
        <v>0</v>
      </c>
      <c r="AK134" s="2764"/>
      <c r="AL134" s="2759">
        <f t="shared" si="27"/>
        <v>2</v>
      </c>
      <c r="AM134" s="2759"/>
      <c r="AN134" s="2759" t="e">
        <f t="shared" si="28"/>
        <v>#N/A</v>
      </c>
      <c r="AO134" s="2759"/>
      <c r="AP134" s="2759" t="e">
        <f t="shared" si="29"/>
        <v>#N/A</v>
      </c>
      <c r="AQ134" s="1986"/>
      <c r="AR134" s="2759" t="e">
        <f t="shared" si="30"/>
        <v>#N/A</v>
      </c>
      <c r="AS134" s="1986"/>
      <c r="AT134" s="2759" t="e">
        <f t="shared" si="31"/>
        <v>#N/A</v>
      </c>
      <c r="AU134" s="1986"/>
      <c r="AV134" s="1986"/>
    </row>
    <row r="135" spans="1:48" ht="12" customHeight="1" x14ac:dyDescent="0.2">
      <c r="A135" s="31"/>
      <c r="B135" s="925" t="str">
        <f t="shared" ref="B135:B139" si="33">B134</f>
        <v>Sociales</v>
      </c>
      <c r="C135" s="3479"/>
      <c r="D135" s="3183"/>
      <c r="E135" s="3431" t="s">
        <v>1436</v>
      </c>
      <c r="F135" s="3432"/>
      <c r="G135" s="3432"/>
      <c r="H135" s="897" t="s">
        <v>1399</v>
      </c>
      <c r="I135" s="1721"/>
      <c r="J135" s="2277">
        <f>IF(ISNA(AL135),0,MAX(MIN(AL135-VLOOKUP("Apto en campo: "&amp;$B135,Tabla_Ventajas,3,FALSE)-Tablas!$O282-2*Tablas!$Q282-3*Tablas!$S282,3),1))</f>
        <v>2</v>
      </c>
      <c r="K135" s="2059"/>
      <c r="L135" s="2277">
        <f>IF(ISNA(AN135),0,MAX(MIN(AN135-VLOOKUP("Apto en campo: "&amp;$B135,Tabla_Ventajas,3,FALSE)-Tablas!$O282-2*Tablas!$Q282-3*Tablas!$S282,3),1))</f>
        <v>0</v>
      </c>
      <c r="M135" s="2059"/>
      <c r="N135" s="2277">
        <f>IF(ISNA(AP135),0,MAX(MIN(AP135-VLOOKUP("Apto en campo: "&amp;$B135,Tabla_Ventajas,3,FALSE)-Tablas!$O282-2*Tablas!$Q282-3*Tablas!$S282,3),1))</f>
        <v>0</v>
      </c>
      <c r="O135" s="2059"/>
      <c r="P135" s="2277">
        <f>IF(ISNA(AR135),0,MAX(MIN(AR135-VLOOKUP("Apto en campo: "&amp;$B135,Tabla_Ventajas,3,FALSE)-Tablas!$O282-2*Tablas!$Q282-3*Tablas!$S282,3),1))</f>
        <v>0</v>
      </c>
      <c r="Q135" s="2059"/>
      <c r="R135" s="2277">
        <f>IF(ISNA(AT135),0,MAX(MIN(AT135-VLOOKUP("Apto en campo: "&amp;$B135,Tabla_Ventajas,3,FALSE)-Tablas!$O282-2*Tablas!$Q282-3*Tablas!$S282,3),1))</f>
        <v>0</v>
      </c>
      <c r="S135" s="2059"/>
      <c r="T135" s="549">
        <f>IF(J135=0,0,TRUNC(K135/J135,0))+IF(L135=0,0,TRUNC(M135/L135,0))+IF(N135=0,0,TRUNC(O135/N135,0))+IF(P135=0,0,TRUNC(Q135/P135,0))+IF(R135=0,0,TRUNC(S135/R135,0))+IF(Personalización!$E$20="Como Base (no oficial)",AF135,0)</f>
        <v>0</v>
      </c>
      <c r="U135" s="549">
        <f t="shared" si="23"/>
        <v>15</v>
      </c>
      <c r="V135" s="549">
        <f>IF(ISNA(HLOOKUP($E135,Bonos_Cat_Base,2,FALSE)),0,HLOOKUP($E135,Bonos_Cat_Base,2,FALSE))+Tablas!$Z282*Nivel_Total+10*Y135</f>
        <v>0</v>
      </c>
      <c r="W135" s="2058"/>
      <c r="X135" s="2059"/>
      <c r="Y135" s="2058"/>
      <c r="Z135" s="2555"/>
      <c r="AA135" s="1474">
        <f>IF(AND(T135&lt;5,Tablas!G$303=0),-30,0)+T135+U135+V135+Z135+IF(I135="",0,40)+Mod_ATA+AD135+IF(Personalización!$E$20="Como Base (no oficial)",0,AF135)</f>
        <v>-15</v>
      </c>
      <c r="AB135" s="1990">
        <f t="shared" si="24"/>
        <v>0</v>
      </c>
      <c r="AC135" s="953"/>
      <c r="AD135" s="2755">
        <f>Tablas!$K$1761+Tablas!$K$1827</f>
        <v>0</v>
      </c>
      <c r="AE135" s="276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71">
        <f>IF(AF$123,IF(OR(Region="",ClaseSocial="",Personalización!$AN$9),0,IF(OR(AND(AI135,AJ135),AND(NOT(AI135),NOT(AJ135))),LEFT(AG135,2)+LEFT(AH135,2),IF(AND(AI135,NOT(AJ135)),LEFT(AH135,2),0))),0)</f>
        <v>0</v>
      </c>
      <c r="AG135" s="2755" t="e">
        <f>HLOOKUP(Region&amp;ClaseSocial,Tabla_RaicesCulturales,Tablas!F151,FALSE)</f>
        <v>#N/A</v>
      </c>
      <c r="AH135" s="2764">
        <f>IF(AND(E135="Historia",Personalización!$E$24="Historia (Local)"),20&amp;" "&amp;Personalización!$E$24,IF(E135=Personalización!$E$23,VLOOKUP(E135,Tablas!$L$136:$M$137,2,FALSE),IF(E135=Personalización!$E$24,VLOOKUP(E135,Tablas!$N$136:$O$137,2,FALSE),0)))</f>
        <v>0</v>
      </c>
      <c r="AI135" s="2764" t="b">
        <f t="shared" si="25"/>
        <v>0</v>
      </c>
      <c r="AJ135" s="2764" t="b">
        <f t="shared" si="26"/>
        <v>0</v>
      </c>
      <c r="AK135" s="2764"/>
      <c r="AL135" s="2759">
        <f t="shared" si="27"/>
        <v>2</v>
      </c>
      <c r="AM135" s="2759"/>
      <c r="AN135" s="2759" t="e">
        <f t="shared" si="28"/>
        <v>#N/A</v>
      </c>
      <c r="AO135" s="2759"/>
      <c r="AP135" s="2759" t="e">
        <f t="shared" si="29"/>
        <v>#N/A</v>
      </c>
      <c r="AQ135" s="1986"/>
      <c r="AR135" s="2759" t="e">
        <f t="shared" si="30"/>
        <v>#N/A</v>
      </c>
      <c r="AS135" s="1986"/>
      <c r="AT135" s="2759" t="e">
        <f t="shared" si="31"/>
        <v>#N/A</v>
      </c>
      <c r="AU135" s="1986"/>
      <c r="AV135" s="1986"/>
    </row>
    <row r="136" spans="1:48" ht="12" customHeight="1" x14ac:dyDescent="0.2">
      <c r="A136" s="31"/>
      <c r="B136" s="925" t="str">
        <f t="shared" si="33"/>
        <v>Sociales</v>
      </c>
      <c r="C136" s="3479"/>
      <c r="D136" s="3183"/>
      <c r="E136" s="3429" t="s">
        <v>1438</v>
      </c>
      <c r="F136" s="3430"/>
      <c r="G136" s="3430"/>
      <c r="H136" s="898" t="s">
        <v>1394</v>
      </c>
      <c r="I136" s="1689"/>
      <c r="J136" s="616">
        <f>IF(ISNA(AL136),0,MAX(MIN(AL136-VLOOKUP("Apto en campo: "&amp;$B136,Tabla_Ventajas,3,FALSE)-Tablas!$O283-2*Tablas!$Q283-3*Tablas!$S283,3),1))</f>
        <v>2</v>
      </c>
      <c r="K136" s="2061"/>
      <c r="L136" s="616">
        <f>IF(ISNA(AN136),0,MAX(MIN(AN136-VLOOKUP("Apto en campo: "&amp;$B136,Tabla_Ventajas,3,FALSE)-Tablas!$O283-2*Tablas!$Q283-3*Tablas!$S283,3),1))</f>
        <v>0</v>
      </c>
      <c r="M136" s="2061"/>
      <c r="N136" s="616">
        <f>IF(ISNA(AP136),0,MAX(MIN(AP136-VLOOKUP("Apto en campo: "&amp;$B136,Tabla_Ventajas,3,FALSE)-Tablas!$O283-2*Tablas!$Q283-3*Tablas!$S283,3),1))</f>
        <v>0</v>
      </c>
      <c r="O136" s="2061"/>
      <c r="P136" s="616">
        <f>IF(ISNA(AR136),0,MAX(MIN(AR136-VLOOKUP("Apto en campo: "&amp;$B136,Tabla_Ventajas,3,FALSE)-Tablas!$O283-2*Tablas!$Q283-3*Tablas!$S283,3),1))</f>
        <v>0</v>
      </c>
      <c r="Q136" s="2061"/>
      <c r="R136" s="616">
        <f>IF(ISNA(AT136),0,MAX(MIN(AT136-VLOOKUP("Apto en campo: "&amp;$B136,Tabla_Ventajas,3,FALSE)-Tablas!$O283-2*Tablas!$Q283-3*Tablas!$S283,3),1))</f>
        <v>0</v>
      </c>
      <c r="S136" s="2061"/>
      <c r="T136" s="550">
        <f>IF(J136=0,0,TRUNC(K136/J136,0))+IF(L136=0,0,TRUNC(M136/L136,0))+IF(N136=0,0,TRUNC(O136/N136,0))+IF(P136=0,0,TRUNC(Q136/P136,0))+IF(R136=0,0,TRUNC(S136/R136,0))+IF(Personalización!$E$20="Como Base (no oficial)",AF136,0)</f>
        <v>0</v>
      </c>
      <c r="U136" s="550">
        <f t="shared" si="23"/>
        <v>0</v>
      </c>
      <c r="V136" s="550">
        <f>IF(ISNA(HLOOKUP($E136,Bonos_Cat_Base,2,FALSE)),0,HLOOKUP($E136,Bonos_Cat_Base,2,FALSE))+Tablas!$Z283*Nivel_Total+10*Y136</f>
        <v>0</v>
      </c>
      <c r="W136" s="2060"/>
      <c r="X136" s="2061"/>
      <c r="Y136" s="2060"/>
      <c r="Z136" s="2556"/>
      <c r="AA136" s="1475">
        <f>IF(AND(T136&lt;5,Tablas!G$303=0),-30,0)+T136+U136+V136+Z136+IF(I136="",0,40)+Mod_ATA+AD136+IF(Personalización!$E$20="Como Base (no oficial)",0,AF136)</f>
        <v>-30</v>
      </c>
      <c r="AB136" s="1990">
        <f t="shared" si="24"/>
        <v>0</v>
      </c>
      <c r="AC136" s="953"/>
      <c r="AD136" s="2755">
        <f>Tablas!$K$1761</f>
        <v>0</v>
      </c>
      <c r="AE136" s="276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71">
        <f>IF(AF$123,IF(OR(Region="",ClaseSocial="",Personalización!$AN$9),0,IF(OR(AND(AI136,AJ136),AND(NOT(AI136),NOT(AJ136))),LEFT(AG136,2)+LEFT(AH136,2),IF(AND(AI136,NOT(AJ136)),LEFT(AH136,2),0))),0)</f>
        <v>0</v>
      </c>
      <c r="AG136" s="2755" t="e">
        <f>HLOOKUP(Region&amp;ClaseSocial,Tabla_RaicesCulturales,Tablas!F152,FALSE)</f>
        <v>#N/A</v>
      </c>
      <c r="AH136" s="2764">
        <f>IF(AND(E136="Historia",Personalización!$E$24="Historia (Local)"),20&amp;" "&amp;Personalización!$E$24,IF(E136=Personalización!$E$23,VLOOKUP(E136,Tablas!$L$136:$M$137,2,FALSE),IF(E136=Personalización!$E$24,VLOOKUP(E136,Tablas!$N$136:$O$137,2,FALSE),0)))</f>
        <v>0</v>
      </c>
      <c r="AI136" s="2764" t="b">
        <f t="shared" si="25"/>
        <v>0</v>
      </c>
      <c r="AJ136" s="2764" t="b">
        <f t="shared" si="26"/>
        <v>0</v>
      </c>
      <c r="AK136" s="2764"/>
      <c r="AL136" s="2759">
        <f t="shared" si="27"/>
        <v>2</v>
      </c>
      <c r="AM136" s="2759"/>
      <c r="AN136" s="2759" t="e">
        <f t="shared" si="28"/>
        <v>#N/A</v>
      </c>
      <c r="AO136" s="2759"/>
      <c r="AP136" s="2759" t="e">
        <f t="shared" si="29"/>
        <v>#N/A</v>
      </c>
      <c r="AQ136" s="1986"/>
      <c r="AR136" s="2759" t="e">
        <f t="shared" si="30"/>
        <v>#N/A</v>
      </c>
      <c r="AS136" s="1986"/>
      <c r="AT136" s="2759" t="e">
        <f t="shared" si="31"/>
        <v>#N/A</v>
      </c>
      <c r="AU136" s="1986"/>
      <c r="AV136" s="1986"/>
    </row>
    <row r="137" spans="1:48" ht="12" customHeight="1" x14ac:dyDescent="0.2">
      <c r="A137" s="31"/>
      <c r="B137" s="925" t="str">
        <f t="shared" si="33"/>
        <v>Sociales</v>
      </c>
      <c r="C137" s="3479"/>
      <c r="D137" s="3183"/>
      <c r="E137" s="3431" t="s">
        <v>819</v>
      </c>
      <c r="F137" s="3432"/>
      <c r="G137" s="3432"/>
      <c r="H137" s="897" t="s">
        <v>1394</v>
      </c>
      <c r="I137" s="1723"/>
      <c r="J137" s="2277">
        <f>IF(ISNA(AL137),0,MAX(MIN(AL137-VLOOKUP("Apto en campo: "&amp;$B137,Tabla_Ventajas,3,FALSE)-Tablas!$O284-2*Tablas!$Q284-3*Tablas!$S284,3),1))</f>
        <v>2</v>
      </c>
      <c r="K137" s="2059"/>
      <c r="L137" s="2277">
        <f>IF(ISNA(AN137),0,MAX(MIN(AN137-VLOOKUP("Apto en campo: "&amp;$B137,Tabla_Ventajas,3,FALSE)-Tablas!$O284-2*Tablas!$Q284-3*Tablas!$S284,3),1))</f>
        <v>0</v>
      </c>
      <c r="M137" s="2059"/>
      <c r="N137" s="2277">
        <f>IF(ISNA(AP137),0,MAX(MIN(AP137-VLOOKUP("Apto en campo: "&amp;$B137,Tabla_Ventajas,3,FALSE)-Tablas!$O284-2*Tablas!$Q284-3*Tablas!$S284,3),1))</f>
        <v>0</v>
      </c>
      <c r="O137" s="2059"/>
      <c r="P137" s="2277">
        <f>IF(ISNA(AR137),0,MAX(MIN(AR137-VLOOKUP("Apto en campo: "&amp;$B137,Tabla_Ventajas,3,FALSE)-Tablas!$O284-2*Tablas!$Q284-3*Tablas!$S284,3),1))</f>
        <v>0</v>
      </c>
      <c r="Q137" s="2059"/>
      <c r="R137" s="2277">
        <f>IF(ISNA(AT137),0,MAX(MIN(AT137-VLOOKUP("Apto en campo: "&amp;$B137,Tabla_Ventajas,3,FALSE)-Tablas!$O284-2*Tablas!$Q284-3*Tablas!$S284,3),1))</f>
        <v>0</v>
      </c>
      <c r="S137" s="2059"/>
      <c r="T137" s="549">
        <f>IF(J137=0,0,TRUNC(K137/J137,0))+IF(L137=0,0,TRUNC(M137/L137,0))+IF(N137=0,0,TRUNC(O137/N137,0))+IF(P137=0,0,TRUNC(Q137/P137,0))+IF(R137=0,0,TRUNC(S137/R137,0))+IF(Personalización!$E$20="Como Base (no oficial)",AF137,0)</f>
        <v>0</v>
      </c>
      <c r="U137" s="549">
        <f t="shared" si="23"/>
        <v>0</v>
      </c>
      <c r="V137" s="549">
        <f>IF(ISNA(HLOOKUP($E137,Bonos_Cat_Base,2,FALSE)),0,HLOOKUP($E137,Bonos_Cat_Base,2,FALSE))+Tablas!$Z284*Nivel_Total+10*Y137</f>
        <v>0</v>
      </c>
      <c r="W137" s="2058"/>
      <c r="X137" s="2059"/>
      <c r="Y137" s="2058"/>
      <c r="Z137" s="2555"/>
      <c r="AA137" s="1474">
        <f>IF(AND(T137&lt;5,Tablas!G$303=0),-30,0)+T137+U137+V137+Z137+IF(I137="",0,40)+Mod_ATA+AD137+IF(Personalización!$E$20="Como Base (no oficial)",0,AF137)</f>
        <v>-30</v>
      </c>
      <c r="AB137" s="1990">
        <f t="shared" si="24"/>
        <v>0</v>
      </c>
      <c r="AC137" s="953"/>
      <c r="AD137" s="2755"/>
      <c r="AE137" s="276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1">
        <f>IF(AF$123,IF(OR(Region="",ClaseSocial="",Personalización!$AN$9),0,IF(OR(AND(AI137,AJ137),AND(NOT(AI137),NOT(AJ137))),LEFT(AG137,2)+LEFT(AH137,2),IF(AND(AI137,NOT(AJ137)),LEFT(AH137,2),0))),0)</f>
        <v>0</v>
      </c>
      <c r="AG137" s="2755" t="e">
        <f>HLOOKUP(Region&amp;ClaseSocial,Tabla_RaicesCulturales,Tablas!F153,FALSE)</f>
        <v>#N/A</v>
      </c>
      <c r="AH137" s="2764">
        <f>IF(AND(E137="Historia",Personalización!$E$24="Historia (Local)"),20&amp;" "&amp;Personalización!$E$24,IF(E137=Personalización!$E$23,VLOOKUP(E137,Tablas!$L$136:$M$137,2,FALSE),IF(E137=Personalización!$E$24,VLOOKUP(E137,Tablas!$N$136:$O$137,2,FALSE),0)))</f>
        <v>0</v>
      </c>
      <c r="AI137" s="2764" t="b">
        <f t="shared" si="25"/>
        <v>0</v>
      </c>
      <c r="AJ137" s="2764" t="b">
        <f t="shared" si="26"/>
        <v>0</v>
      </c>
      <c r="AK137" s="2764"/>
      <c r="AL137" s="2759">
        <f t="shared" si="27"/>
        <v>2</v>
      </c>
      <c r="AM137" s="2759"/>
      <c r="AN137" s="2759" t="e">
        <f t="shared" si="28"/>
        <v>#N/A</v>
      </c>
      <c r="AO137" s="2759"/>
      <c r="AP137" s="2759" t="e">
        <f t="shared" si="29"/>
        <v>#N/A</v>
      </c>
      <c r="AQ137" s="1986"/>
      <c r="AR137" s="2759" t="e">
        <f t="shared" si="30"/>
        <v>#N/A</v>
      </c>
      <c r="AS137" s="1986"/>
      <c r="AT137" s="2759" t="e">
        <f t="shared" si="31"/>
        <v>#N/A</v>
      </c>
      <c r="AU137" s="1986"/>
      <c r="AV137" s="1986"/>
    </row>
    <row r="138" spans="1:48" ht="12" customHeight="1" x14ac:dyDescent="0.2">
      <c r="A138" s="31"/>
      <c r="B138" s="925" t="str">
        <f t="shared" si="33"/>
        <v>Sociales</v>
      </c>
      <c r="C138" s="3479"/>
      <c r="D138" s="3183"/>
      <c r="E138" s="3429" t="s">
        <v>820</v>
      </c>
      <c r="F138" s="3430"/>
      <c r="G138" s="3430"/>
      <c r="H138" s="898" t="s">
        <v>1394</v>
      </c>
      <c r="I138" s="1689"/>
      <c r="J138" s="616">
        <f>IF(ISNA(AL138),0,MAX(MIN(AL138-VLOOKUP("Apto en campo: "&amp;$B138,Tabla_Ventajas,3,FALSE)-Tablas!$O285-2*Tablas!$Q285-3*Tablas!$S285,3),1))</f>
        <v>2</v>
      </c>
      <c r="K138" s="2061"/>
      <c r="L138" s="616">
        <f>IF(ISNA(AN138),0,MAX(MIN(AN138-VLOOKUP("Apto en campo: "&amp;$B138,Tabla_Ventajas,3,FALSE)-Tablas!$O285-2*Tablas!$Q285-3*Tablas!$S285,3),1))</f>
        <v>0</v>
      </c>
      <c r="M138" s="2061"/>
      <c r="N138" s="616">
        <f>IF(ISNA(AP138),0,MAX(MIN(AP138-VLOOKUP("Apto en campo: "&amp;$B138,Tabla_Ventajas,3,FALSE)-Tablas!$O285-2*Tablas!$Q285-3*Tablas!$S285,3),1))</f>
        <v>0</v>
      </c>
      <c r="O138" s="2061"/>
      <c r="P138" s="616">
        <f>IF(ISNA(AR138),0,MAX(MIN(AR138-VLOOKUP("Apto en campo: "&amp;$B138,Tabla_Ventajas,3,FALSE)-Tablas!$O285-2*Tablas!$Q285-3*Tablas!$S285,3),1))</f>
        <v>0</v>
      </c>
      <c r="Q138" s="2061"/>
      <c r="R138" s="616">
        <f>IF(ISNA(AT138),0,MAX(MIN(AT138-VLOOKUP("Apto en campo: "&amp;$B138,Tabla_Ventajas,3,FALSE)-Tablas!$O285-2*Tablas!$Q285-3*Tablas!$S285,3),1))</f>
        <v>0</v>
      </c>
      <c r="S138" s="2061"/>
      <c r="T138" s="550">
        <f>IF(J138=0,0,TRUNC(K138/J138,0))+IF(L138=0,0,TRUNC(M138/L138,0))+IF(N138=0,0,TRUNC(O138/N138,0))+IF(P138=0,0,TRUNC(Q138/P138,0))+IF(R138=0,0,TRUNC(S138/R138,0))+IF(Personalización!$E$20="Como Base (no oficial)",AF138,0)</f>
        <v>0</v>
      </c>
      <c r="U138" s="550">
        <f t="shared" si="23"/>
        <v>0</v>
      </c>
      <c r="V138" s="550">
        <f>IF(ISNA(HLOOKUP($E138,Bonos_Cat_Base,2,FALSE)),0,HLOOKUP($E138,Bonos_Cat_Base,2,FALSE))+Tablas!$Z285*Nivel_Total+10*Y138</f>
        <v>0</v>
      </c>
      <c r="W138" s="2060"/>
      <c r="X138" s="2061"/>
      <c r="Y138" s="2060"/>
      <c r="Z138" s="2556"/>
      <c r="AA138" s="1475">
        <f>IF(AND(T138&lt;5,Tablas!G$303=0),-30,0)+T138+U138+V138+Z138+IF(I138="",0,40)+Mod_ATA+AD138+IF(Personalización!$E$20="Como Base (no oficial)",0,AF138)</f>
        <v>-30</v>
      </c>
      <c r="AB138" s="1990">
        <f t="shared" si="24"/>
        <v>0</v>
      </c>
      <c r="AC138" s="953"/>
      <c r="AD138" s="2755"/>
      <c r="AE138" s="276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1">
        <f>IF(AF$123,IF(OR(Region="",ClaseSocial="",Personalización!$AN$9),0,IF(OR(AND(AI138,AJ138),AND(NOT(AI138),NOT(AJ138))),LEFT(AG138,2)+LEFT(AH138,2),IF(AND(AI138,NOT(AJ138)),LEFT(AH138,2),0))),0)</f>
        <v>0</v>
      </c>
      <c r="AG138" s="2755" t="e">
        <f>HLOOKUP(Region&amp;ClaseSocial,Tabla_RaicesCulturales,Tablas!F154,FALSE)</f>
        <v>#N/A</v>
      </c>
      <c r="AH138" s="2764">
        <f>IF(AND(E138="Historia",Personalización!$E$24="Historia (Local)"),20&amp;" "&amp;Personalización!$E$24,IF(E138=Personalización!$E$23,VLOOKUP(E138,Tablas!$L$136:$M$137,2,FALSE),IF(E138=Personalización!$E$24,VLOOKUP(E138,Tablas!$N$136:$O$137,2,FALSE),0)))</f>
        <v>0</v>
      </c>
      <c r="AI138" s="2764" t="b">
        <f t="shared" si="25"/>
        <v>0</v>
      </c>
      <c r="AJ138" s="2764" t="b">
        <f t="shared" si="26"/>
        <v>0</v>
      </c>
      <c r="AK138" s="2764"/>
      <c r="AL138" s="2759">
        <f t="shared" si="27"/>
        <v>2</v>
      </c>
      <c r="AM138" s="2759"/>
      <c r="AN138" s="2759" t="e">
        <f t="shared" si="28"/>
        <v>#N/A</v>
      </c>
      <c r="AO138" s="2759"/>
      <c r="AP138" s="2759" t="e">
        <f t="shared" si="29"/>
        <v>#N/A</v>
      </c>
      <c r="AQ138" s="1986"/>
      <c r="AR138" s="2759" t="e">
        <f t="shared" si="30"/>
        <v>#N/A</v>
      </c>
      <c r="AS138" s="1986"/>
      <c r="AT138" s="2759" t="e">
        <f t="shared" si="31"/>
        <v>#N/A</v>
      </c>
      <c r="AU138" s="1986"/>
      <c r="AV138" s="1986"/>
    </row>
    <row r="139" spans="1:48" ht="12" customHeight="1" x14ac:dyDescent="0.2">
      <c r="A139" s="31"/>
      <c r="B139" s="925" t="str">
        <f t="shared" si="33"/>
        <v>Sociales</v>
      </c>
      <c r="C139" s="3479"/>
      <c r="D139" s="3184"/>
      <c r="E139" s="3508" t="s">
        <v>821</v>
      </c>
      <c r="F139" s="3509"/>
      <c r="G139" s="3509"/>
      <c r="H139" s="900" t="s">
        <v>1394</v>
      </c>
      <c r="I139" s="1724"/>
      <c r="J139" s="2279">
        <f>IF(ISNA(AL139),0,MAX(MIN(AL139-VLOOKUP("Apto en campo: "&amp;$B139,Tabla_Ventajas,3,FALSE)-Tablas!$O286-2*Tablas!$Q286-3*Tablas!$S286,3),1))</f>
        <v>2</v>
      </c>
      <c r="K139" s="2065"/>
      <c r="L139" s="2279">
        <f>IF(ISNA(AN139),0,MAX(MIN(AN139-VLOOKUP("Apto en campo: "&amp;$B139,Tabla_Ventajas,3,FALSE)-Tablas!$O286-2*Tablas!$Q286-3*Tablas!$S286,3),1))</f>
        <v>0</v>
      </c>
      <c r="M139" s="2065"/>
      <c r="N139" s="2279">
        <f>IF(ISNA(AP139),0,MAX(MIN(AP139-VLOOKUP("Apto en campo: "&amp;$B139,Tabla_Ventajas,3,FALSE)-Tablas!$O286-2*Tablas!$Q286-3*Tablas!$S286,3),1))</f>
        <v>0</v>
      </c>
      <c r="O139" s="2065"/>
      <c r="P139" s="2279">
        <f>IF(ISNA(AR139),0,MAX(MIN(AR139-VLOOKUP("Apto en campo: "&amp;$B139,Tabla_Ventajas,3,FALSE)-Tablas!$O286-2*Tablas!$Q286-3*Tablas!$S286,3),1))</f>
        <v>0</v>
      </c>
      <c r="Q139" s="2065"/>
      <c r="R139" s="2279">
        <f>IF(ISNA(AT139),0,MAX(MIN(AT139-VLOOKUP("Apto en campo: "&amp;$B139,Tabla_Ventajas,3,FALSE)-Tablas!$O286-2*Tablas!$Q286-3*Tablas!$S286,3),1))</f>
        <v>0</v>
      </c>
      <c r="S139" s="2065"/>
      <c r="T139" s="553">
        <f>IF(J139=0,0,TRUNC(K139/J139,0))+IF(L139=0,0,TRUNC(M139/L139,0))+IF(N139=0,0,TRUNC(O139/N139,0))+IF(P139=0,0,TRUNC(Q139/P139,0))+IF(R139=0,0,TRUNC(S139/R139,0))+IF(Personalización!$E$20="Como Base (no oficial)",AF139,0)</f>
        <v>0</v>
      </c>
      <c r="U139" s="553">
        <f t="shared" si="23"/>
        <v>0</v>
      </c>
      <c r="V139" s="553">
        <f>IF(ISNA(HLOOKUP($E139,Bonos_Cat_Base,2,FALSE)),0,HLOOKUP($E139,Bonos_Cat_Base,2,FALSE))+Tablas!$Z286*Nivel_Total+10*Y139</f>
        <v>0</v>
      </c>
      <c r="W139" s="2064"/>
      <c r="X139" s="2065"/>
      <c r="Y139" s="2064"/>
      <c r="Z139" s="2558"/>
      <c r="AA139" s="2711">
        <f>IF(AND(T139&lt;5,Tablas!G$303=0),-30,0)+T139+U139+V139+Z139+IF(I139="",0,40)+Mod_ATA+AD139+IF(Personalización!$E$20="Como Base (no oficial)",0,AF139)</f>
        <v>-30</v>
      </c>
      <c r="AB139" s="1990">
        <f t="shared" si="24"/>
        <v>0</v>
      </c>
      <c r="AC139" s="953"/>
      <c r="AD139" s="2755"/>
      <c r="AE139" s="276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1">
        <f>IF(AF$123,IF(OR(Region="",ClaseSocial="",Personalización!$AN$9),0,IF(OR(AND(AI139,AJ139),AND(NOT(AI139),NOT(AJ139))),LEFT(AG139,2)+LEFT(AH139,2),IF(AND(AI139,NOT(AJ139)),LEFT(AH139,2),0))),0)</f>
        <v>0</v>
      </c>
      <c r="AG139" s="2755" t="e">
        <f>HLOOKUP(Region&amp;ClaseSocial,Tabla_RaicesCulturales,Tablas!F155,FALSE)</f>
        <v>#N/A</v>
      </c>
      <c r="AH139" s="2764">
        <f>IF(AND(E139="Historia",Personalización!$E$24="Historia (Local)"),20&amp;" "&amp;Personalización!$E$24,IF(E139=Personalización!$E$23,VLOOKUP(E139,Tablas!$L$136:$M$137,2,FALSE),IF(E139=Personalización!$E$24,VLOOKUP(E139,Tablas!$N$136:$O$137,2,FALSE),0)))</f>
        <v>0</v>
      </c>
      <c r="AI139" s="2764" t="b">
        <f t="shared" si="25"/>
        <v>0</v>
      </c>
      <c r="AJ139" s="2764" t="b">
        <f t="shared" si="26"/>
        <v>0</v>
      </c>
      <c r="AK139" s="2764"/>
      <c r="AL139" s="2759">
        <f t="shared" si="27"/>
        <v>2</v>
      </c>
      <c r="AM139" s="2759"/>
      <c r="AN139" s="2759" t="e">
        <f t="shared" si="28"/>
        <v>#N/A</v>
      </c>
      <c r="AO139" s="2759"/>
      <c r="AP139" s="2759" t="e">
        <f t="shared" si="29"/>
        <v>#N/A</v>
      </c>
      <c r="AQ139" s="1986"/>
      <c r="AR139" s="2759" t="e">
        <f t="shared" si="30"/>
        <v>#N/A</v>
      </c>
      <c r="AS139" s="1986"/>
      <c r="AT139" s="2759" t="e">
        <f t="shared" si="31"/>
        <v>#N/A</v>
      </c>
      <c r="AU139" s="1986"/>
      <c r="AV139" s="1986"/>
    </row>
    <row r="140" spans="1:48" ht="12" customHeight="1" x14ac:dyDescent="0.2">
      <c r="A140" s="31"/>
      <c r="B140" s="925" t="str">
        <f>"Perceptivas"</f>
        <v>Perceptivas</v>
      </c>
      <c r="C140" s="3479"/>
      <c r="D140" s="3183" t="s">
        <v>7345</v>
      </c>
      <c r="E140" s="3429" t="s">
        <v>1440</v>
      </c>
      <c r="F140" s="3430"/>
      <c r="G140" s="3430"/>
      <c r="H140" s="898" t="s">
        <v>1397</v>
      </c>
      <c r="I140" s="1689"/>
      <c r="J140" s="616">
        <f>IF(ISNA(AL140),0,MAX(MIN(AL140-VLOOKUP("Apto en campo: "&amp;$B140,Tabla_Ventajas,3,FALSE)-Tablas!$O287-2*Tablas!$Q287-3*Tablas!$S287,3),1))</f>
        <v>2</v>
      </c>
      <c r="K140" s="2061"/>
      <c r="L140" s="616">
        <f>IF(ISNA(AN140),0,MAX(MIN(AN140-VLOOKUP("Apto en campo: "&amp;$B140,Tabla_Ventajas,3,FALSE)-Tablas!$O287-2*Tablas!$Q287-3*Tablas!$S287,3),1))</f>
        <v>0</v>
      </c>
      <c r="M140" s="2061"/>
      <c r="N140" s="616">
        <f>IF(ISNA(AP140),0,MAX(MIN(AP140-VLOOKUP("Apto en campo: "&amp;$B140,Tabla_Ventajas,3,FALSE)-Tablas!$O287-2*Tablas!$Q287-3*Tablas!$S287,3),1))</f>
        <v>0</v>
      </c>
      <c r="O140" s="2061"/>
      <c r="P140" s="616">
        <f>IF(ISNA(AR140),0,MAX(MIN(AR140-VLOOKUP("Apto en campo: "&amp;$B140,Tabla_Ventajas,3,FALSE)-Tablas!$O287-2*Tablas!$Q287-3*Tablas!$S287,3),1))</f>
        <v>0</v>
      </c>
      <c r="Q140" s="2061"/>
      <c r="R140" s="616">
        <f>IF(ISNA(AT140),0,MAX(MIN(AT140-VLOOKUP("Apto en campo: "&amp;$B140,Tabla_Ventajas,3,FALSE)-Tablas!$O287-2*Tablas!$Q287-3*Tablas!$S287,3),1))</f>
        <v>0</v>
      </c>
      <c r="S140" s="2061"/>
      <c r="T140" s="550">
        <f>IF(J140=0,0,TRUNC(K140/J140,0))+IF(L140=0,0,TRUNC(M140/L140,0))+IF(N140=0,0,TRUNC(O140/N140,0))+IF(P140=0,0,TRUNC(Q140/P140,0))+IF(R140=0,0,TRUNC(S140/R140,0))+IF(Personalización!$E$20="Como Base (no oficial)",AF140,0)</f>
        <v>0</v>
      </c>
      <c r="U140" s="550">
        <f t="shared" si="23"/>
        <v>0</v>
      </c>
      <c r="V140" s="550">
        <f>IF(ISNA(HLOOKUP($E140,Bonos_Cat_Base,2,FALSE)),0,HLOOKUP($E140,Bonos_Cat_Base,2,FALSE))+Tablas!$Z287*Nivel_Total+10*Y140</f>
        <v>0</v>
      </c>
      <c r="W140" s="2060"/>
      <c r="X140" s="2061"/>
      <c r="Y140" s="2060"/>
      <c r="Z140" s="2556"/>
      <c r="AA140" s="1475">
        <f>IF(AND(T140&lt;5,Tablas!G$303=0),-30,0)+T140+U140+V140+Z140+IF(I140="",0,40)+Mod_ATA+AD140+IF(Personalización!$E$20="Como Base (no oficial)",0,AF140)</f>
        <v>-30</v>
      </c>
      <c r="AB140" s="1990">
        <f t="shared" si="24"/>
        <v>0</v>
      </c>
      <c r="AC140" s="953"/>
      <c r="AD140" s="2755">
        <f>IF(Raza="Tuan Dalyr",80,50)*Tablas!G271+IF(Raza="Turak",IF(COUNTIF(Cercanía_Dragón,"Ojos de cazador")&gt;0,20,0),0)</f>
        <v>0</v>
      </c>
      <c r="AE140" s="276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71">
        <f>IF(AF$123,IF(OR(Region="",ClaseSocial="",Personalización!$AN$9),0,IF(OR(AND(AI140,AJ140),AND(NOT(AI140),NOT(AJ140))),LEFT(AG140,2)+LEFT(AH140,2),IF(AND(AI140,NOT(AJ140)),LEFT(AH140,2),0))),0)</f>
        <v>0</v>
      </c>
      <c r="AG140" s="2755" t="e">
        <f>HLOOKUP(Region&amp;ClaseSocial,Tabla_RaicesCulturales,Tablas!F156,FALSE)</f>
        <v>#N/A</v>
      </c>
      <c r="AH140" s="2764">
        <f>IF(AND(E140="Historia",Personalización!$E$24="Historia (Local)"),20&amp;" "&amp;Personalización!$E$24,IF(E140=Personalización!$E$23,VLOOKUP(E140,Tablas!$L$136:$M$137,2,FALSE),IF(E140=Personalización!$E$24,VLOOKUP(E140,Tablas!$N$136:$O$137,2,FALSE),0)))</f>
        <v>0</v>
      </c>
      <c r="AI140" s="2764" t="b">
        <f t="shared" si="25"/>
        <v>0</v>
      </c>
      <c r="AJ140" s="2764" t="b">
        <f t="shared" si="26"/>
        <v>0</v>
      </c>
      <c r="AK140" s="2764"/>
      <c r="AL140" s="2759">
        <f t="shared" si="27"/>
        <v>2</v>
      </c>
      <c r="AM140" s="2759"/>
      <c r="AN140" s="2759" t="e">
        <f t="shared" si="28"/>
        <v>#N/A</v>
      </c>
      <c r="AO140" s="2759"/>
      <c r="AP140" s="2759" t="e">
        <f t="shared" si="29"/>
        <v>#N/A</v>
      </c>
      <c r="AQ140" s="1986"/>
      <c r="AR140" s="2759" t="e">
        <f t="shared" si="30"/>
        <v>#N/A</v>
      </c>
      <c r="AS140" s="1986"/>
      <c r="AT140" s="2759" t="e">
        <f t="shared" si="31"/>
        <v>#N/A</v>
      </c>
      <c r="AU140" s="1986"/>
      <c r="AV140" s="1986"/>
    </row>
    <row r="141" spans="1:48" ht="12" customHeight="1" x14ac:dyDescent="0.2">
      <c r="A141" s="31"/>
      <c r="B141" s="925" t="str">
        <f>B140</f>
        <v>Perceptivas</v>
      </c>
      <c r="C141" s="3479"/>
      <c r="D141" s="3183"/>
      <c r="E141" s="3431" t="s">
        <v>1441</v>
      </c>
      <c r="F141" s="3432"/>
      <c r="G141" s="3432"/>
      <c r="H141" s="897" t="s">
        <v>1397</v>
      </c>
      <c r="I141" s="1721"/>
      <c r="J141" s="2277">
        <f>IF(ISNA(AL141),0,MAX(MIN(AL141-VLOOKUP("Apto en campo: "&amp;$B141,Tabla_Ventajas,3,FALSE)-Tablas!$O288-2*Tablas!$Q288-3*Tablas!$S288,3),1))</f>
        <v>2</v>
      </c>
      <c r="K141" s="2059"/>
      <c r="L141" s="2277">
        <f>IF(ISNA(AN141),0,MAX(MIN(AN141-VLOOKUP("Apto en campo: "&amp;$B141,Tabla_Ventajas,3,FALSE)-Tablas!$O288-2*Tablas!$Q288-3*Tablas!$S288,3),1))</f>
        <v>0</v>
      </c>
      <c r="M141" s="2059"/>
      <c r="N141" s="2277">
        <f>IF(ISNA(AP141),0,MAX(MIN(AP141-VLOOKUP("Apto en campo: "&amp;$B141,Tabla_Ventajas,3,FALSE)-Tablas!$O288-2*Tablas!$Q288-3*Tablas!$S288,3),1))</f>
        <v>0</v>
      </c>
      <c r="O141" s="2059"/>
      <c r="P141" s="2277">
        <f>IF(ISNA(AR141),0,MAX(MIN(AR141-VLOOKUP("Apto en campo: "&amp;$B141,Tabla_Ventajas,3,FALSE)-Tablas!$O288-2*Tablas!$Q288-3*Tablas!$S288,3),1))</f>
        <v>0</v>
      </c>
      <c r="Q141" s="2059"/>
      <c r="R141" s="2277">
        <f>IF(ISNA(AT141),0,MAX(MIN(AT141-VLOOKUP("Apto en campo: "&amp;$B141,Tabla_Ventajas,3,FALSE)-Tablas!$O288-2*Tablas!$Q288-3*Tablas!$S288,3),1))</f>
        <v>0</v>
      </c>
      <c r="S141" s="2059"/>
      <c r="T141" s="549">
        <f>IF(J141=0,0,TRUNC(K141/J141,0))+IF(L141=0,0,TRUNC(M141/L141,0))+IF(N141=0,0,TRUNC(O141/N141,0))+IF(P141=0,0,TRUNC(Q141/P141,0))+IF(R141=0,0,TRUNC(S141/R141,0))+IF(Personalización!$E$20="Como Base (no oficial)",AF141,0)</f>
        <v>0</v>
      </c>
      <c r="U141" s="549">
        <f t="shared" si="23"/>
        <v>0</v>
      </c>
      <c r="V141" s="549">
        <f>IF(ISNA(HLOOKUP($E141,Bonos_Cat_Base,2,FALSE)),0,HLOOKUP($E141,Bonos_Cat_Base,2,FALSE))+Tablas!$Z288*Nivel_Total+10*Y141</f>
        <v>0</v>
      </c>
      <c r="W141" s="2058"/>
      <c r="X141" s="2059"/>
      <c r="Y141" s="2058"/>
      <c r="Z141" s="2555"/>
      <c r="AA141" s="1474">
        <f>IF(AND(T141&lt;5,Tablas!G$303=0),-30,0)+T141+U141+V141+Z141+IF(I141="",0,40)+Mod_ATA+AD141+IF(Personalización!$E$20="Como Base (no oficial)",0,AF141)</f>
        <v>-30</v>
      </c>
      <c r="AB141" s="1990">
        <f t="shared" si="24"/>
        <v>0</v>
      </c>
      <c r="AC141" s="953"/>
      <c r="AD141" s="2755">
        <f>IF(Raza="Tuan Dalyr",80,50)*Tablas!G271</f>
        <v>0</v>
      </c>
      <c r="AE141" s="276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71">
        <f>IF(AF$123,IF(OR(Region="",ClaseSocial="",Personalización!$AN$9),0,IF(OR(AND(AI141,AJ141),AND(NOT(AI141),NOT(AJ141))),LEFT(AG141,2)+LEFT(AH141,2),IF(AND(AI141,NOT(AJ141)),LEFT(AH141,2),0))),0)</f>
        <v>0</v>
      </c>
      <c r="AG141" s="2755" t="e">
        <f>HLOOKUP(Region&amp;ClaseSocial,Tabla_RaicesCulturales,Tablas!F157,FALSE)</f>
        <v>#N/A</v>
      </c>
      <c r="AH141" s="2764">
        <f>IF(AND(E141="Historia",Personalización!$E$24="Historia (Local)"),20&amp;" "&amp;Personalización!$E$24,IF(E141=Personalización!$E$23,VLOOKUP(E141,Tablas!$L$136:$M$137,2,FALSE),IF(E141=Personalización!$E$24,VLOOKUP(E141,Tablas!$N$136:$O$137,2,FALSE),0)))</f>
        <v>0</v>
      </c>
      <c r="AI141" s="2764" t="b">
        <f t="shared" si="25"/>
        <v>0</v>
      </c>
      <c r="AJ141" s="2764" t="b">
        <f t="shared" si="26"/>
        <v>0</v>
      </c>
      <c r="AK141" s="2764"/>
      <c r="AL141" s="2759">
        <f t="shared" si="27"/>
        <v>2</v>
      </c>
      <c r="AM141" s="2759"/>
      <c r="AN141" s="2759" t="e">
        <f t="shared" si="28"/>
        <v>#N/A</v>
      </c>
      <c r="AO141" s="2759"/>
      <c r="AP141" s="2759" t="e">
        <f t="shared" si="29"/>
        <v>#N/A</v>
      </c>
      <c r="AQ141" s="1986"/>
      <c r="AR141" s="2759" t="e">
        <f t="shared" si="30"/>
        <v>#N/A</v>
      </c>
      <c r="AS141" s="1986"/>
      <c r="AT141" s="2759" t="e">
        <f t="shared" si="31"/>
        <v>#N/A</v>
      </c>
      <c r="AU141" s="1986"/>
      <c r="AV141" s="1986"/>
    </row>
    <row r="142" spans="1:48" ht="12" customHeight="1" x14ac:dyDescent="0.2">
      <c r="A142" s="31"/>
      <c r="B142" s="925" t="str">
        <f>B141</f>
        <v>Perceptivas</v>
      </c>
      <c r="C142" s="3479"/>
      <c r="D142" s="3183"/>
      <c r="E142" s="3429" t="s">
        <v>1442</v>
      </c>
      <c r="F142" s="3430"/>
      <c r="G142" s="3430"/>
      <c r="H142" s="898" t="s">
        <v>1397</v>
      </c>
      <c r="I142" s="1689"/>
      <c r="J142" s="616">
        <f>IF(ISNA(AL142),0,MAX(MIN(AL142-VLOOKUP("Apto en campo: "&amp;$B142,Tabla_Ventajas,3,FALSE)-Tablas!$O289-2*Tablas!$Q289-3*Tablas!$S289,3),1))</f>
        <v>2</v>
      </c>
      <c r="K142" s="2061"/>
      <c r="L142" s="616">
        <f>IF(ISNA(AN142),0,MAX(MIN(AN142-VLOOKUP("Apto en campo: "&amp;$B142,Tabla_Ventajas,3,FALSE)-Tablas!$O289-2*Tablas!$Q289-3*Tablas!$S289,3),1))</f>
        <v>0</v>
      </c>
      <c r="M142" s="2061"/>
      <c r="N142" s="616">
        <f>IF(ISNA(AP142),0,MAX(MIN(AP142-VLOOKUP("Apto en campo: "&amp;$B142,Tabla_Ventajas,3,FALSE)-Tablas!$O289-2*Tablas!$Q289-3*Tablas!$S289,3),1))</f>
        <v>0</v>
      </c>
      <c r="O142" s="2061"/>
      <c r="P142" s="616">
        <f>IF(ISNA(AR142),0,MAX(MIN(AR142-VLOOKUP("Apto en campo: "&amp;$B142,Tabla_Ventajas,3,FALSE)-Tablas!$O289-2*Tablas!$Q289-3*Tablas!$S289,3),1))</f>
        <v>0</v>
      </c>
      <c r="Q142" s="2061"/>
      <c r="R142" s="616">
        <f>IF(ISNA(AT142),0,MAX(MIN(AT142-VLOOKUP("Apto en campo: "&amp;$B142,Tabla_Ventajas,3,FALSE)-Tablas!$O289-2*Tablas!$Q289-3*Tablas!$S289,3),1))</f>
        <v>0</v>
      </c>
      <c r="S142" s="2061"/>
      <c r="T142" s="550">
        <f>IF(J142=0,0,TRUNC(K142/J142,0))+IF(L142=0,0,TRUNC(M142/L142,0))+IF(N142=0,0,TRUNC(O142/N142,0))+IF(P142=0,0,TRUNC(Q142/P142,0))+IF(R142=0,0,TRUNC(S142/R142,0))+IF(Personalización!$E$20="Como Base (no oficial)",AF142,0)</f>
        <v>0</v>
      </c>
      <c r="U142" s="550">
        <f t="shared" si="23"/>
        <v>0</v>
      </c>
      <c r="V142" s="550">
        <f>IF(ISNA(HLOOKUP($E142,Bonos_Cat_Base,2,FALSE)),0,HLOOKUP($E142,Bonos_Cat_Base,2,FALSE))+Tablas!$Z289*Nivel_Total+10*Y142</f>
        <v>0</v>
      </c>
      <c r="W142" s="2060"/>
      <c r="X142" s="2061"/>
      <c r="Y142" s="2060"/>
      <c r="Z142" s="2556"/>
      <c r="AA142" s="1475">
        <f>IF(AND(T142&lt;5,Tablas!G$303=0),-30,0)+T142+U142+V142+Z142+IF(I142="",0,40)+Mod_ATA+AD142+IF(Personalización!$E$20="Como Base (no oficial)",0,AF142)</f>
        <v>-30</v>
      </c>
      <c r="AB142" s="1990">
        <f t="shared" si="24"/>
        <v>0</v>
      </c>
      <c r="AC142" s="953"/>
      <c r="AD142" s="2755"/>
      <c r="AE142" s="276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71">
        <f>IF(AF$123,IF(OR(Region="",ClaseSocial="",Personalización!$AN$9),0,IF(OR(AND(AI142,AJ142),AND(NOT(AI142),NOT(AJ142))),LEFT(AG142,2)+LEFT(AH142,2),IF(AND(AI142,NOT(AJ142)),LEFT(AH142,2),0))),0)</f>
        <v>0</v>
      </c>
      <c r="AG142" s="2755" t="e">
        <f>HLOOKUP(Region&amp;ClaseSocial,Tabla_RaicesCulturales,Tablas!F158,FALSE)</f>
        <v>#N/A</v>
      </c>
      <c r="AH142" s="2764">
        <f>IF(AND(E142="Historia",Personalización!$E$24="Historia (Local)"),20&amp;" "&amp;Personalización!$E$24,IF(E142=Personalización!$E$23,VLOOKUP(E142,Tablas!$L$136:$M$137,2,FALSE),IF(E142=Personalización!$E$24,VLOOKUP(E142,Tablas!$N$136:$O$137,2,FALSE),0)))</f>
        <v>0</v>
      </c>
      <c r="AI142" s="2764" t="b">
        <f t="shared" si="25"/>
        <v>0</v>
      </c>
      <c r="AJ142" s="2764" t="b">
        <f t="shared" si="26"/>
        <v>0</v>
      </c>
      <c r="AK142" s="2764"/>
      <c r="AL142" s="2759">
        <f t="shared" si="27"/>
        <v>2</v>
      </c>
      <c r="AM142" s="2759"/>
      <c r="AN142" s="2759" t="e">
        <f t="shared" si="28"/>
        <v>#N/A</v>
      </c>
      <c r="AO142" s="2759"/>
      <c r="AP142" s="2759" t="e">
        <f t="shared" si="29"/>
        <v>#N/A</v>
      </c>
      <c r="AQ142" s="1986"/>
      <c r="AR142" s="2759" t="e">
        <f t="shared" si="30"/>
        <v>#N/A</v>
      </c>
      <c r="AS142" s="1986"/>
      <c r="AT142" s="2759" t="e">
        <f t="shared" si="31"/>
        <v>#N/A</v>
      </c>
      <c r="AU142" s="1986"/>
      <c r="AV142" s="1986"/>
    </row>
    <row r="143" spans="1:48" ht="12" customHeight="1" x14ac:dyDescent="0.2">
      <c r="A143" s="31"/>
      <c r="B143" s="925" t="str">
        <f>D143</f>
        <v>Intelectuales</v>
      </c>
      <c r="C143" s="3479"/>
      <c r="D143" s="3433" t="s">
        <v>1443</v>
      </c>
      <c r="E143" s="3512" t="s">
        <v>1444</v>
      </c>
      <c r="F143" s="3513"/>
      <c r="G143" s="3513"/>
      <c r="H143" s="899" t="s">
        <v>1394</v>
      </c>
      <c r="I143" s="1725"/>
      <c r="J143" s="2278">
        <f>IF(ISNA(AL143),0,MAX(MIN(AL143-VLOOKUP("Apto en campo: "&amp;$B143,Tabla_Ventajas,3,FALSE)-Tablas!$O290-2*Tablas!$Q290-3*Tablas!$S290,3),1))</f>
        <v>2</v>
      </c>
      <c r="K143" s="2063"/>
      <c r="L143" s="2278">
        <f>IF(ISNA(AN143),0,MAX(MIN(AN143-VLOOKUP("Apto en campo: "&amp;$B143,Tabla_Ventajas,3,FALSE)-Tablas!$O290-2*Tablas!$Q290-3*Tablas!$S290,3),1))</f>
        <v>0</v>
      </c>
      <c r="M143" s="2063"/>
      <c r="N143" s="2278">
        <f>IF(ISNA(AP143),0,MAX(MIN(AP143-VLOOKUP("Apto en campo: "&amp;$B143,Tabla_Ventajas,3,FALSE)-Tablas!$O290-2*Tablas!$Q290-3*Tablas!$S290,3),1))</f>
        <v>0</v>
      </c>
      <c r="O143" s="2063"/>
      <c r="P143" s="2278">
        <f>IF(ISNA(AR143),0,MAX(MIN(AR143-VLOOKUP("Apto en campo: "&amp;$B143,Tabla_Ventajas,3,FALSE)-Tablas!$O290-2*Tablas!$Q290-3*Tablas!$S290,3),1))</f>
        <v>0</v>
      </c>
      <c r="Q143" s="2063"/>
      <c r="R143" s="2278">
        <f>IF(ISNA(AT143),0,MAX(MIN(AT143-VLOOKUP("Apto en campo: "&amp;$B143,Tabla_Ventajas,3,FALSE)-Tablas!$O290-2*Tablas!$Q290-3*Tablas!$S290,3),1))</f>
        <v>0</v>
      </c>
      <c r="S143" s="2063"/>
      <c r="T143" s="552">
        <f>IF(J143=0,0,TRUNC(K143/J143,0))+IF(L143=0,0,TRUNC(M143/L143,0))+IF(N143=0,0,TRUNC(O143/N143,0))+IF(P143=0,0,TRUNC(Q143/P143,0))+IF(R143=0,0,TRUNC(S143/R143,0))+IF(Personalización!$E$20="Como Base (no oficial)",AF143,0)</f>
        <v>0</v>
      </c>
      <c r="U143" s="552">
        <f t="shared" si="23"/>
        <v>0</v>
      </c>
      <c r="V143" s="552">
        <f>IF(ISNA(HLOOKUP($E143,Bonos_Cat_Base,2,FALSE)),0,HLOOKUP($E143,Bonos_Cat_Base,2,FALSE))+Tablas!$Z290*Nivel_Total+10*Y143</f>
        <v>0</v>
      </c>
      <c r="W143" s="2062"/>
      <c r="X143" s="2063"/>
      <c r="Y143" s="2062"/>
      <c r="Z143" s="2557"/>
      <c r="AA143" s="2710">
        <f>IF(AND(T143&lt;5,Tablas!G$303=0),-30,0)+T143+U143+V143+Z143+IF(I143="",0,40)+Mod_ATA+AD143+IF(Personalización!$E$20="Como Base (no oficial)",0,AF143)</f>
        <v>-30</v>
      </c>
      <c r="AB143" s="1990">
        <f t="shared" si="24"/>
        <v>0</v>
      </c>
      <c r="AC143" s="953"/>
      <c r="AD143" s="2755">
        <f>Tablas!$K$1765+Tablas!$K$1802</f>
        <v>0</v>
      </c>
      <c r="AE143" s="276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71">
        <f>IF(AF$123,IF(OR(Region="",ClaseSocial="",Personalización!$AN$9),0,IF(OR(AND(AI143,AJ143),AND(NOT(AI143),NOT(AJ143))),LEFT(AG143,2)+LEFT(AH143,2),IF(AND(AI143,NOT(AJ143)),LEFT(AH143,2),0))),0)</f>
        <v>0</v>
      </c>
      <c r="AG143" s="2755" t="e">
        <f>HLOOKUP(Region&amp;ClaseSocial,Tabla_RaicesCulturales,Tablas!F159,FALSE)</f>
        <v>#N/A</v>
      </c>
      <c r="AH143" s="2764">
        <f>IF(AND(E143="Historia",Personalización!$E$24="Historia (Local)"),20&amp;" "&amp;Personalización!$E$24,IF(E143=Personalización!$E$23,VLOOKUP(E143,Tablas!$L$136:$M$137,2,FALSE),IF(E143=Personalización!$E$24,VLOOKUP(E143,Tablas!$N$136:$O$137,2,FALSE),0)))</f>
        <v>0</v>
      </c>
      <c r="AI143" s="2764" t="b">
        <f t="shared" si="25"/>
        <v>0</v>
      </c>
      <c r="AJ143" s="2764" t="b">
        <f t="shared" si="26"/>
        <v>0</v>
      </c>
      <c r="AK143" s="2764"/>
      <c r="AL143" s="2759">
        <f t="shared" si="27"/>
        <v>2</v>
      </c>
      <c r="AM143" s="2759"/>
      <c r="AN143" s="2759" t="e">
        <f t="shared" si="28"/>
        <v>#N/A</v>
      </c>
      <c r="AO143" s="2759"/>
      <c r="AP143" s="2759" t="e">
        <f t="shared" si="29"/>
        <v>#N/A</v>
      </c>
      <c r="AQ143" s="1986"/>
      <c r="AR143" s="2759" t="e">
        <f t="shared" si="30"/>
        <v>#N/A</v>
      </c>
      <c r="AS143" s="1986"/>
      <c r="AT143" s="2759" t="e">
        <f t="shared" si="31"/>
        <v>#N/A</v>
      </c>
      <c r="AU143" s="1986"/>
      <c r="AV143" s="1986"/>
    </row>
    <row r="144" spans="1:48" ht="12" customHeight="1" x14ac:dyDescent="0.2">
      <c r="A144" s="31"/>
      <c r="B144" s="925" t="str">
        <f t="shared" ref="B144:B154" si="34">B143</f>
        <v>Intelectuales</v>
      </c>
      <c r="C144" s="3479"/>
      <c r="D144" s="3183"/>
      <c r="E144" s="3429" t="s">
        <v>1445</v>
      </c>
      <c r="F144" s="3430"/>
      <c r="G144" s="3430"/>
      <c r="H144" s="898" t="s">
        <v>1394</v>
      </c>
      <c r="I144" s="1690"/>
      <c r="J144" s="616">
        <f>IF(ISNA(AL144),0,MAX(MIN(AL144-VLOOKUP("Apto en campo: "&amp;$B144,Tabla_Ventajas,3,FALSE)-Tablas!$O291-2*Tablas!$Q291-3*Tablas!$S291,3),1))</f>
        <v>2</v>
      </c>
      <c r="K144" s="2061"/>
      <c r="L144" s="616">
        <f>IF(ISNA(AN144),0,MAX(MIN(AN144-VLOOKUP("Apto en campo: "&amp;$B144,Tabla_Ventajas,3,FALSE)-Tablas!$O291-2*Tablas!$Q291-3*Tablas!$S291,3),1))</f>
        <v>0</v>
      </c>
      <c r="M144" s="2061"/>
      <c r="N144" s="616">
        <f>IF(ISNA(AP144),0,MAX(MIN(AP144-VLOOKUP("Apto en campo: "&amp;$B144,Tabla_Ventajas,3,FALSE)-Tablas!$O291-2*Tablas!$Q291-3*Tablas!$S291,3),1))</f>
        <v>0</v>
      </c>
      <c r="O144" s="2061"/>
      <c r="P144" s="616">
        <f>IF(ISNA(AR144),0,MAX(MIN(AR144-VLOOKUP("Apto en campo: "&amp;$B144,Tabla_Ventajas,3,FALSE)-Tablas!$O291-2*Tablas!$Q291-3*Tablas!$S291,3),1))</f>
        <v>0</v>
      </c>
      <c r="Q144" s="2061"/>
      <c r="R144" s="616">
        <f>IF(ISNA(AT144),0,MAX(MIN(AT144-VLOOKUP("Apto en campo: "&amp;$B144,Tabla_Ventajas,3,FALSE)-Tablas!$O291-2*Tablas!$Q291-3*Tablas!$S291,3),1))</f>
        <v>0</v>
      </c>
      <c r="S144" s="2061"/>
      <c r="T144" s="550">
        <f>IF(J144=0,0,TRUNC(K144/J144,0))+IF(L144=0,0,TRUNC(M144/L144,0))+IF(N144=0,0,TRUNC(O144/N144,0))+IF(P144=0,0,TRUNC(Q144/P144,0))+IF(R144=0,0,TRUNC(S144/R144,0))+IF(Personalización!$E$20="Como Base (no oficial)",AF144,0)</f>
        <v>0</v>
      </c>
      <c r="U144" s="550">
        <f t="shared" si="23"/>
        <v>0</v>
      </c>
      <c r="V144" s="550">
        <f>IF(ISNA(HLOOKUP($E144,Bonos_Cat_Base,2,FALSE)),0,HLOOKUP($E144,Bonos_Cat_Base,2,FALSE))+Tablas!$Z291*Nivel_Total+10*Y144</f>
        <v>0</v>
      </c>
      <c r="W144" s="2060"/>
      <c r="X144" s="2061"/>
      <c r="Y144" s="2060"/>
      <c r="Z144" s="2556"/>
      <c r="AA144" s="558" t="str">
        <f>IF(AND(T144&lt;5,Tablas!G$303=0),"-",T144+U144+V144+Z144+IF(I144="",0,40)+Mod_ATA+AD144+IF(Personalización!$E$20="Como Base (no oficial)",0,AF144))</f>
        <v>-</v>
      </c>
      <c r="AB144" s="1990">
        <f t="shared" si="24"/>
        <v>0</v>
      </c>
      <c r="AC144" s="953"/>
      <c r="AD144" s="2755">
        <f>Tablas!$K$1765+Tablas!$K$1854</f>
        <v>0</v>
      </c>
      <c r="AE144" s="276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1">
        <f>IF(AF$123,IF(OR(Region="",ClaseSocial="",Personalización!$AN$9),0,IF(OR(AND(AI144,AJ144),AND(NOT(AI144),NOT(AJ144))),LEFT(AG144,2)+LEFT(AH144,2),IF(AND(AI144,NOT(AJ144)),LEFT(AH144,2),0))),0)</f>
        <v>0</v>
      </c>
      <c r="AG144" s="2755" t="e">
        <f>HLOOKUP(Region&amp;ClaseSocial,Tabla_RaicesCulturales,Tablas!F160,FALSE)</f>
        <v>#N/A</v>
      </c>
      <c r="AH144" s="2764">
        <f>IF(AND(E144="Historia",Personalización!$E$24="Historia (Local)"),20&amp;" "&amp;Personalización!$E$24,IF(E144=Personalización!$E$23,VLOOKUP(E144,Tablas!$L$136:$M$137,2,FALSE),IF(E144=Personalización!$E$24,VLOOKUP(E144,Tablas!$N$136:$O$137,2,FALSE),0)))</f>
        <v>0</v>
      </c>
      <c r="AI144" s="2764" t="b">
        <f t="shared" ref="AI144:AI157" si="35">OR(ISNUMBER(FIND("(",AG144)),ISNUMBER(FIND("(",AH144)))</f>
        <v>0</v>
      </c>
      <c r="AJ144" s="2764" t="b">
        <f t="shared" ref="AJ144:AJ157" si="36">AND(NOT(I144=""),OR(ISNUMBER(SEARCH(I144,AG144)),ISNUMBER(SEARCH(I144,AH144))))</f>
        <v>0</v>
      </c>
      <c r="AK144" s="2764"/>
      <c r="AL144" s="2759">
        <f t="shared" si="27"/>
        <v>2</v>
      </c>
      <c r="AM144" s="2759"/>
      <c r="AN144" s="2759" t="e">
        <f t="shared" si="28"/>
        <v>#N/A</v>
      </c>
      <c r="AO144" s="2759"/>
      <c r="AP144" s="2759" t="e">
        <f t="shared" si="29"/>
        <v>#N/A</v>
      </c>
      <c r="AQ144" s="1986"/>
      <c r="AR144" s="2759" t="e">
        <f t="shared" si="30"/>
        <v>#N/A</v>
      </c>
      <c r="AS144" s="1986"/>
      <c r="AT144" s="2759" t="e">
        <f t="shared" si="31"/>
        <v>#N/A</v>
      </c>
      <c r="AU144" s="1986"/>
      <c r="AV144" s="1986"/>
    </row>
    <row r="145" spans="1:48" ht="12" customHeight="1" x14ac:dyDescent="0.2">
      <c r="A145" s="31"/>
      <c r="B145" s="925" t="str">
        <f t="shared" si="34"/>
        <v>Intelectuales</v>
      </c>
      <c r="C145" s="3479"/>
      <c r="D145" s="3183"/>
      <c r="E145" s="3431" t="s">
        <v>2639</v>
      </c>
      <c r="F145" s="3432"/>
      <c r="G145" s="3432"/>
      <c r="H145" s="897" t="s">
        <v>1394</v>
      </c>
      <c r="I145" s="1721"/>
      <c r="J145" s="2277">
        <f>IF(ISNA(AL145),0,MAX(MIN(AL145-VLOOKUP("Apto en campo: "&amp;$B145,Tabla_Ventajas,3,FALSE)-Tablas!$O292-2*Tablas!$Q292-3*Tablas!$S292,3),1))</f>
        <v>2</v>
      </c>
      <c r="K145" s="2059"/>
      <c r="L145" s="2277">
        <f>IF(ISNA(AN145),0,MAX(MIN(AN145-VLOOKUP("Apto en campo: "&amp;$B145,Tabla_Ventajas,3,FALSE)-Tablas!$O292-2*Tablas!$Q292-3*Tablas!$S292,3),1))</f>
        <v>0</v>
      </c>
      <c r="M145" s="2059"/>
      <c r="N145" s="2277">
        <f>IF(ISNA(AP145),0,MAX(MIN(AP145-VLOOKUP("Apto en campo: "&amp;$B145,Tabla_Ventajas,3,FALSE)-Tablas!$O292-2*Tablas!$Q292-3*Tablas!$S292,3),1))</f>
        <v>0</v>
      </c>
      <c r="O145" s="2059"/>
      <c r="P145" s="2277">
        <f>IF(ISNA(AR145),0,MAX(MIN(AR145-VLOOKUP("Apto en campo: "&amp;$B145,Tabla_Ventajas,3,FALSE)-Tablas!$O292-2*Tablas!$Q292-3*Tablas!$S292,3),1))</f>
        <v>0</v>
      </c>
      <c r="Q145" s="2059"/>
      <c r="R145" s="2277">
        <f>IF(ISNA(AT145),0,MAX(MIN(AT145-VLOOKUP("Apto en campo: "&amp;$B145,Tabla_Ventajas,3,FALSE)-Tablas!$O292-2*Tablas!$Q292-3*Tablas!$S292,3),1))</f>
        <v>0</v>
      </c>
      <c r="S145" s="2059"/>
      <c r="T145" s="549">
        <f>IF(J145=0,0,TRUNC(K145/J145,0))+IF(L145=0,0,TRUNC(M145/L145,0))+IF(N145=0,0,TRUNC(O145/N145,0))+IF(P145=0,0,TRUNC(Q145/P145,0))+IF(R145=0,0,TRUNC(S145/R145,0))+IF(Personalización!$E$20="Como Base (no oficial)",AF145,0)</f>
        <v>0</v>
      </c>
      <c r="U145" s="549">
        <f t="shared" si="23"/>
        <v>0</v>
      </c>
      <c r="V145" s="549">
        <f>IF(ISNA(HLOOKUP($E145,Bonos_Cat_Base,2,FALSE)),0,HLOOKUP($E145,Bonos_Cat_Base,2,FALSE))+Tablas!$Z292*Nivel_Total+10*Y145</f>
        <v>0</v>
      </c>
      <c r="W145" s="2058"/>
      <c r="X145" s="2059"/>
      <c r="Y145" s="2058"/>
      <c r="Z145" s="2555"/>
      <c r="AA145" s="1474">
        <f>IF(AND(T145&lt;5,Tablas!G$303=0),-30,0)+T145+U145+V145+Z145+IF(I145="",0,40)+Mod_ATA+AD145+IF(Personalización!$E$20="Como Base (no oficial)",0,AF145)</f>
        <v>-30</v>
      </c>
      <c r="AB145" s="1990">
        <f t="shared" si="24"/>
        <v>0</v>
      </c>
      <c r="AC145" s="953"/>
      <c r="AD145" s="2755">
        <f>Tablas!$K$1765</f>
        <v>0</v>
      </c>
      <c r="AE145" s="276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1">
        <f>IF(AF$123,IF(OR(Region="",ClaseSocial="",Personalización!$AN$9),0,IF(OR(AND(AI145,AJ145),AND(NOT(AI145),NOT(AJ145))),LEFT(AG145,2)+LEFT(AH145,2),IF(AND(AI145,NOT(AJ145)),LEFT(AH145,2),0))),0)</f>
        <v>0</v>
      </c>
      <c r="AG145" s="2755" t="e">
        <f>HLOOKUP(Region&amp;ClaseSocial,Tabla_RaicesCulturales,Tablas!F161,FALSE)</f>
        <v>#N/A</v>
      </c>
      <c r="AH145" s="2764">
        <f>IF(AND(E145="Historia",Personalización!$E$24="Historia (Local)"),20&amp;" "&amp;Personalización!$E$24,IF(E145=Personalización!$E$23,VLOOKUP(E145,Tablas!$L$136:$M$137,2,FALSE),IF(E145=Personalización!$E$24,VLOOKUP(E145,Tablas!$N$136:$O$137,2,FALSE),0)))</f>
        <v>0</v>
      </c>
      <c r="AI145" s="2764" t="b">
        <f t="shared" si="35"/>
        <v>0</v>
      </c>
      <c r="AJ145" s="2764" t="b">
        <f t="shared" si="36"/>
        <v>0</v>
      </c>
      <c r="AK145" s="2764"/>
      <c r="AL145" s="2759">
        <f t="shared" si="27"/>
        <v>2</v>
      </c>
      <c r="AM145" s="2759"/>
      <c r="AN145" s="2759" t="e">
        <f t="shared" si="28"/>
        <v>#N/A</v>
      </c>
      <c r="AO145" s="2759"/>
      <c r="AP145" s="2759" t="e">
        <f t="shared" si="29"/>
        <v>#N/A</v>
      </c>
      <c r="AQ145" s="1986"/>
      <c r="AR145" s="2759" t="e">
        <f t="shared" si="30"/>
        <v>#N/A</v>
      </c>
      <c r="AS145" s="1986"/>
      <c r="AT145" s="2759" t="e">
        <f t="shared" si="31"/>
        <v>#N/A</v>
      </c>
      <c r="AU145" s="1986"/>
      <c r="AV145" s="1986"/>
    </row>
    <row r="146" spans="1:48" ht="12" customHeight="1" x14ac:dyDescent="0.2">
      <c r="A146" s="31"/>
      <c r="B146" s="925" t="str">
        <f t="shared" si="34"/>
        <v>Intelectuales</v>
      </c>
      <c r="C146" s="3479"/>
      <c r="D146" s="3183"/>
      <c r="E146" s="3429" t="s">
        <v>1446</v>
      </c>
      <c r="F146" s="3430"/>
      <c r="G146" s="3430"/>
      <c r="H146" s="898" t="s">
        <v>1394</v>
      </c>
      <c r="I146" s="1689"/>
      <c r="J146" s="616">
        <f>IF(ISNA(AL146),0,MAX(MIN(AL146-VLOOKUP("Apto en campo: "&amp;$B146,Tabla_Ventajas,3,FALSE)-Tablas!$O293-2*Tablas!$Q293-3*Tablas!$S293,3),1))</f>
        <v>2</v>
      </c>
      <c r="K146" s="2061"/>
      <c r="L146" s="616">
        <f>IF(ISNA(AN146),0,MAX(MIN(AN146-VLOOKUP("Apto en campo: "&amp;$B146,Tabla_Ventajas,3,FALSE)-Tablas!$O293-2*Tablas!$Q293-3*Tablas!$S293,3),1))</f>
        <v>0</v>
      </c>
      <c r="M146" s="2061"/>
      <c r="N146" s="616">
        <f>IF(ISNA(AP146),0,MAX(MIN(AP146-VLOOKUP("Apto en campo: "&amp;$B146,Tabla_Ventajas,3,FALSE)-Tablas!$O293-2*Tablas!$Q293-3*Tablas!$S293,3),1))</f>
        <v>0</v>
      </c>
      <c r="O146" s="2061"/>
      <c r="P146" s="616">
        <f>IF(ISNA(AR146),0,MAX(MIN(AR146-VLOOKUP("Apto en campo: "&amp;$B146,Tabla_Ventajas,3,FALSE)-Tablas!$O293-2*Tablas!$Q293-3*Tablas!$S293,3),1))</f>
        <v>0</v>
      </c>
      <c r="Q146" s="2061"/>
      <c r="R146" s="616">
        <f>IF(ISNA(AT146),0,MAX(MIN(AT146-VLOOKUP("Apto en campo: "&amp;$B146,Tabla_Ventajas,3,FALSE)-Tablas!$O293-2*Tablas!$Q293-3*Tablas!$S293,3),1))</f>
        <v>0</v>
      </c>
      <c r="S146" s="2061"/>
      <c r="T146" s="550">
        <f>IF(J146=0,0,TRUNC(K146/J146,0))+IF(L146=0,0,TRUNC(M146/L146,0))+IF(N146=0,0,TRUNC(O146/N146,0))+IF(P146=0,0,TRUNC(Q146/P146,0))+IF(R146=0,0,TRUNC(S146/R146,0))+IF(Personalización!$E$20="Como Base (no oficial)",AF146,0)</f>
        <v>0</v>
      </c>
      <c r="U146" s="550">
        <f t="shared" si="23"/>
        <v>0</v>
      </c>
      <c r="V146" s="550">
        <f>IF(ISNA(HLOOKUP($E146,Bonos_Cat_Base,2,FALSE)),0,HLOOKUP($E146,Bonos_Cat_Base,2,FALSE))+Tablas!$Z293*Nivel_Total+10*Y146</f>
        <v>0</v>
      </c>
      <c r="W146" s="2060"/>
      <c r="X146" s="2061"/>
      <c r="Y146" s="2060"/>
      <c r="Z146" s="2556"/>
      <c r="AA146" s="1475">
        <f>IF(AND(T146&lt;5,Tablas!G$303=0),-30,0)+T146+U146+V146+Z146+IF(I146="",0,40)+Mod_ATA+AD146+IF(Personalización!$E$20="Como Base (no oficial)",0,AF146)</f>
        <v>-30</v>
      </c>
      <c r="AB146" s="1990">
        <f t="shared" si="24"/>
        <v>0</v>
      </c>
      <c r="AC146" s="953"/>
      <c r="AD146" s="2755">
        <f>Tablas!$K$1765+Tablas!$K1801</f>
        <v>0</v>
      </c>
      <c r="AE146" s="276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71">
        <f>IF(AF$123,IF(OR(Region="",ClaseSocial="",Personalización!$AN$9),0,IF(OR(AND(AI146,AJ146),AND(NOT(AI146),NOT(AJ146))),LEFT(AG146,2)+LEFT(AH146,2),IF(AND(AI146,NOT(AJ146)),LEFT(AH146,2),0))),0)</f>
        <v>0</v>
      </c>
      <c r="AG146" s="2755" t="e">
        <f>HLOOKUP(Region&amp;ClaseSocial,Tabla_RaicesCulturales,Tablas!F162,FALSE)</f>
        <v>#N/A</v>
      </c>
      <c r="AH146" s="2764">
        <f>IF(AND(E146="Historia",Personalización!$E$24="Historia (Local)"),20&amp;" "&amp;Personalización!$E$24,IF(E146=Personalización!$E$23,VLOOKUP(E146,Tablas!$L$136:$M$137,2,FALSE),IF(E146=Personalización!$E$24,VLOOKUP(E146,Tablas!$N$136:$O$137,2,FALSE),0)))</f>
        <v>0</v>
      </c>
      <c r="AI146" s="2764" t="b">
        <f t="shared" si="35"/>
        <v>0</v>
      </c>
      <c r="AJ146" s="2764" t="b">
        <f t="shared" si="36"/>
        <v>0</v>
      </c>
      <c r="AK146" s="2764"/>
      <c r="AL146" s="2759">
        <f t="shared" si="27"/>
        <v>2</v>
      </c>
      <c r="AM146" s="2759"/>
      <c r="AN146" s="2759" t="e">
        <f t="shared" si="28"/>
        <v>#N/A</v>
      </c>
      <c r="AO146" s="2759"/>
      <c r="AP146" s="2759" t="e">
        <f t="shared" si="29"/>
        <v>#N/A</v>
      </c>
      <c r="AQ146" s="1986"/>
      <c r="AR146" s="2759" t="e">
        <f t="shared" si="30"/>
        <v>#N/A</v>
      </c>
      <c r="AS146" s="1986"/>
      <c r="AT146" s="2759" t="e">
        <f t="shared" si="31"/>
        <v>#N/A</v>
      </c>
      <c r="AU146" s="1986"/>
      <c r="AV146" s="1986"/>
    </row>
    <row r="147" spans="1:48" ht="12" customHeight="1" x14ac:dyDescent="0.2">
      <c r="A147" s="31"/>
      <c r="B147" s="925" t="str">
        <f t="shared" si="34"/>
        <v>Intelectuales</v>
      </c>
      <c r="C147" s="3479"/>
      <c r="D147" s="3183"/>
      <c r="E147" s="3431" t="s">
        <v>1448</v>
      </c>
      <c r="F147" s="3432"/>
      <c r="G147" s="3432"/>
      <c r="H147" s="897" t="s">
        <v>1394</v>
      </c>
      <c r="I147" s="1723"/>
      <c r="J147" s="2277">
        <f>IF(ISNA(AL147),0,MAX(MIN(AL147-VLOOKUP("Apto en campo: "&amp;$B147,Tabla_Ventajas,3,FALSE)-Tablas!$O294-2*Tablas!$Q294-3*Tablas!$S294,3),1))</f>
        <v>2</v>
      </c>
      <c r="K147" s="2059"/>
      <c r="L147" s="2277">
        <f>IF(ISNA(AN147),0,MAX(MIN(AN147-VLOOKUP("Apto en campo: "&amp;$B147,Tabla_Ventajas,3,FALSE)-Tablas!$O294-2*Tablas!$Q294-3*Tablas!$S294,3),1))</f>
        <v>0</v>
      </c>
      <c r="M147" s="2059"/>
      <c r="N147" s="2277">
        <f>IF(ISNA(AP147),0,MAX(MIN(AP147-VLOOKUP("Apto en campo: "&amp;$B147,Tabla_Ventajas,3,FALSE)-Tablas!$O294-2*Tablas!$Q294-3*Tablas!$S294,3),1))</f>
        <v>0</v>
      </c>
      <c r="O147" s="2059"/>
      <c r="P147" s="2277">
        <f>IF(ISNA(AR147),0,MAX(MIN(AR147-VLOOKUP("Apto en campo: "&amp;$B147,Tabla_Ventajas,3,FALSE)-Tablas!$O294-2*Tablas!$Q294-3*Tablas!$S294,3),1))</f>
        <v>0</v>
      </c>
      <c r="Q147" s="2059"/>
      <c r="R147" s="2277">
        <f>IF(ISNA(AT147),0,MAX(MIN(AT147-VLOOKUP("Apto en campo: "&amp;$B147,Tabla_Ventajas,3,FALSE)-Tablas!$O294-2*Tablas!$Q294-3*Tablas!$S294,3),1))</f>
        <v>0</v>
      </c>
      <c r="S147" s="2059"/>
      <c r="T147" s="549">
        <f>IF(J147=0,0,TRUNC(K147/J147,0))+IF(L147=0,0,TRUNC(M147/L147,0))+IF(N147=0,0,TRUNC(O147/N147,0))+IF(P147=0,0,TRUNC(Q147/P147,0))+IF(R147=0,0,TRUNC(S147/R147,0))+IF(Personalización!$E$20="Como Base (no oficial)",AF147,0)</f>
        <v>0</v>
      </c>
      <c r="U147" s="549">
        <f t="shared" si="23"/>
        <v>0</v>
      </c>
      <c r="V147" s="549">
        <f>IF(ISNA(HLOOKUP($E147,Bonos_Cat_Base,2,FALSE)),0,HLOOKUP($E147,Bonos_Cat_Base,2,FALSE))+Tablas!$Z294*Nivel_Total+10*Y147</f>
        <v>0</v>
      </c>
      <c r="W147" s="2058"/>
      <c r="X147" s="2059"/>
      <c r="Y147" s="2058"/>
      <c r="Z147" s="2555"/>
      <c r="AA147" s="557" t="str">
        <f>IF(AND(T147&lt;5,Tablas!G$303=0),"-",T147+U147+V147+Z147+IF(I147="",0,40)+Mod_ATA+AD147+IF(Personalización!$E$20="Como Base (no oficial)",0,AF147))</f>
        <v>-</v>
      </c>
      <c r="AB147" s="1990">
        <f t="shared" si="24"/>
        <v>0</v>
      </c>
      <c r="AC147" s="953"/>
      <c r="AD147" s="2755">
        <f>Tablas!$K$1765</f>
        <v>0</v>
      </c>
      <c r="AE147" s="276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1">
        <f>IF(AF$123,IF(OR(Region="",ClaseSocial="",Personalización!$AN$9),0,IF(OR(AND(AI147,AJ147),AND(NOT(AI147),NOT(AJ147))),LEFT(AG147,2)+LEFT(AH147,2),IF(AND(AI147,NOT(AJ147)),LEFT(AH147,2),0))),0)</f>
        <v>0</v>
      </c>
      <c r="AG147" s="2755" t="e">
        <f>HLOOKUP(Region&amp;ClaseSocial,Tabla_RaicesCulturales,Tablas!F163,FALSE)</f>
        <v>#N/A</v>
      </c>
      <c r="AH147" s="2764">
        <f>IF(AND(E147="Historia",Personalización!$E$24="Historia (Local)"),20&amp;" "&amp;Personalización!$E$24,IF(E147=Personalización!$E$23,VLOOKUP(E147,Tablas!$L$136:$M$137,2,FALSE),IF(E147=Personalización!$E$24,VLOOKUP(E147,Tablas!$N$136:$O$137,2,FALSE),0)))</f>
        <v>0</v>
      </c>
      <c r="AI147" s="2764" t="b">
        <f>OR(ISNUMBER(FIND("(",AG147)),ISNUMBER(FIND("(",AH147)))</f>
        <v>0</v>
      </c>
      <c r="AJ147" s="2764" t="b">
        <f>AND(NOT(I147=""),OR(ISNUMBER(SEARCH(I147,AG147)),ISNUMBER(SEARCH(I147,AH147))))</f>
        <v>0</v>
      </c>
      <c r="AK147" s="2764"/>
      <c r="AL147" s="2759">
        <f t="shared" si="27"/>
        <v>2</v>
      </c>
      <c r="AM147" s="2759"/>
      <c r="AN147" s="2759" t="e">
        <f t="shared" si="28"/>
        <v>#N/A</v>
      </c>
      <c r="AO147" s="2759"/>
      <c r="AP147" s="2759" t="e">
        <f t="shared" si="29"/>
        <v>#N/A</v>
      </c>
      <c r="AQ147" s="1986"/>
      <c r="AR147" s="2759" t="e">
        <f t="shared" si="30"/>
        <v>#N/A</v>
      </c>
      <c r="AS147" s="1986"/>
      <c r="AT147" s="2759" t="e">
        <f t="shared" si="31"/>
        <v>#N/A</v>
      </c>
      <c r="AU147" s="1986"/>
      <c r="AV147" s="1986"/>
    </row>
    <row r="148" spans="1:48" ht="12" customHeight="1" x14ac:dyDescent="0.2">
      <c r="A148" s="31"/>
      <c r="B148" s="925" t="str">
        <f t="shared" si="34"/>
        <v>Intelectuales</v>
      </c>
      <c r="C148" s="3479"/>
      <c r="D148" s="3183"/>
      <c r="E148" s="3429" t="s">
        <v>822</v>
      </c>
      <c r="F148" s="3430"/>
      <c r="G148" s="3430"/>
      <c r="H148" s="898" t="s">
        <v>1394</v>
      </c>
      <c r="I148" s="1689"/>
      <c r="J148" s="616">
        <f>IF(ISNA(AL148),0,MAX(MIN(AL148-VLOOKUP("Apto en campo: "&amp;$B148,Tabla_Ventajas,3,FALSE)-Tablas!$O295-2*Tablas!$Q295-3*Tablas!$S295,3),1))</f>
        <v>2</v>
      </c>
      <c r="K148" s="2061"/>
      <c r="L148" s="616">
        <f>IF(ISNA(AN148),0,MAX(MIN(AN148-VLOOKUP("Apto en campo: "&amp;$B148,Tabla_Ventajas,3,FALSE)-Tablas!$O295-2*Tablas!$Q295-3*Tablas!$S295,3),1))</f>
        <v>0</v>
      </c>
      <c r="M148" s="2061"/>
      <c r="N148" s="616">
        <f>IF(ISNA(AP148),0,MAX(MIN(AP148-VLOOKUP("Apto en campo: "&amp;$B148,Tabla_Ventajas,3,FALSE)-Tablas!$O295-2*Tablas!$Q295-3*Tablas!$S295,3),1))</f>
        <v>0</v>
      </c>
      <c r="O148" s="2061"/>
      <c r="P148" s="616">
        <f>IF(ISNA(AR148),0,MAX(MIN(AR148-VLOOKUP("Apto en campo: "&amp;$B148,Tabla_Ventajas,3,FALSE)-Tablas!$O295-2*Tablas!$Q295-3*Tablas!$S295,3),1))</f>
        <v>0</v>
      </c>
      <c r="Q148" s="2061"/>
      <c r="R148" s="616">
        <f>IF(ISNA(AT148),0,MAX(MIN(AT148-VLOOKUP("Apto en campo: "&amp;$B148,Tabla_Ventajas,3,FALSE)-Tablas!$O295-2*Tablas!$Q295-3*Tablas!$S295,3),1))</f>
        <v>0</v>
      </c>
      <c r="S148" s="2061"/>
      <c r="T148" s="550">
        <f>IF(J148=0,0,TRUNC(K148/J148,0))+IF(L148=0,0,TRUNC(M148/L148,0))+IF(N148=0,0,TRUNC(O148/N148,0))+IF(P148=0,0,TRUNC(Q148/P148,0))+IF(R148=0,0,TRUNC(S148/R148,0))+IF(Personalización!$E$20="Como Base (no oficial)",AF148,0)</f>
        <v>0</v>
      </c>
      <c r="U148" s="550">
        <f t="shared" si="23"/>
        <v>0</v>
      </c>
      <c r="V148" s="550">
        <f>IF(ISNA(HLOOKUP($E148,Bonos_Cat_Base,2,FALSE)),0,HLOOKUP($E148,Bonos_Cat_Base,2,FALSE))+Tablas!$Z295*Nivel_Total+10*Y148</f>
        <v>0</v>
      </c>
      <c r="W148" s="2060"/>
      <c r="X148" s="2061"/>
      <c r="Y148" s="2060"/>
      <c r="Z148" s="2556"/>
      <c r="AA148" s="1475">
        <f>IF(AND(T148&lt;5,Tablas!G$303=0),-30,0)+T148+U148+V148+Z148+IF(I148="",0,40)+Mod_ATA+AD148+IF(Personalización!$E$20="Como Base (no oficial)",0,AF148)</f>
        <v>-30</v>
      </c>
      <c r="AB148" s="1990">
        <f t="shared" si="24"/>
        <v>0</v>
      </c>
      <c r="AC148" s="953"/>
      <c r="AD148" s="2755">
        <f>Tablas!$K$1765</f>
        <v>0</v>
      </c>
      <c r="AE148" s="276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1">
        <f>IF(AF$123,IF(OR(Region="",ClaseSocial="",Personalización!$AN$9),0,IF(OR(AND(AI148,AJ148),AND(NOT(AI148),NOT(AJ148))),LEFT(AG148,2)+LEFT(AH148,2),IF(AND(AI148,NOT(AJ148)),LEFT(AH148,2),0))),0)</f>
        <v>0</v>
      </c>
      <c r="AG148" s="2755" t="e">
        <f>HLOOKUP(Region&amp;ClaseSocial,Tabla_RaicesCulturales,Tablas!F164,FALSE)</f>
        <v>#N/A</v>
      </c>
      <c r="AH148" s="2764">
        <f>IF(AND(E148="Historia",Personalización!$E$24="Historia (Local)"),20&amp;" "&amp;Personalización!$E$24,IF(E148=Personalización!$E$23,VLOOKUP(E148,Tablas!$L$136:$M$137,2,FALSE),IF(E148=Personalización!$E$24,VLOOKUP(E148,Tablas!$N$136:$O$137,2,FALSE),0)))</f>
        <v>0</v>
      </c>
      <c r="AI148" s="2764" t="b">
        <f t="shared" si="35"/>
        <v>0</v>
      </c>
      <c r="AJ148" s="2764" t="b">
        <f t="shared" si="36"/>
        <v>0</v>
      </c>
      <c r="AK148" s="2764"/>
      <c r="AL148" s="2759">
        <f t="shared" si="27"/>
        <v>2</v>
      </c>
      <c r="AM148" s="2759"/>
      <c r="AN148" s="2759" t="e">
        <f t="shared" si="28"/>
        <v>#N/A</v>
      </c>
      <c r="AO148" s="2759"/>
      <c r="AP148" s="2759" t="e">
        <f t="shared" si="29"/>
        <v>#N/A</v>
      </c>
      <c r="AQ148" s="1986"/>
      <c r="AR148" s="2759" t="e">
        <f t="shared" si="30"/>
        <v>#N/A</v>
      </c>
      <c r="AS148" s="1986"/>
      <c r="AT148" s="2759" t="e">
        <f t="shared" si="31"/>
        <v>#N/A</v>
      </c>
      <c r="AU148" s="1986"/>
      <c r="AV148" s="1986"/>
    </row>
    <row r="149" spans="1:48" ht="12" customHeight="1" x14ac:dyDescent="0.2">
      <c r="A149" s="31"/>
      <c r="B149" s="925" t="str">
        <f t="shared" si="34"/>
        <v>Intelectuales</v>
      </c>
      <c r="C149" s="3479"/>
      <c r="D149" s="3183"/>
      <c r="E149" s="3431" t="s">
        <v>1451</v>
      </c>
      <c r="F149" s="3432"/>
      <c r="G149" s="3432"/>
      <c r="H149" s="897" t="s">
        <v>1394</v>
      </c>
      <c r="I149" s="1723"/>
      <c r="J149" s="2277">
        <f>IF(ISNA(AL149),0,MAX(MIN(AL149-VLOOKUP("Apto en campo: "&amp;$B149,Tabla_Ventajas,3,FALSE)-Tablas!$O296-2*Tablas!$Q296-3*Tablas!$S296,3),1))</f>
        <v>2</v>
      </c>
      <c r="K149" s="2059"/>
      <c r="L149" s="2277">
        <f>IF(ISNA(AN149),0,MAX(MIN(AN149-VLOOKUP("Apto en campo: "&amp;$B149,Tabla_Ventajas,3,FALSE)-Tablas!$O296-2*Tablas!$Q296-3*Tablas!$S296,3),1))</f>
        <v>0</v>
      </c>
      <c r="M149" s="2059"/>
      <c r="N149" s="2277">
        <f>IF(ISNA(AP149),0,MAX(MIN(AP149-VLOOKUP("Apto en campo: "&amp;$B149,Tabla_Ventajas,3,FALSE)-Tablas!$O296-2*Tablas!$Q296-3*Tablas!$S296,3),1))</f>
        <v>0</v>
      </c>
      <c r="O149" s="2059"/>
      <c r="P149" s="2277">
        <f>IF(ISNA(AR149),0,MAX(MIN(AR149-VLOOKUP("Apto en campo: "&amp;$B149,Tabla_Ventajas,3,FALSE)-Tablas!$O296-2*Tablas!$Q296-3*Tablas!$S296,3),1))</f>
        <v>0</v>
      </c>
      <c r="Q149" s="2059"/>
      <c r="R149" s="2277">
        <f>IF(ISNA(AT149),0,MAX(MIN(AT149-VLOOKUP("Apto en campo: "&amp;$B149,Tabla_Ventajas,3,FALSE)-Tablas!$O296-2*Tablas!$Q296-3*Tablas!$S296,3),1))</f>
        <v>0</v>
      </c>
      <c r="S149" s="2059"/>
      <c r="T149" s="549">
        <f>IF(J149=0,0,TRUNC(K149/J149,0))+IF(L149=0,0,TRUNC(M149/L149,0))+IF(N149=0,0,TRUNC(O149/N149,0))+IF(P149=0,0,TRUNC(Q149/P149,0))+IF(R149=0,0,TRUNC(S149/R149,0))+IF(Personalización!$E$20="Como Base (no oficial)",AF149,0)</f>
        <v>0</v>
      </c>
      <c r="U149" s="549">
        <f t="shared" si="23"/>
        <v>0</v>
      </c>
      <c r="V149" s="549">
        <f>IF(ISNA(HLOOKUP($E149,Bonos_Cat_Base,2,FALSE)),0,HLOOKUP($E149,Bonos_Cat_Base,2,FALSE))+Tablas!$Z296*Nivel_Total+10*Y149</f>
        <v>0</v>
      </c>
      <c r="W149" s="2058"/>
      <c r="X149" s="2059"/>
      <c r="Y149" s="2058"/>
      <c r="Z149" s="2555"/>
      <c r="AA149" s="557" t="str">
        <f>IF(AND(T149&lt;5,Tablas!G$303=0),"-",T149+U149+V149+Z149+IF(I149="",0,40)+Mod_ATA+AD149+IF(Personalización!$E$20="Como Base (no oficial)",0,AF149))</f>
        <v>-</v>
      </c>
      <c r="AB149" s="1990">
        <f t="shared" si="24"/>
        <v>0</v>
      </c>
      <c r="AC149" s="953"/>
      <c r="AD149" s="2755">
        <f>Tablas!$K$1765</f>
        <v>0</v>
      </c>
      <c r="AE149" s="276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1">
        <f>IF(AF$123,IF(OR(Region="",ClaseSocial="",Personalización!$AN$9),0,IF(OR(AND(AI149,AJ149),AND(NOT(AI149),NOT(AJ149))),LEFT(AG149,2)+LEFT(AH149,2),IF(AND(AI149,NOT(AJ149)),LEFT(AH149,2),0))),0)</f>
        <v>0</v>
      </c>
      <c r="AG149" s="2755" t="e">
        <f>HLOOKUP(Region&amp;ClaseSocial,Tabla_RaicesCulturales,Tablas!F165,FALSE)</f>
        <v>#N/A</v>
      </c>
      <c r="AH149" s="2764">
        <f>IF(AND(E149="Historia",Personalización!$E$24="Historia (Local)"),20&amp;" "&amp;Personalización!$E$24,IF(E149=Personalización!$E$23,VLOOKUP(E149,Tablas!$L$136:$M$137,2,FALSE),IF(E149=Personalización!$E$24,VLOOKUP(E149,Tablas!$N$136:$O$137,2,FALSE),0)))</f>
        <v>0</v>
      </c>
      <c r="AI149" s="2764" t="b">
        <f t="shared" si="35"/>
        <v>0</v>
      </c>
      <c r="AJ149" s="2764" t="b">
        <f t="shared" si="36"/>
        <v>0</v>
      </c>
      <c r="AK149" s="2764"/>
      <c r="AL149" s="2759">
        <f t="shared" si="27"/>
        <v>2</v>
      </c>
      <c r="AM149" s="2759"/>
      <c r="AN149" s="2759" t="e">
        <f t="shared" si="28"/>
        <v>#N/A</v>
      </c>
      <c r="AO149" s="2759"/>
      <c r="AP149" s="2759" t="e">
        <f t="shared" si="29"/>
        <v>#N/A</v>
      </c>
      <c r="AQ149" s="1986"/>
      <c r="AR149" s="2759" t="e">
        <f t="shared" si="30"/>
        <v>#N/A</v>
      </c>
      <c r="AS149" s="1986"/>
      <c r="AT149" s="2759" t="e">
        <f t="shared" si="31"/>
        <v>#N/A</v>
      </c>
      <c r="AU149" s="1986"/>
      <c r="AV149" s="1986"/>
    </row>
    <row r="150" spans="1:48" ht="12" customHeight="1" x14ac:dyDescent="0.2">
      <c r="A150" s="31"/>
      <c r="B150" s="925" t="str">
        <f t="shared" si="34"/>
        <v>Intelectuales</v>
      </c>
      <c r="C150" s="3479"/>
      <c r="D150" s="3183"/>
      <c r="E150" s="3429" t="s">
        <v>1452</v>
      </c>
      <c r="F150" s="3430"/>
      <c r="G150" s="3430"/>
      <c r="H150" s="898" t="s">
        <v>1394</v>
      </c>
      <c r="I150" s="1689"/>
      <c r="J150" s="616">
        <f>IF(ISNA(AL150),0,MAX(MIN(AL150-VLOOKUP("Apto en campo: "&amp;$B150,Tabla_Ventajas,3,FALSE)-Tablas!$O297-2*Tablas!$Q297-3*Tablas!$S297,3),1))</f>
        <v>2</v>
      </c>
      <c r="K150" s="2061"/>
      <c r="L150" s="616">
        <f>IF(ISNA(AN150),0,MAX(MIN(AN150-VLOOKUP("Apto en campo: "&amp;$B150,Tabla_Ventajas,3,FALSE)-Tablas!$O297-2*Tablas!$Q297-3*Tablas!$S297,3),1))</f>
        <v>0</v>
      </c>
      <c r="M150" s="2061"/>
      <c r="N150" s="616">
        <f>IF(ISNA(AP150),0,MAX(MIN(AP150-VLOOKUP("Apto en campo: "&amp;$B150,Tabla_Ventajas,3,FALSE)-Tablas!$O297-2*Tablas!$Q297-3*Tablas!$S297,3),1))</f>
        <v>0</v>
      </c>
      <c r="O150" s="2061"/>
      <c r="P150" s="616">
        <f>IF(ISNA(AR150),0,MAX(MIN(AR150-VLOOKUP("Apto en campo: "&amp;$B150,Tabla_Ventajas,3,FALSE)-Tablas!$O297-2*Tablas!$Q297-3*Tablas!$S297,3),1))</f>
        <v>0</v>
      </c>
      <c r="Q150" s="2061"/>
      <c r="R150" s="616">
        <f>IF(ISNA(AT150),0,MAX(MIN(AT150-VLOOKUP("Apto en campo: "&amp;$B150,Tabla_Ventajas,3,FALSE)-Tablas!$O297-2*Tablas!$Q297-3*Tablas!$S297,3),1))</f>
        <v>0</v>
      </c>
      <c r="S150" s="2061"/>
      <c r="T150" s="550">
        <f>IF(J150=0,0,TRUNC(K150/J150,0))+IF(L150=0,0,TRUNC(M150/L150,0))+IF(N150=0,0,TRUNC(O150/N150,0))+IF(P150=0,0,TRUNC(Q150/P150,0))+IF(R150=0,0,TRUNC(S150/R150,0))+IF(Personalización!$E$20="Como Base (no oficial)",AF150,0)</f>
        <v>0</v>
      </c>
      <c r="U150" s="550">
        <f t="shared" si="23"/>
        <v>0</v>
      </c>
      <c r="V150" s="550">
        <f>IF(ISNA(HLOOKUP($E150,Bonos_Cat_Base,2,FALSE)),0,HLOOKUP($E150,Bonos_Cat_Base,2,FALSE))+Tablas!$Z297*Nivel_Total+10*Y150</f>
        <v>0</v>
      </c>
      <c r="W150" s="2060"/>
      <c r="X150" s="2061"/>
      <c r="Y150" s="2060"/>
      <c r="Z150" s="2556"/>
      <c r="AA150" s="1475">
        <f>IF(AND(T150&lt;5,Tablas!G$303=0),-30,0)+T150+U150+V150+Z150+IF(I150="",0,40)+Mod_ATA+AD150+IF(Personalización!$E$20="Como Base (no oficial)",0,AF150)</f>
        <v>-30</v>
      </c>
      <c r="AB150" s="1990">
        <f t="shared" si="24"/>
        <v>0</v>
      </c>
      <c r="AC150" s="953"/>
      <c r="AD150" s="2755">
        <f>Tablas!$K$1765</f>
        <v>0</v>
      </c>
      <c r="AE150" s="276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1">
        <f>IF(AF$123,IF(OR(Region="",ClaseSocial="",Personalización!$AN$9),0,IF(OR(AND(AI150,AJ150),AND(NOT(AI150),NOT(AJ150))),LEFT(AG150,2)+LEFT(AH150,2),IF(AND(AI150,NOT(AJ150)),LEFT(AH150,2),0))),0)</f>
        <v>0</v>
      </c>
      <c r="AG150" s="2755" t="e">
        <f>HLOOKUP(Region&amp;ClaseSocial,Tabla_RaicesCulturales,Tablas!F166,FALSE)</f>
        <v>#N/A</v>
      </c>
      <c r="AH150" s="2764">
        <f>IF(AND(E150="Historia",Personalización!$E$24="Historia (Local)"),20&amp;" "&amp;Personalización!$E$24,IF(E150=Personalización!$E$23,VLOOKUP(E150,Tablas!$L$136:$M$137,2,FALSE),IF(E150=Personalización!$E$24,VLOOKUP(E150,Tablas!$N$136:$O$137,2,FALSE),0)))</f>
        <v>0</v>
      </c>
      <c r="AI150" s="2764" t="b">
        <f t="shared" si="35"/>
        <v>0</v>
      </c>
      <c r="AJ150" s="2764" t="b">
        <f t="shared" si="36"/>
        <v>0</v>
      </c>
      <c r="AK150" s="2764"/>
      <c r="AL150" s="2759">
        <f t="shared" si="27"/>
        <v>2</v>
      </c>
      <c r="AM150" s="2759"/>
      <c r="AN150" s="2759" t="e">
        <f t="shared" si="28"/>
        <v>#N/A</v>
      </c>
      <c r="AO150" s="2759"/>
      <c r="AP150" s="2759" t="e">
        <f t="shared" si="29"/>
        <v>#N/A</v>
      </c>
      <c r="AQ150" s="1986"/>
      <c r="AR150" s="2759" t="e">
        <f t="shared" si="30"/>
        <v>#N/A</v>
      </c>
      <c r="AS150" s="1986"/>
      <c r="AT150" s="2759" t="e">
        <f t="shared" si="31"/>
        <v>#N/A</v>
      </c>
      <c r="AU150" s="1986"/>
      <c r="AV150" s="1986"/>
    </row>
    <row r="151" spans="1:48" ht="12" customHeight="1" x14ac:dyDescent="0.2">
      <c r="A151" s="31"/>
      <c r="B151" s="925" t="str">
        <f t="shared" si="34"/>
        <v>Intelectuales</v>
      </c>
      <c r="C151" s="3479"/>
      <c r="D151" s="3183"/>
      <c r="E151" s="3431" t="s">
        <v>1453</v>
      </c>
      <c r="F151" s="3432"/>
      <c r="G151" s="3432"/>
      <c r="H151" s="897" t="s">
        <v>1394</v>
      </c>
      <c r="I151" s="1721"/>
      <c r="J151" s="2277">
        <f>IF(ISNA(AL151),0,MAX(MIN(AL151-VLOOKUP("Apto en campo: "&amp;$B151,Tabla_Ventajas,3,FALSE)-Tablas!$O298-2*Tablas!$Q298-3*Tablas!$S298,3),1))</f>
        <v>2</v>
      </c>
      <c r="K151" s="2059"/>
      <c r="L151" s="2277">
        <f>IF(ISNA(AN151),0,MAX(MIN(AN151-VLOOKUP("Apto en campo: "&amp;$B151,Tabla_Ventajas,3,FALSE)-Tablas!$O298-2*Tablas!$Q298-3*Tablas!$S298,3),1))</f>
        <v>0</v>
      </c>
      <c r="M151" s="2059"/>
      <c r="N151" s="2277">
        <f>IF(ISNA(AP151),0,MAX(MIN(AP151-VLOOKUP("Apto en campo: "&amp;$B151,Tabla_Ventajas,3,FALSE)-Tablas!$O298-2*Tablas!$Q298-3*Tablas!$S298,3),1))</f>
        <v>0</v>
      </c>
      <c r="O151" s="2059"/>
      <c r="P151" s="2277">
        <f>IF(ISNA(AR151),0,MAX(MIN(AR151-VLOOKUP("Apto en campo: "&amp;$B151,Tabla_Ventajas,3,FALSE)-Tablas!$O298-2*Tablas!$Q298-3*Tablas!$S298,3),1))</f>
        <v>0</v>
      </c>
      <c r="Q151" s="2059"/>
      <c r="R151" s="2277">
        <f>IF(ISNA(AT151),0,MAX(MIN(AT151-VLOOKUP("Apto en campo: "&amp;$B151,Tabla_Ventajas,3,FALSE)-Tablas!$O298-2*Tablas!$Q298-3*Tablas!$S298,3),1))</f>
        <v>0</v>
      </c>
      <c r="S151" s="2059"/>
      <c r="T151" s="549">
        <f>IF(J151=0,0,TRUNC(K151/J151,0))+IF(L151=0,0,TRUNC(M151/L151,0))+IF(N151=0,0,TRUNC(O151/N151,0))+IF(P151=0,0,TRUNC(Q151/P151,0))+IF(R151=0,0,TRUNC(S151/R151,0))+IF(Personalización!$E$20="Como Base (no oficial)",AF151,0)</f>
        <v>0</v>
      </c>
      <c r="U151" s="549">
        <f t="shared" si="23"/>
        <v>0</v>
      </c>
      <c r="V151" s="549">
        <f>IF(ISNA(HLOOKUP($E151,Bonos_Cat_Base,2,FALSE)),0,HLOOKUP($E151,Bonos_Cat_Base,2,FALSE))+Tablas!$Z298*Nivel_Total+10*Y151</f>
        <v>0</v>
      </c>
      <c r="W151" s="2058"/>
      <c r="X151" s="2059"/>
      <c r="Y151" s="2058"/>
      <c r="Z151" s="2555"/>
      <c r="AA151" s="1474">
        <f>IF(AND(T151&lt;5,Tablas!G$303=0),-30,0)+T151+U151+V151+Z151+IF(I151="",0,40)+Mod_ATA+AD151+IF(Personalización!$E$20="Como Base (no oficial)",0,AF151)</f>
        <v>-30</v>
      </c>
      <c r="AB151" s="1990">
        <f t="shared" si="24"/>
        <v>0</v>
      </c>
      <c r="AC151" s="953"/>
      <c r="AD151" s="2755">
        <f>Tablas!$K$1765</f>
        <v>0</v>
      </c>
      <c r="AE151" s="276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1">
        <f>IF(AF$123,IF(OR(Region="",ClaseSocial="",Personalización!$AN$9),0,IF(OR(AND(AI151,AJ151),AND(NOT(AI151),NOT(AJ151))),LEFT(AG151,2)+LEFT(AH151,2),IF(AND(AI151,NOT(AJ151)),LEFT(AH151,2),0))),0)</f>
        <v>0</v>
      </c>
      <c r="AG151" s="2755" t="e">
        <f>HLOOKUP(Region&amp;ClaseSocial,Tabla_RaicesCulturales,Tablas!F167,FALSE)</f>
        <v>#N/A</v>
      </c>
      <c r="AH151" s="2764">
        <f>IF(AND(E151="Historia",Personalización!$E$24="Historia (Local)"),20&amp;" "&amp;Personalización!$E$24,IF(E151=Personalización!$E$23,VLOOKUP(E151,Tablas!$L$136:$M$137,2,FALSE),IF(E151=Personalización!$E$24,VLOOKUP(E151,Tablas!$N$136:$O$137,2,FALSE),0)))</f>
        <v>0</v>
      </c>
      <c r="AI151" s="2764" t="b">
        <f t="shared" si="35"/>
        <v>0</v>
      </c>
      <c r="AJ151" s="2764" t="b">
        <f t="shared" si="36"/>
        <v>0</v>
      </c>
      <c r="AK151" s="2764"/>
      <c r="AL151" s="2759">
        <f t="shared" si="27"/>
        <v>2</v>
      </c>
      <c r="AM151" s="2759"/>
      <c r="AN151" s="2759" t="e">
        <f t="shared" si="28"/>
        <v>#N/A</v>
      </c>
      <c r="AO151" s="2759"/>
      <c r="AP151" s="2759" t="e">
        <f t="shared" si="29"/>
        <v>#N/A</v>
      </c>
      <c r="AQ151" s="1986"/>
      <c r="AR151" s="2759" t="e">
        <f t="shared" si="30"/>
        <v>#N/A</v>
      </c>
      <c r="AS151" s="1986"/>
      <c r="AT151" s="2759" t="e">
        <f t="shared" si="31"/>
        <v>#N/A</v>
      </c>
      <c r="AU151" s="1986"/>
      <c r="AV151" s="1986"/>
    </row>
    <row r="152" spans="1:48" ht="12" customHeight="1" x14ac:dyDescent="0.2">
      <c r="A152" s="31"/>
      <c r="B152" s="925" t="str">
        <f t="shared" si="34"/>
        <v>Intelectuales</v>
      </c>
      <c r="C152" s="3479"/>
      <c r="D152" s="3183"/>
      <c r="E152" s="3429" t="s">
        <v>1454</v>
      </c>
      <c r="F152" s="3430"/>
      <c r="G152" s="3430"/>
      <c r="H152" s="898" t="s">
        <v>1394</v>
      </c>
      <c r="I152" s="1690"/>
      <c r="J152" s="616">
        <f>IF(ISNA(AL152),0,MAX(MIN(AL152-VLOOKUP("Apto en campo: "&amp;$B152,Tabla_Ventajas,3,FALSE)-Tablas!$O299-2*Tablas!$Q299-3*Tablas!$S299,3),1))</f>
        <v>2</v>
      </c>
      <c r="K152" s="2061"/>
      <c r="L152" s="616">
        <f>IF(ISNA(AN152),0,MAX(MIN(AN152-VLOOKUP("Apto en campo: "&amp;$B152,Tabla_Ventajas,3,FALSE)-Tablas!$O299-2*Tablas!$Q299-3*Tablas!$S299,3),1))</f>
        <v>0</v>
      </c>
      <c r="M152" s="2061"/>
      <c r="N152" s="616">
        <f>IF(ISNA(AP152),0,MAX(MIN(AP152-VLOOKUP("Apto en campo: "&amp;$B152,Tabla_Ventajas,3,FALSE)-Tablas!$O299-2*Tablas!$Q299-3*Tablas!$S299,3),1))</f>
        <v>0</v>
      </c>
      <c r="O152" s="2061"/>
      <c r="P152" s="616">
        <f>IF(ISNA(AR152),0,MAX(MIN(AR152-VLOOKUP("Apto en campo: "&amp;$B152,Tabla_Ventajas,3,FALSE)-Tablas!$O299-2*Tablas!$Q299-3*Tablas!$S299,3),1))</f>
        <v>0</v>
      </c>
      <c r="Q152" s="2061"/>
      <c r="R152" s="616">
        <f>IF(ISNA(AT152),0,MAX(MIN(AT152-VLOOKUP("Apto en campo: "&amp;$B152,Tabla_Ventajas,3,FALSE)-Tablas!$O299-2*Tablas!$Q299-3*Tablas!$S299,3),1))</f>
        <v>0</v>
      </c>
      <c r="S152" s="2061"/>
      <c r="T152" s="550">
        <f>IF(J152=0,0,TRUNC(K152/J152,0))+IF(L152=0,0,TRUNC(M152/L152,0))+IF(N152=0,0,TRUNC(O152/N152,0))+IF(P152=0,0,TRUNC(Q152/P152,0))+IF(R152=0,0,TRUNC(S152/R152,0))+IF(Personalización!$E$20="Como Base (no oficial)",AF152,0)</f>
        <v>0</v>
      </c>
      <c r="U152" s="550">
        <f t="shared" si="23"/>
        <v>0</v>
      </c>
      <c r="V152" s="550">
        <f>IF(ISNA(HLOOKUP($E152,Bonos_Cat_Base,2,FALSE)),0,HLOOKUP($E152,Bonos_Cat_Base,2,FALSE))+Tablas!$Z299*Nivel_Total+10*Y152</f>
        <v>0</v>
      </c>
      <c r="W152" s="2060"/>
      <c r="X152" s="2061"/>
      <c r="Y152" s="2060"/>
      <c r="Z152" s="2556"/>
      <c r="AA152" s="1475">
        <f>IF(AND(T152&lt;5,Tablas!G$303=0),-30,0)+T152+U152+V152+Z152+IF(I152="",0,40)+Mod_ATA+AD152+IF(Personalización!$E$20="Como Base (no oficial)",0,AF152)</f>
        <v>-30</v>
      </c>
      <c r="AB152" s="1990">
        <f t="shared" si="24"/>
        <v>0</v>
      </c>
      <c r="AC152" s="953"/>
      <c r="AD152" s="2755">
        <f>Tablas!$K$1765+Tablas!$K$1815</f>
        <v>0</v>
      </c>
      <c r="AE152" s="276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71">
        <f>IF(AF$123,IF(OR(Region="",ClaseSocial="",Personalización!$AN$9),0,IF(OR(AND(AI152,AJ152),AND(NOT(AI152),NOT(AJ152))),LEFT(AG152,2)+LEFT(AH152,2),IF(AND(AI152,NOT(AJ152)),LEFT(AH152,2),0))),0)</f>
        <v>0</v>
      </c>
      <c r="AG152" s="2755" t="e">
        <f>HLOOKUP(Region&amp;ClaseSocial,Tabla_RaicesCulturales,Tablas!F168,FALSE)</f>
        <v>#N/A</v>
      </c>
      <c r="AH152" s="2764">
        <f>IF(AND(E152="Historia",Personalización!$E$24="Historia (Local)"),20&amp;" "&amp;Personalización!$E$24,IF(E152=Personalización!$E$23,VLOOKUP(E152,Tablas!$L$136:$M$137,2,FALSE),IF(E152=Personalización!$E$24,VLOOKUP(E152,Tablas!$N$136:$O$137,2,FALSE),0)))</f>
        <v>0</v>
      </c>
      <c r="AI152" s="2764" t="b">
        <f t="shared" si="35"/>
        <v>0</v>
      </c>
      <c r="AJ152" s="2764" t="b">
        <f t="shared" si="36"/>
        <v>0</v>
      </c>
      <c r="AK152" s="2764"/>
      <c r="AL152" s="2759">
        <f t="shared" si="27"/>
        <v>2</v>
      </c>
      <c r="AM152" s="2759"/>
      <c r="AN152" s="2759" t="e">
        <f t="shared" si="28"/>
        <v>#N/A</v>
      </c>
      <c r="AO152" s="2759"/>
      <c r="AP152" s="2759" t="e">
        <f t="shared" si="29"/>
        <v>#N/A</v>
      </c>
      <c r="AQ152" s="1986"/>
      <c r="AR152" s="2759" t="e">
        <f t="shared" si="30"/>
        <v>#N/A</v>
      </c>
      <c r="AS152" s="1986"/>
      <c r="AT152" s="2759" t="e">
        <f t="shared" si="31"/>
        <v>#N/A</v>
      </c>
      <c r="AU152" s="1986"/>
      <c r="AV152" s="1986"/>
    </row>
    <row r="153" spans="1:48" ht="12" customHeight="1" x14ac:dyDescent="0.2">
      <c r="A153" s="31"/>
      <c r="B153" s="925" t="str">
        <f t="shared" si="34"/>
        <v>Intelectuales</v>
      </c>
      <c r="C153" s="3479"/>
      <c r="D153" s="3183"/>
      <c r="E153" s="3431" t="s">
        <v>1455</v>
      </c>
      <c r="F153" s="3432"/>
      <c r="G153" s="3432"/>
      <c r="H153" s="897" t="s">
        <v>1394</v>
      </c>
      <c r="I153" s="1721"/>
      <c r="J153" s="2277">
        <f>IF(ISNA(AL153),0,MAX(MIN(AL153-VLOOKUP("Apto en campo: "&amp;$B153,Tabla_Ventajas,3,FALSE)-Tablas!$O300-2*Tablas!$Q300-3*Tablas!$S300,3),1))</f>
        <v>2</v>
      </c>
      <c r="K153" s="2059"/>
      <c r="L153" s="2277">
        <f>IF(ISNA(AN153),0,MAX(MIN(AN153-VLOOKUP("Apto en campo: "&amp;$B153,Tabla_Ventajas,3,FALSE)-Tablas!$O300-2*Tablas!$Q300-3*Tablas!$S300,3),1))</f>
        <v>0</v>
      </c>
      <c r="M153" s="2059"/>
      <c r="N153" s="2277">
        <f>IF(ISNA(AP153),0,MAX(MIN(AP153-VLOOKUP("Apto en campo: "&amp;$B153,Tabla_Ventajas,3,FALSE)-Tablas!$O300-2*Tablas!$Q300-3*Tablas!$S300,3),1))</f>
        <v>0</v>
      </c>
      <c r="O153" s="2059"/>
      <c r="P153" s="2277">
        <f>IF(ISNA(AR153),0,MAX(MIN(AR153-VLOOKUP("Apto en campo: "&amp;$B153,Tabla_Ventajas,3,FALSE)-Tablas!$O300-2*Tablas!$Q300-3*Tablas!$S300,3),1))</f>
        <v>0</v>
      </c>
      <c r="Q153" s="2059"/>
      <c r="R153" s="2277">
        <f>IF(ISNA(AT153),0,MAX(MIN(AT153-VLOOKUP("Apto en campo: "&amp;$B153,Tabla_Ventajas,3,FALSE)-Tablas!$O300-2*Tablas!$Q300-3*Tablas!$S300,3),1))</f>
        <v>0</v>
      </c>
      <c r="S153" s="2059"/>
      <c r="T153" s="549">
        <f>IF(J153=0,0,TRUNC(K153/J153,0))+IF(L153=0,0,TRUNC(M153/L153,0))+IF(N153=0,0,TRUNC(O153/N153,0))+IF(P153=0,0,TRUNC(Q153/P153,0))+IF(R153=0,0,TRUNC(S153/R153,0))+IF(Personalización!$E$20="Como Base (no oficial)",AF153,0)</f>
        <v>0</v>
      </c>
      <c r="U153" s="549">
        <f t="shared" si="23"/>
        <v>0</v>
      </c>
      <c r="V153" s="549">
        <f>IF(ISNA(HLOOKUP($E153,Bonos_Cat_Base,2,FALSE)),0,HLOOKUP($E153,Bonos_Cat_Base,2,FALSE))+Tablas!$Z300*Nivel_Total+10*Y153</f>
        <v>0</v>
      </c>
      <c r="W153" s="2058"/>
      <c r="X153" s="2059"/>
      <c r="Y153" s="2058"/>
      <c r="Z153" s="2555"/>
      <c r="AA153" s="557" t="str">
        <f>IF(AND(T153&lt;5,Tablas!G$303=0),"-",T153+U153+V153+Z153+IF(I153="",0,40)+Mod_ATA+AD153+IF(Personalización!$E$20="Como Base (no oficial)",0,AF153))</f>
        <v>-</v>
      </c>
      <c r="AB153" s="1990">
        <f t="shared" si="24"/>
        <v>0</v>
      </c>
      <c r="AC153" s="953"/>
      <c r="AD153" s="2755">
        <f>Tablas!$K$1765</f>
        <v>0</v>
      </c>
      <c r="AE153" s="276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1">
        <f>IF(AF$123,IF(OR(Region="",ClaseSocial="",Personalización!$AN$9),0,IF(OR(AND(AI153,AJ153),AND(NOT(AI153),NOT(AJ153))),LEFT(AG153,2)+LEFT(AH153,2),IF(AND(AI153,NOT(AJ153)),LEFT(AH153,2),0))),0)</f>
        <v>0</v>
      </c>
      <c r="AG153" s="2755" t="e">
        <f>HLOOKUP(Region&amp;ClaseSocial,Tabla_RaicesCulturales,Tablas!F169,FALSE)</f>
        <v>#N/A</v>
      </c>
      <c r="AH153" s="2764">
        <f>IF(AND(E153="Historia",Personalización!$E$24="Historia (Local)"),20&amp;" "&amp;Personalización!$E$24,IF(E153=Personalización!$E$23,VLOOKUP(E153,Tablas!$L$136:$M$137,2,FALSE),IF(E153=Personalización!$E$24,VLOOKUP(E153,Tablas!$N$136:$O$137,2,FALSE),0)))</f>
        <v>0</v>
      </c>
      <c r="AI153" s="2764" t="b">
        <f t="shared" si="35"/>
        <v>0</v>
      </c>
      <c r="AJ153" s="2764" t="b">
        <f t="shared" si="36"/>
        <v>0</v>
      </c>
      <c r="AK153" s="2764"/>
      <c r="AL153" s="2759">
        <f t="shared" si="27"/>
        <v>2</v>
      </c>
      <c r="AM153" s="2759"/>
      <c r="AN153" s="2759" t="e">
        <f t="shared" si="28"/>
        <v>#N/A</v>
      </c>
      <c r="AO153" s="2759"/>
      <c r="AP153" s="2759" t="e">
        <f t="shared" si="29"/>
        <v>#N/A</v>
      </c>
      <c r="AQ153" s="1986"/>
      <c r="AR153" s="2759" t="e">
        <f t="shared" si="30"/>
        <v>#N/A</v>
      </c>
      <c r="AS153" s="1986"/>
      <c r="AT153" s="2759" t="e">
        <f t="shared" si="31"/>
        <v>#N/A</v>
      </c>
      <c r="AU153" s="1986"/>
      <c r="AV153" s="1986"/>
    </row>
    <row r="154" spans="1:48" ht="12" customHeight="1" x14ac:dyDescent="0.2">
      <c r="A154" s="31"/>
      <c r="B154" s="925" t="str">
        <f t="shared" si="34"/>
        <v>Intelectuales</v>
      </c>
      <c r="C154" s="3479"/>
      <c r="D154" s="3184"/>
      <c r="E154" s="3434" t="s">
        <v>1456</v>
      </c>
      <c r="F154" s="3435"/>
      <c r="G154" s="3435"/>
      <c r="H154" s="901" t="s">
        <v>1399</v>
      </c>
      <c r="I154" s="1691"/>
      <c r="J154" s="2275">
        <f>IF(ISNA(AL154),0,MAX(MIN(AL154-VLOOKUP("Apto en campo: "&amp;$B154,Tabla_Ventajas,3,FALSE)-Tablas!$O301-2*Tablas!$Q301-3*Tablas!$S301,3),1))</f>
        <v>2</v>
      </c>
      <c r="K154" s="2067"/>
      <c r="L154" s="2275">
        <f>IF(ISNA(AN154),0,MAX(MIN(AN154-VLOOKUP("Apto en campo: "&amp;$B154,Tabla_Ventajas,3,FALSE)-Tablas!$O301-2*Tablas!$Q301-3*Tablas!$S301,3),1))</f>
        <v>0</v>
      </c>
      <c r="M154" s="2067"/>
      <c r="N154" s="2275">
        <f>IF(ISNA(AP154),0,MAX(MIN(AP154-VLOOKUP("Apto en campo: "&amp;$B154,Tabla_Ventajas,3,FALSE)-Tablas!$O301-2*Tablas!$Q301-3*Tablas!$S301,3),1))</f>
        <v>0</v>
      </c>
      <c r="O154" s="2067"/>
      <c r="P154" s="2275">
        <f>IF(ISNA(AR154),0,MAX(MIN(AR154-VLOOKUP("Apto en campo: "&amp;$B154,Tabla_Ventajas,3,FALSE)-Tablas!$O301-2*Tablas!$Q301-3*Tablas!$S301,3),1))</f>
        <v>0</v>
      </c>
      <c r="Q154" s="2067"/>
      <c r="R154" s="2275">
        <f>IF(ISNA(AT154),0,MAX(MIN(AT154-VLOOKUP("Apto en campo: "&amp;$B154,Tabla_Ventajas,3,FALSE)-Tablas!$O301-2*Tablas!$Q301-3*Tablas!$S301,3),1))</f>
        <v>0</v>
      </c>
      <c r="S154" s="2067"/>
      <c r="T154" s="551">
        <f>IF(J154=0,0,TRUNC(K154/J154,0))+IF(L154=0,0,TRUNC(M154/L154,0))+IF(N154=0,0,TRUNC(O154/N154,0))+IF(P154=0,0,TRUNC(Q154/P154,0))+IF(R154=0,0,TRUNC(S154/R154,0))+IF(Personalización!$E$20="Como Base (no oficial)",AF154,0)</f>
        <v>0</v>
      </c>
      <c r="U154" s="551">
        <f t="shared" si="23"/>
        <v>15</v>
      </c>
      <c r="V154" s="551">
        <f>IF(ISNA(HLOOKUP($E154,Bonos_Cat_Base,2,FALSE)),0,HLOOKUP($E154,Bonos_Cat_Base,2,FALSE))+Tablas!$Z301*Nivel_Total+10*Y154</f>
        <v>0</v>
      </c>
      <c r="W154" s="2066"/>
      <c r="X154" s="2067"/>
      <c r="Y154" s="2066"/>
      <c r="Z154" s="2559"/>
      <c r="AA154" s="2708" t="str">
        <f>IF(AND(T154&lt;5,Tablas!G$303=0),"-",T154+U154+V154+Z154+IF(I154="",0,40)+Mod_ATA+AD154+IF(Personalización!$E$20="Como Base (no oficial)",0,AF154))</f>
        <v>-</v>
      </c>
      <c r="AB154" s="1990">
        <f t="shared" si="24"/>
        <v>0</v>
      </c>
      <c r="AC154" s="953"/>
      <c r="AD154" s="2755">
        <f>Tablas!$K$1765</f>
        <v>0</v>
      </c>
      <c r="AE154" s="276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71">
        <f>IF(AF$123,IF(OR(Region="",ClaseSocial="",Personalización!$AN$9),0,IF(OR(AND(AI154,AJ154),AND(NOT(AI154),NOT(AJ154))),LEFT(AG154,2)+LEFT(AH154,2),IF(AND(AI154,NOT(AJ154)),LEFT(AH154,2),0))),0)</f>
        <v>0</v>
      </c>
      <c r="AG154" s="2755" t="e">
        <f>HLOOKUP(Region&amp;ClaseSocial,Tabla_RaicesCulturales,Tablas!F170,FALSE)</f>
        <v>#N/A</v>
      </c>
      <c r="AH154" s="2764">
        <f>IF(AND(E154="Historia",Personalización!$E$24="Historia (Local)"),20&amp;" "&amp;Personalización!$E$24,IF(E154=Personalización!$E$23,VLOOKUP(E154,Tablas!$L$136:$M$137,2,FALSE),IF(E154=Personalización!$E$24,VLOOKUP(E154,Tablas!$N$136:$O$137,2,FALSE),0)))</f>
        <v>0</v>
      </c>
      <c r="AI154" s="2764" t="b">
        <f t="shared" si="35"/>
        <v>0</v>
      </c>
      <c r="AJ154" s="2764" t="b">
        <f t="shared" si="36"/>
        <v>0</v>
      </c>
      <c r="AK154" s="2764"/>
      <c r="AL154" s="2759">
        <f t="shared" si="27"/>
        <v>2</v>
      </c>
      <c r="AM154" s="2759"/>
      <c r="AN154" s="2759" t="e">
        <f t="shared" si="28"/>
        <v>#N/A</v>
      </c>
      <c r="AO154" s="2759"/>
      <c r="AP154" s="2759" t="e">
        <f t="shared" si="29"/>
        <v>#N/A</v>
      </c>
      <c r="AQ154" s="1986"/>
      <c r="AR154" s="2759" t="e">
        <f t="shared" si="30"/>
        <v>#N/A</v>
      </c>
      <c r="AS154" s="1986"/>
      <c r="AT154" s="2759" t="e">
        <f t="shared" si="31"/>
        <v>#N/A</v>
      </c>
      <c r="AU154" s="1986"/>
      <c r="AV154" s="1986"/>
    </row>
    <row r="155" spans="1:48" ht="12" customHeight="1" x14ac:dyDescent="0.2">
      <c r="A155" s="31"/>
      <c r="B155" s="925" t="str">
        <f>D155</f>
        <v>Vigor</v>
      </c>
      <c r="C155" s="3479"/>
      <c r="D155" s="3183" t="s">
        <v>1457</v>
      </c>
      <c r="E155" s="3431" t="s">
        <v>1458</v>
      </c>
      <c r="F155" s="3432"/>
      <c r="G155" s="3432"/>
      <c r="H155" s="897" t="s">
        <v>1400</v>
      </c>
      <c r="I155" s="1721"/>
      <c r="J155" s="2277">
        <f>IF(ISNA(AL155),0,MAX(MIN(AL155-VLOOKUP("Apto en campo: "&amp;$B155,Tabla_Ventajas,3,FALSE)-Tablas!$O302-2*Tablas!$Q302-3*Tablas!$S302,3),1))</f>
        <v>2</v>
      </c>
      <c r="K155" s="2059"/>
      <c r="L155" s="2277">
        <f>IF(ISNA(AN155),0,MAX(MIN(AN155-VLOOKUP("Apto en campo: "&amp;$B155,Tabla_Ventajas,3,FALSE)-Tablas!$O302-2*Tablas!$Q302-3*Tablas!$S302,3),1))</f>
        <v>0</v>
      </c>
      <c r="M155" s="2059"/>
      <c r="N155" s="2277">
        <f>IF(ISNA(AP155),0,MAX(MIN(AP155-VLOOKUP("Apto en campo: "&amp;$B155,Tabla_Ventajas,3,FALSE)-Tablas!$O302-2*Tablas!$Q302-3*Tablas!$S302,3),1))</f>
        <v>0</v>
      </c>
      <c r="O155" s="2059"/>
      <c r="P155" s="2277">
        <f>IF(ISNA(AR155),0,MAX(MIN(AR155-VLOOKUP("Apto en campo: "&amp;$B155,Tabla_Ventajas,3,FALSE)-Tablas!$O302-2*Tablas!$Q302-3*Tablas!$S302,3),1))</f>
        <v>0</v>
      </c>
      <c r="Q155" s="2059"/>
      <c r="R155" s="2277">
        <f>IF(ISNA(AT155),0,MAX(MIN(AT155-VLOOKUP("Apto en campo: "&amp;$B155,Tabla_Ventajas,3,FALSE)-Tablas!$O302-2*Tablas!$Q302-3*Tablas!$S302,3),1))</f>
        <v>0</v>
      </c>
      <c r="S155" s="2059"/>
      <c r="T155" s="549">
        <f>IF(J155=0,0,TRUNC(K155/J155,0))+IF(L155=0,0,TRUNC(M155/L155,0))+IF(N155=0,0,TRUNC(O155/N155,0))+IF(P155=0,0,TRUNC(Q155/P155,0))+IF(R155=0,0,TRUNC(S155/R155,0))+IF(Personalización!$E$20="Como Base (no oficial)",AF155,0)</f>
        <v>0</v>
      </c>
      <c r="U155" s="549">
        <f t="shared" si="23"/>
        <v>0</v>
      </c>
      <c r="V155" s="549">
        <f>IF(ISNA(HLOOKUP($E155,Bonos_Cat_Base,2,FALSE)),0,HLOOKUP($E155,Bonos_Cat_Base,2,FALSE))+Tablas!$Z302*Nivel_Total+10*Y155</f>
        <v>0</v>
      </c>
      <c r="W155" s="2058"/>
      <c r="X155" s="2059"/>
      <c r="Y155" s="2058"/>
      <c r="Z155" s="2555"/>
      <c r="AA155" s="1474">
        <f>IF(AND(T155&lt;5,Tablas!G$303=0),-30,0)+T155+U155+V155+Z155+IF(I155="",0,40)+Mod_ATA+AD155+IF(Personalización!$E$20="Como Base (no oficial)",0,AF155)</f>
        <v>-30</v>
      </c>
      <c r="AB155" s="1990">
        <f t="shared" si="24"/>
        <v>0</v>
      </c>
      <c r="AC155" s="953"/>
      <c r="AD155" s="2755">
        <f>Tablas!$K$1828+Tablas!$K$1890+IF(Tablas!$G$367&gt;0,60,0)</f>
        <v>0</v>
      </c>
      <c r="AE155" s="276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71">
        <f>IF(AF$123,IF(OR(Region="",ClaseSocial="",Personalización!$AN$9),0,IF(OR(AND(AI155,AJ155),AND(NOT(AI155),NOT(AJ155))),LEFT(AG155,2)+LEFT(AH155,2),IF(AND(AI155,NOT(AJ155)),LEFT(AH155,2),0))),0)</f>
        <v>0</v>
      </c>
      <c r="AG155" s="2755" t="e">
        <f>HLOOKUP(Region&amp;ClaseSocial,Tabla_RaicesCulturales,Tablas!F171,FALSE)</f>
        <v>#N/A</v>
      </c>
      <c r="AH155" s="2764">
        <f>IF(AND(E155="Historia",Personalización!$E$24="Historia (Local)"),20&amp;" "&amp;Personalización!$E$24,IF(E155=Personalización!$E$23,VLOOKUP(E155,Tablas!$L$136:$M$137,2,FALSE),IF(E155=Personalización!$E$24,VLOOKUP(E155,Tablas!$N$136:$O$137,2,FALSE),0)))</f>
        <v>0</v>
      </c>
      <c r="AI155" s="2764" t="b">
        <f t="shared" si="35"/>
        <v>0</v>
      </c>
      <c r="AJ155" s="2764" t="b">
        <f t="shared" si="36"/>
        <v>0</v>
      </c>
      <c r="AK155" s="2764"/>
      <c r="AL155" s="2759">
        <f t="shared" si="27"/>
        <v>2</v>
      </c>
      <c r="AM155" s="2759"/>
      <c r="AN155" s="2759" t="e">
        <f t="shared" si="28"/>
        <v>#N/A</v>
      </c>
      <c r="AO155" s="2759"/>
      <c r="AP155" s="2759" t="e">
        <f t="shared" si="29"/>
        <v>#N/A</v>
      </c>
      <c r="AQ155" s="1986"/>
      <c r="AR155" s="2759" t="e">
        <f t="shared" si="30"/>
        <v>#N/A</v>
      </c>
      <c r="AS155" s="1986"/>
      <c r="AT155" s="2759" t="e">
        <f t="shared" si="31"/>
        <v>#N/A</v>
      </c>
      <c r="AU155" s="1986"/>
      <c r="AV155" s="1986"/>
    </row>
    <row r="156" spans="1:48" ht="12" customHeight="1" x14ac:dyDescent="0.2">
      <c r="A156" s="31"/>
      <c r="B156" s="925" t="str">
        <f>B155</f>
        <v>Vigor</v>
      </c>
      <c r="C156" s="3479"/>
      <c r="D156" s="3183"/>
      <c r="E156" s="3429" t="s">
        <v>1459</v>
      </c>
      <c r="F156" s="3430"/>
      <c r="G156" s="3430"/>
      <c r="H156" s="898" t="s">
        <v>1391</v>
      </c>
      <c r="I156" s="1689"/>
      <c r="J156" s="616">
        <f>IF(ISNA(AL156),0,MAX(MIN(AL156-VLOOKUP("Apto en campo: "&amp;$B156,Tabla_Ventajas,3,FALSE)-Tablas!$O303-2*Tablas!$Q303-3*Tablas!$S303,3),1))</f>
        <v>2</v>
      </c>
      <c r="K156" s="2061"/>
      <c r="L156" s="616">
        <f>IF(ISNA(AN156),0,MAX(MIN(AN156-VLOOKUP("Apto en campo: "&amp;$B156,Tabla_Ventajas,3,FALSE)-Tablas!$O303-2*Tablas!$Q303-3*Tablas!$S303,3),1))</f>
        <v>0</v>
      </c>
      <c r="M156" s="2061"/>
      <c r="N156" s="616">
        <f>IF(ISNA(AP156),0,MAX(MIN(AP156-VLOOKUP("Apto en campo: "&amp;$B156,Tabla_Ventajas,3,FALSE)-Tablas!$O303-2*Tablas!$Q303-3*Tablas!$S303,3),1))</f>
        <v>0</v>
      </c>
      <c r="O156" s="2061"/>
      <c r="P156" s="616">
        <f>IF(ISNA(AR156),0,MAX(MIN(AR156-VLOOKUP("Apto en campo: "&amp;$B156,Tabla_Ventajas,3,FALSE)-Tablas!$O303-2*Tablas!$Q303-3*Tablas!$S303,3),1))</f>
        <v>0</v>
      </c>
      <c r="Q156" s="2061"/>
      <c r="R156" s="616">
        <f>IF(ISNA(AT156),0,MAX(MIN(AT156-VLOOKUP("Apto en campo: "&amp;$B156,Tabla_Ventajas,3,FALSE)-Tablas!$O303-2*Tablas!$Q303-3*Tablas!$S303,3),1))</f>
        <v>0</v>
      </c>
      <c r="S156" s="2061"/>
      <c r="T156" s="550">
        <f>IF(J156=0,0,TRUNC(K156/J156,0))+IF(L156=0,0,TRUNC(M156/L156,0))+IF(N156=0,0,TRUNC(O156/N156,0))+IF(P156=0,0,TRUNC(Q156/P156,0))+IF(R156=0,0,TRUNC(S156/R156,0))+IF(Personalización!$E$20="Como Base (no oficial)",AF156,0)</f>
        <v>0</v>
      </c>
      <c r="U156" s="550">
        <f t="shared" si="23"/>
        <v>0</v>
      </c>
      <c r="V156" s="550">
        <f>IF(ISNA(HLOOKUP($E156,Bonos_Cat_Base,2,FALSE)),0,HLOOKUP($E156,Bonos_Cat_Base,2,FALSE))+Tablas!$Z303*Nivel_Total+10*Y156</f>
        <v>0</v>
      </c>
      <c r="W156" s="2060"/>
      <c r="X156" s="2061"/>
      <c r="Y156" s="2060"/>
      <c r="Z156" s="2556"/>
      <c r="AA156" s="1475">
        <f>IF(AND(T156&lt;5,Tablas!G$303=0),-30,0)+T156+U156+V156+Z156+IF(I156="",0,40)+Mod_ATA+AD156+IF(Personalización!$E$20="Como Base (no oficial)",0,AF156)</f>
        <v>-30</v>
      </c>
      <c r="AB156" s="1990">
        <f t="shared" si="24"/>
        <v>0</v>
      </c>
      <c r="AC156" s="953"/>
      <c r="AD156" s="2755"/>
      <c r="AE156" s="276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71">
        <f>IF(AF$123,IF(OR(Region="",ClaseSocial="",Personalización!$AN$9),0,IF(OR(AND(AI156,AJ156),AND(NOT(AI156),NOT(AJ156))),LEFT(AG156,2)+LEFT(AH156,2),IF(AND(AI156,NOT(AJ156)),LEFT(AH156,2),0))),0)</f>
        <v>0</v>
      </c>
      <c r="AG156" s="2755" t="e">
        <f>HLOOKUP(Region&amp;ClaseSocial,Tabla_RaicesCulturales,Tablas!F172,FALSE)</f>
        <v>#N/A</v>
      </c>
      <c r="AH156" s="2764">
        <f>IF(AND(E156="Historia",Personalización!$E$24="Historia (Local)"),20&amp;" "&amp;Personalización!$E$24,IF(E156=Personalización!$E$23,VLOOKUP(E156,Tablas!$L$136:$M$137,2,FALSE),IF(E156=Personalización!$E$24,VLOOKUP(E156,Tablas!$N$136:$O$137,2,FALSE),0)))</f>
        <v>0</v>
      </c>
      <c r="AI156" s="2764" t="b">
        <f t="shared" si="35"/>
        <v>0</v>
      </c>
      <c r="AJ156" s="2764" t="b">
        <f t="shared" si="36"/>
        <v>0</v>
      </c>
      <c r="AK156" s="2764"/>
      <c r="AL156" s="2759">
        <f t="shared" si="27"/>
        <v>2</v>
      </c>
      <c r="AM156" s="2759"/>
      <c r="AN156" s="2759" t="e">
        <f t="shared" si="28"/>
        <v>#N/A</v>
      </c>
      <c r="AO156" s="2759"/>
      <c r="AP156" s="2759" t="e">
        <f t="shared" si="29"/>
        <v>#N/A</v>
      </c>
      <c r="AQ156" s="1986"/>
      <c r="AR156" s="2759" t="e">
        <f t="shared" si="30"/>
        <v>#N/A</v>
      </c>
      <c r="AS156" s="1986"/>
      <c r="AT156" s="2759" t="e">
        <f t="shared" si="31"/>
        <v>#N/A</v>
      </c>
      <c r="AU156" s="1986"/>
      <c r="AV156" s="1986"/>
    </row>
    <row r="157" spans="1:48" ht="12" customHeight="1" x14ac:dyDescent="0.2">
      <c r="A157" s="31"/>
      <c r="B157" s="925" t="str">
        <f>B156</f>
        <v>Vigor</v>
      </c>
      <c r="C157" s="3479"/>
      <c r="D157" s="3183"/>
      <c r="E157" s="3431" t="s">
        <v>1462</v>
      </c>
      <c r="F157" s="3432"/>
      <c r="G157" s="3432"/>
      <c r="H157" s="897" t="s">
        <v>1400</v>
      </c>
      <c r="I157" s="1721"/>
      <c r="J157" s="2277">
        <f>IF(ISNA(AL157),0,MAX(MIN(AL157-VLOOKUP("Apto en campo: "&amp;$B157,Tabla_Ventajas,3,FALSE)-Tablas!$O304-2*Tablas!$Q304-3*Tablas!$S304,3),1))</f>
        <v>2</v>
      </c>
      <c r="K157" s="2059"/>
      <c r="L157" s="2277">
        <f>IF(ISNA(AN157),0,MAX(MIN(AN157-VLOOKUP("Apto en campo: "&amp;$B157,Tabla_Ventajas,3,FALSE)-Tablas!$O304-2*Tablas!$Q304-3*Tablas!$S304,3),1))</f>
        <v>0</v>
      </c>
      <c r="M157" s="2059"/>
      <c r="N157" s="2277">
        <f>IF(ISNA(AP157),0,MAX(MIN(AP157-VLOOKUP("Apto en campo: "&amp;$B157,Tabla_Ventajas,3,FALSE)-Tablas!$O304-2*Tablas!$Q304-3*Tablas!$S304,3),1))</f>
        <v>0</v>
      </c>
      <c r="O157" s="2059"/>
      <c r="P157" s="2277">
        <f>IF(ISNA(AR157),0,MAX(MIN(AR157-VLOOKUP("Apto en campo: "&amp;$B157,Tabla_Ventajas,3,FALSE)-Tablas!$O304-2*Tablas!$Q304-3*Tablas!$S304,3),1))</f>
        <v>0</v>
      </c>
      <c r="Q157" s="2059"/>
      <c r="R157" s="2277">
        <f>IF(ISNA(AT157),0,MAX(MIN(AT157-VLOOKUP("Apto en campo: "&amp;$B157,Tabla_Ventajas,3,FALSE)-Tablas!$O304-2*Tablas!$Q304-3*Tablas!$S304,3),1))</f>
        <v>0</v>
      </c>
      <c r="S157" s="2059"/>
      <c r="T157" s="549">
        <f>IF(J157=0,0,TRUNC(K157/J157,0))+IF(L157=0,0,TRUNC(M157/L157,0))+IF(N157=0,0,TRUNC(O157/N157,0))+IF(P157=0,0,TRUNC(Q157/P157,0))+IF(R157=0,0,TRUNC(S157/R157,0))+IF(Personalización!$E$20="Como Base (no oficial)",AF157,0)</f>
        <v>0</v>
      </c>
      <c r="U157" s="549">
        <f t="shared" si="23"/>
        <v>0</v>
      </c>
      <c r="V157" s="549">
        <f>IF(ISNA(HLOOKUP($E157,Bonos_Cat_Base,2,FALSE)),0,HLOOKUP($E157,Bonos_Cat_Base,2,FALSE))+Tablas!$Z304*Nivel_Total+10*Y157</f>
        <v>0</v>
      </c>
      <c r="W157" s="2058"/>
      <c r="X157" s="2059"/>
      <c r="Y157" s="2058"/>
      <c r="Z157" s="2555"/>
      <c r="AA157" s="1474">
        <f>IF(AND(T157&lt;5,Tablas!G$303=0),-30,0)+T157+U157+V157+Z157+IF(I157="",0,40)+Mod_ATA+AD157+IF(Personalización!$E$20="Como Base (no oficial)",0,AF157)</f>
        <v>-30</v>
      </c>
      <c r="AB157" s="1990">
        <f t="shared" si="24"/>
        <v>0</v>
      </c>
      <c r="AC157" s="953"/>
      <c r="AD157" s="2755">
        <f>Tablas!$K$1890</f>
        <v>0</v>
      </c>
      <c r="AE157" s="276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71">
        <f>IF(AF$123,IF(OR(Region="",ClaseSocial="",Personalización!$AN$9),0,IF(OR(AND(AI157,AJ157),AND(NOT(AI157),NOT(AJ157))),LEFT(AG157,2)+LEFT(AH157,2),IF(AND(AI157,NOT(AJ157)),LEFT(AH157,2),0))),0)</f>
        <v>0</v>
      </c>
      <c r="AG157" s="2755" t="e">
        <f>HLOOKUP(Region&amp;ClaseSocial,Tabla_RaicesCulturales,Tablas!F173,FALSE)</f>
        <v>#N/A</v>
      </c>
      <c r="AH157" s="2764">
        <f>IF(AND(E157="Historia",Personalización!$E$24="Historia (Local)"),20&amp;" "&amp;Personalización!$E$24,IF(E157=Personalización!$E$23,VLOOKUP(E157,Tablas!$L$136:$M$137,2,FALSE),IF(E157=Personalización!$E$24,VLOOKUP(E157,Tablas!$N$136:$O$137,2,FALSE),0)))</f>
        <v>0</v>
      </c>
      <c r="AI157" s="2764" t="b">
        <f t="shared" si="35"/>
        <v>0</v>
      </c>
      <c r="AJ157" s="2764" t="b">
        <f t="shared" si="36"/>
        <v>0</v>
      </c>
      <c r="AK157" s="2764"/>
      <c r="AL157" s="2759">
        <f t="shared" si="27"/>
        <v>2</v>
      </c>
      <c r="AM157" s="2759"/>
      <c r="AN157" s="2759" t="e">
        <f t="shared" si="28"/>
        <v>#N/A</v>
      </c>
      <c r="AO157" s="2759"/>
      <c r="AP157" s="2759" t="e">
        <f t="shared" si="29"/>
        <v>#N/A</v>
      </c>
      <c r="AQ157" s="1986"/>
      <c r="AR157" s="2759" t="e">
        <f t="shared" si="30"/>
        <v>#N/A</v>
      </c>
      <c r="AS157" s="1986"/>
      <c r="AT157" s="2759" t="e">
        <f t="shared" si="31"/>
        <v>#N/A</v>
      </c>
      <c r="AU157" s="1986"/>
      <c r="AV157" s="1986"/>
    </row>
    <row r="158" spans="1:48" ht="12" customHeight="1" x14ac:dyDescent="0.2">
      <c r="A158" s="31"/>
      <c r="B158" s="925" t="str">
        <f>D158</f>
        <v>Subterfugio</v>
      </c>
      <c r="C158" s="3479"/>
      <c r="D158" s="3433" t="s">
        <v>1465</v>
      </c>
      <c r="E158" s="3510" t="s">
        <v>1466</v>
      </c>
      <c r="F158" s="3511"/>
      <c r="G158" s="3511"/>
      <c r="H158" s="902" t="s">
        <v>1386</v>
      </c>
      <c r="I158" s="1692"/>
      <c r="J158" s="2276">
        <f>IF(ISNA(AL158),0,MAX(MIN(AL158-VLOOKUP("Apto en campo: "&amp;$B158,Tabla_Ventajas,3,FALSE)-Tablas!$O305-2*Tablas!$Q305-3*Tablas!$S305,3),1))</f>
        <v>2</v>
      </c>
      <c r="K158" s="2069"/>
      <c r="L158" s="2276">
        <f>IF(ISNA(AN158),0,MAX(MIN(AN158-VLOOKUP("Apto en campo: "&amp;$B158,Tabla_Ventajas,3,FALSE)-Tablas!$O305-2*Tablas!$Q305-3*Tablas!$S305,3),1))</f>
        <v>0</v>
      </c>
      <c r="M158" s="2069"/>
      <c r="N158" s="2276">
        <f>IF(ISNA(AP158),0,MAX(MIN(AP158-VLOOKUP("Apto en campo: "&amp;$B158,Tabla_Ventajas,3,FALSE)-Tablas!$O305-2*Tablas!$Q305-3*Tablas!$S305,3),1))</f>
        <v>0</v>
      </c>
      <c r="O158" s="2069"/>
      <c r="P158" s="2276">
        <f>IF(ISNA(AR158),0,MAX(MIN(AR158-VLOOKUP("Apto en campo: "&amp;$B158,Tabla_Ventajas,3,FALSE)-Tablas!$O305-2*Tablas!$Q305-3*Tablas!$S305,3),1))</f>
        <v>0</v>
      </c>
      <c r="Q158" s="2069"/>
      <c r="R158" s="2276">
        <f>IF(ISNA(AT158),0,MAX(MIN(AT158-VLOOKUP("Apto en campo: "&amp;$B158,Tabla_Ventajas,3,FALSE)-Tablas!$O305-2*Tablas!$Q305-3*Tablas!$S305,3),1))</f>
        <v>0</v>
      </c>
      <c r="S158" s="2069"/>
      <c r="T158" s="548">
        <f>IF(J158=0,0,TRUNC(K158/J158,0))+IF(L158=0,0,TRUNC(M158/L158,0))+IF(N158=0,0,TRUNC(O158/N158,0))+IF(P158=0,0,TRUNC(Q158/P158,0))+IF(R158=0,0,TRUNC(S158/R158,0))+IF(Personalización!$E$20="Como Base (no oficial)",AF158,0)</f>
        <v>0</v>
      </c>
      <c r="U158" s="548">
        <f t="shared" ref="U158:U176" si="37">MIN(VLOOKUP($H158,Tabla_Características,5,0)*(1+W158)+10*Con.TodasMaterias+10*X158,100)</f>
        <v>0</v>
      </c>
      <c r="V158" s="548">
        <f>IF(ISNA(HLOOKUP($E158,Bonos_Cat_Base,2,FALSE)),0,HLOOKUP($E158,Bonos_Cat_Base,2,FALSE))+Tablas!$Z305*Nivel_Total+10*Y158</f>
        <v>0</v>
      </c>
      <c r="W158" s="2068"/>
      <c r="X158" s="2069"/>
      <c r="Y158" s="2068"/>
      <c r="Z158" s="2560"/>
      <c r="AA158" s="2712">
        <f>IF(AND(T158&lt;5,Tablas!G$303=0),-30,0)+T158+U158+V158+Z158+IF(I158="",0,40)+Mod_ATA+AD158+IF(Personalización!$E$20="Como Base (no oficial)",0,AF158)</f>
        <v>-30</v>
      </c>
      <c r="AB158" s="1990">
        <f t="shared" ref="AB158:AB181" si="38">IF(AA158="-",0,IF(AA158&gt;VLOOKUP(Nivel_Total,Tabla_LímiteSecundarias,2),1,0))</f>
        <v>0</v>
      </c>
      <c r="AC158" s="953"/>
      <c r="AD158" s="2755"/>
      <c r="AE158" s="276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1">
        <f>IF(AF$123,IF(OR(Region="",ClaseSocial="",Personalización!$AN$9),0,IF(OR(AND(AI158,AJ158),AND(NOT(AI158),NOT(AJ158))),LEFT(AG158,2)+LEFT(AH158,2),IF(AND(AI158,NOT(AJ158)),LEFT(AH158,2),0))),0)</f>
        <v>0</v>
      </c>
      <c r="AG158" s="2755" t="e">
        <f>HLOOKUP(Region&amp;ClaseSocial,Tabla_RaicesCulturales,Tablas!F174,FALSE)</f>
        <v>#N/A</v>
      </c>
      <c r="AH158" s="2764">
        <f>IF(AND(E158="Historia",Personalización!$E$24="Historia (Local)"),20&amp;" "&amp;Personalización!$E$24,IF(E158=Personalización!$E$23,VLOOKUP(E158,Tablas!$L$136:$M$137,2,FALSE),IF(E158=Personalización!$E$24,VLOOKUP(E158,Tablas!$N$136:$O$137,2,FALSE),0)))</f>
        <v>0</v>
      </c>
      <c r="AI158" s="2764" t="b">
        <f t="shared" ref="AI158:AI176" si="39">OR(ISNUMBER(FIND("(",AG158)),ISNUMBER(FIND("(",AH158)))</f>
        <v>0</v>
      </c>
      <c r="AJ158" s="2764" t="b">
        <f t="shared" ref="AJ158:AJ176" si="40">AND(NOT(I158=""),OR(ISNUMBER(SEARCH(I158,AG158)),ISNUMBER(SEARCH(I158,AH158))))</f>
        <v>0</v>
      </c>
      <c r="AK158" s="2764"/>
      <c r="AL158" s="2759">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59"/>
      <c r="AN158" s="2759"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9"/>
      <c r="AP158" s="2759"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86"/>
      <c r="AR158" s="2759"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86"/>
      <c r="AT158" s="2759"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86"/>
      <c r="AV158" s="1986"/>
    </row>
    <row r="159" spans="1:48" ht="12" customHeight="1" x14ac:dyDescent="0.2">
      <c r="A159" s="31"/>
      <c r="B159" s="925" t="str">
        <f t="shared" ref="B159:B164" si="46">B158</f>
        <v>Subterfugio</v>
      </c>
      <c r="C159" s="3479"/>
      <c r="D159" s="3183"/>
      <c r="E159" s="3431" t="s">
        <v>1468</v>
      </c>
      <c r="F159" s="3432"/>
      <c r="G159" s="3432"/>
      <c r="H159" s="897" t="s">
        <v>1386</v>
      </c>
      <c r="I159" s="1721"/>
      <c r="J159" s="2277">
        <f>IF(ISNA(AL159),0,MAX(MIN(AL159-VLOOKUP("Apto en campo: "&amp;$B159,Tabla_Ventajas,3,FALSE)-Tablas!$O306-2*Tablas!$Q306-3*Tablas!$S306,3),1))</f>
        <v>2</v>
      </c>
      <c r="K159" s="2059"/>
      <c r="L159" s="2277">
        <f>IF(ISNA(AN159),0,MAX(MIN(AN159-VLOOKUP("Apto en campo: "&amp;$B159,Tabla_Ventajas,3,FALSE)-Tablas!$O306-2*Tablas!$Q306-3*Tablas!$S306,3),1))</f>
        <v>0</v>
      </c>
      <c r="M159" s="2059"/>
      <c r="N159" s="2277">
        <f>IF(ISNA(AP159),0,MAX(MIN(AP159-VLOOKUP("Apto en campo: "&amp;$B159,Tabla_Ventajas,3,FALSE)-Tablas!$O306-2*Tablas!$Q306-3*Tablas!$S306,3),1))</f>
        <v>0</v>
      </c>
      <c r="O159" s="2059"/>
      <c r="P159" s="2277">
        <f>IF(ISNA(AR159),0,MAX(MIN(AR159-VLOOKUP("Apto en campo: "&amp;$B159,Tabla_Ventajas,3,FALSE)-Tablas!$O306-2*Tablas!$Q306-3*Tablas!$S306,3),1))</f>
        <v>0</v>
      </c>
      <c r="Q159" s="2059"/>
      <c r="R159" s="2277">
        <f>IF(ISNA(AT159),0,MAX(MIN(AT159-VLOOKUP("Apto en campo: "&amp;$B159,Tabla_Ventajas,3,FALSE)-Tablas!$O306-2*Tablas!$Q306-3*Tablas!$S306,3),1))</f>
        <v>0</v>
      </c>
      <c r="S159" s="2059"/>
      <c r="T159" s="549">
        <f>IF(J159=0,0,TRUNC(K159/J159,0))+IF(L159=0,0,TRUNC(M159/L159,0))+IF(N159=0,0,TRUNC(O159/N159,0))+IF(P159=0,0,TRUNC(Q159/P159,0))+IF(R159=0,0,TRUNC(S159/R159,0))+IF(Personalización!$E$20="Como Base (no oficial)",AF159,0)</f>
        <v>0</v>
      </c>
      <c r="U159" s="549">
        <f t="shared" si="37"/>
        <v>0</v>
      </c>
      <c r="V159" s="549">
        <f>IF(ISNA(HLOOKUP($E159,Bonos_Cat_Base,2,FALSE)),0,HLOOKUP($E159,Bonos_Cat_Base,2,FALSE))+Tablas!$Z306*Nivel_Total+10*Y159</f>
        <v>0</v>
      </c>
      <c r="W159" s="2058"/>
      <c r="X159" s="2059"/>
      <c r="Y159" s="2058"/>
      <c r="Z159" s="2555"/>
      <c r="AA159" s="1474">
        <f>IF(AND(T159&lt;5,Tablas!G$303=0),-30,0)+T159+U159+V159+Z159+IF(I159="",0,40)+Mod_ATA+AD159+IF(Personalización!$E$20="Como Base (no oficial)",0,AF159)</f>
        <v>-30</v>
      </c>
      <c r="AB159" s="1990">
        <f t="shared" si="38"/>
        <v>0</v>
      </c>
      <c r="AC159" s="953"/>
      <c r="AD159" s="2755"/>
      <c r="AE159" s="276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71">
        <f>IF(AF$123,IF(OR(Region="",ClaseSocial="",Personalización!$AN$9),0,IF(OR(AND(AI159,AJ159),AND(NOT(AI159),NOT(AJ159))),LEFT(AG159,2)+LEFT(AH159,2),IF(AND(AI159,NOT(AJ159)),LEFT(AH159,2),0))),0)</f>
        <v>0</v>
      </c>
      <c r="AG159" s="2755" t="e">
        <f>HLOOKUP(Region&amp;ClaseSocial,Tabla_RaicesCulturales,Tablas!F175,FALSE)</f>
        <v>#N/A</v>
      </c>
      <c r="AH159" s="2764">
        <f>IF(AND(E159="Historia",Personalización!$E$24="Historia (Local)"),20&amp;" "&amp;Personalización!$E$24,IF(E159=Personalización!$E$23,VLOOKUP(E159,Tablas!$L$136:$M$137,2,FALSE),IF(E159=Personalización!$E$24,VLOOKUP(E159,Tablas!$N$136:$O$137,2,FALSE),0)))</f>
        <v>0</v>
      </c>
      <c r="AI159" s="2764" t="b">
        <f t="shared" si="39"/>
        <v>0</v>
      </c>
      <c r="AJ159" s="2764" t="b">
        <f t="shared" si="40"/>
        <v>0</v>
      </c>
      <c r="AK159" s="2764"/>
      <c r="AL159" s="2759">
        <f t="shared" si="41"/>
        <v>2</v>
      </c>
      <c r="AM159" s="2759"/>
      <c r="AN159" s="2759" t="e">
        <f t="shared" si="42"/>
        <v>#N/A</v>
      </c>
      <c r="AO159" s="2759"/>
      <c r="AP159" s="2759" t="e">
        <f t="shared" si="43"/>
        <v>#N/A</v>
      </c>
      <c r="AQ159" s="1986"/>
      <c r="AR159" s="2759" t="e">
        <f t="shared" si="44"/>
        <v>#N/A</v>
      </c>
      <c r="AS159" s="1986"/>
      <c r="AT159" s="2759" t="e">
        <f t="shared" si="45"/>
        <v>#N/A</v>
      </c>
      <c r="AU159" s="1986"/>
      <c r="AV159" s="1986"/>
    </row>
    <row r="160" spans="1:48" ht="12" customHeight="1" x14ac:dyDescent="0.2">
      <c r="A160" s="31"/>
      <c r="B160" s="925" t="str">
        <f t="shared" si="46"/>
        <v>Subterfugio</v>
      </c>
      <c r="C160" s="3479"/>
      <c r="D160" s="3183"/>
      <c r="E160" s="3429" t="s">
        <v>1470</v>
      </c>
      <c r="F160" s="3430"/>
      <c r="G160" s="3430"/>
      <c r="H160" s="898" t="s">
        <v>1397</v>
      </c>
      <c r="I160" s="1689"/>
      <c r="J160" s="616">
        <f>IF(ISNA(AL160),0,MAX(MIN(AL160-VLOOKUP("Apto en campo: "&amp;$B160,Tabla_Ventajas,3,FALSE)-Tablas!$O307-2*Tablas!$Q307-3*Tablas!$S307,3),1))</f>
        <v>2</v>
      </c>
      <c r="K160" s="2061"/>
      <c r="L160" s="616">
        <f>IF(ISNA(AN160),0,MAX(MIN(AN160-VLOOKUP("Apto en campo: "&amp;$B160,Tabla_Ventajas,3,FALSE)-Tablas!$O307-2*Tablas!$Q307-3*Tablas!$S307,3),1))</f>
        <v>0</v>
      </c>
      <c r="M160" s="2061"/>
      <c r="N160" s="616">
        <f>IF(ISNA(AP160),0,MAX(MIN(AP160-VLOOKUP("Apto en campo: "&amp;$B160,Tabla_Ventajas,3,FALSE)-Tablas!$O307-2*Tablas!$Q307-3*Tablas!$S307,3),1))</f>
        <v>0</v>
      </c>
      <c r="O160" s="2061"/>
      <c r="P160" s="616">
        <f>IF(ISNA(AR160),0,MAX(MIN(AR160-VLOOKUP("Apto en campo: "&amp;$B160,Tabla_Ventajas,3,FALSE)-Tablas!$O307-2*Tablas!$Q307-3*Tablas!$S307,3),1))</f>
        <v>0</v>
      </c>
      <c r="Q160" s="2061"/>
      <c r="R160" s="616">
        <f>IF(ISNA(AT160),0,MAX(MIN(AT160-VLOOKUP("Apto en campo: "&amp;$B160,Tabla_Ventajas,3,FALSE)-Tablas!$O307-2*Tablas!$Q307-3*Tablas!$S307,3),1))</f>
        <v>0</v>
      </c>
      <c r="S160" s="2061"/>
      <c r="T160" s="550">
        <f>IF(J160=0,0,TRUNC(K160/J160,0))+IF(L160=0,0,TRUNC(M160/L160,0))+IF(N160=0,0,TRUNC(O160/N160,0))+IF(P160=0,0,TRUNC(Q160/P160,0))+IF(R160=0,0,TRUNC(S160/R160,0))+IF(Personalización!$E$20="Como Base (no oficial)",AF160,0)</f>
        <v>0</v>
      </c>
      <c r="U160" s="550">
        <f t="shared" si="37"/>
        <v>0</v>
      </c>
      <c r="V160" s="550">
        <f>IF(ISNA(HLOOKUP($E160,Bonos_Cat_Base,2,FALSE)),0,HLOOKUP($E160,Bonos_Cat_Base,2,FALSE))+Tablas!$Z307*Nivel_Total+10*Y160</f>
        <v>0</v>
      </c>
      <c r="W160" s="2060"/>
      <c r="X160" s="2061"/>
      <c r="Y160" s="2060"/>
      <c r="Z160" s="2556"/>
      <c r="AA160" s="1475">
        <f>IF(AND(T160&lt;5,Tablas!G$303=0),-30,0)+T160+U160+V160+Z160+IF(I160="",0,40)+Mod_ATA+AD160+IF(Personalización!$E$20="Como Base (no oficial)",0,AF160)</f>
        <v>-30</v>
      </c>
      <c r="AB160" s="1990">
        <f t="shared" si="38"/>
        <v>0</v>
      </c>
      <c r="AC160" s="953"/>
      <c r="AD160" s="2755"/>
      <c r="AE160" s="276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71">
        <f>IF(AF$123,IF(OR(Region="",ClaseSocial="",Personalización!$AN$9),0,IF(OR(AND(AI160,AJ160),AND(NOT(AI160),NOT(AJ160))),LEFT(AG160,2)+LEFT(AH160,2),IF(AND(AI160,NOT(AJ160)),LEFT(AH160,2),0))),0)</f>
        <v>0</v>
      </c>
      <c r="AG160" s="2755" t="e">
        <f>HLOOKUP(Region&amp;ClaseSocial,Tabla_RaicesCulturales,Tablas!F176,FALSE)</f>
        <v>#N/A</v>
      </c>
      <c r="AH160" s="2764">
        <f>IF(AND(E160="Historia",Personalización!$E$24="Historia (Local)"),20&amp;" "&amp;Personalización!$E$24,IF(E160=Personalización!$E$23,VLOOKUP(E160,Tablas!$L$136:$M$137,2,FALSE),IF(E160=Personalización!$E$24,VLOOKUP(E160,Tablas!$N$136:$O$137,2,FALSE),0)))</f>
        <v>0</v>
      </c>
      <c r="AI160" s="2764" t="b">
        <f t="shared" si="39"/>
        <v>0</v>
      </c>
      <c r="AJ160" s="2764" t="b">
        <f t="shared" si="40"/>
        <v>0</v>
      </c>
      <c r="AK160" s="2764"/>
      <c r="AL160" s="2759">
        <f t="shared" si="41"/>
        <v>2</v>
      </c>
      <c r="AM160" s="2759"/>
      <c r="AN160" s="2759" t="e">
        <f t="shared" si="42"/>
        <v>#N/A</v>
      </c>
      <c r="AO160" s="2759"/>
      <c r="AP160" s="2759" t="e">
        <f t="shared" si="43"/>
        <v>#N/A</v>
      </c>
      <c r="AQ160" s="1986"/>
      <c r="AR160" s="2759" t="e">
        <f t="shared" si="44"/>
        <v>#N/A</v>
      </c>
      <c r="AS160" s="1986"/>
      <c r="AT160" s="2759" t="e">
        <f t="shared" si="45"/>
        <v>#N/A</v>
      </c>
      <c r="AU160" s="1986"/>
      <c r="AV160" s="1986"/>
    </row>
    <row r="161" spans="1:48" ht="12" customHeight="1" x14ac:dyDescent="0.2">
      <c r="A161" s="31"/>
      <c r="B161" s="925" t="str">
        <f t="shared" si="46"/>
        <v>Subterfugio</v>
      </c>
      <c r="C161" s="3479"/>
      <c r="D161" s="3183"/>
      <c r="E161" s="3431" t="s">
        <v>1472</v>
      </c>
      <c r="F161" s="3432"/>
      <c r="G161" s="3432"/>
      <c r="H161" s="897" t="s">
        <v>1386</v>
      </c>
      <c r="I161" s="1721"/>
      <c r="J161" s="2277">
        <f>IF(ISNA(AL161),0,MAX(MIN(AL161-VLOOKUP("Apto en campo: "&amp;$B161,Tabla_Ventajas,3,FALSE)-Tablas!$O308-2*Tablas!$Q308-3*Tablas!$S308,3),1))</f>
        <v>2</v>
      </c>
      <c r="K161" s="2059"/>
      <c r="L161" s="2277">
        <f>IF(ISNA(AN161),0,MAX(MIN(AN161-VLOOKUP("Apto en campo: "&amp;$B161,Tabla_Ventajas,3,FALSE)-Tablas!$O308-2*Tablas!$Q308-3*Tablas!$S308,3),1))</f>
        <v>0</v>
      </c>
      <c r="M161" s="2059"/>
      <c r="N161" s="2277">
        <f>IF(ISNA(AP161),0,MAX(MIN(AP161-VLOOKUP("Apto en campo: "&amp;$B161,Tabla_Ventajas,3,FALSE)-Tablas!$O308-2*Tablas!$Q308-3*Tablas!$S308,3),1))</f>
        <v>0</v>
      </c>
      <c r="O161" s="2059"/>
      <c r="P161" s="2277">
        <f>IF(ISNA(AR161),0,MAX(MIN(AR161-VLOOKUP("Apto en campo: "&amp;$B161,Tabla_Ventajas,3,FALSE)-Tablas!$O308-2*Tablas!$Q308-3*Tablas!$S308,3),1))</f>
        <v>0</v>
      </c>
      <c r="Q161" s="2059"/>
      <c r="R161" s="2277">
        <f>IF(ISNA(AT161),0,MAX(MIN(AT161-VLOOKUP("Apto en campo: "&amp;$B161,Tabla_Ventajas,3,FALSE)-Tablas!$O308-2*Tablas!$Q308-3*Tablas!$S308,3),1))</f>
        <v>0</v>
      </c>
      <c r="S161" s="2059"/>
      <c r="T161" s="549">
        <f>IF(J161=0,0,TRUNC(K161/J161,0))+IF(L161=0,0,TRUNC(M161/L161,0))+IF(N161=0,0,TRUNC(O161/N161,0))+IF(P161=0,0,TRUNC(Q161/P161,0))+IF(R161=0,0,TRUNC(S161/R161,0))+IF(Personalización!$E$20="Como Base (no oficial)",AF161,0)</f>
        <v>0</v>
      </c>
      <c r="U161" s="549">
        <f t="shared" si="37"/>
        <v>0</v>
      </c>
      <c r="V161" s="549">
        <f>IF(ISNA(HLOOKUP($E161,Bonos_Cat_Base,2,FALSE)),0,HLOOKUP($E161,Bonos_Cat_Base,2,FALSE))+Tablas!$Z308*Nivel_Total+10*Y161</f>
        <v>0</v>
      </c>
      <c r="W161" s="2058"/>
      <c r="X161" s="2059"/>
      <c r="Y161" s="2058"/>
      <c r="Z161" s="2555"/>
      <c r="AA161" s="1474">
        <f>IF(AND(T161&lt;5,Tablas!G$303=0),-30,0)+T161+U161+V161+Z161+IF(I161="",0,40)+Mod_ATA+AD161+IF(Personalización!$E$20="Como Base (no oficial)",0,AF161)</f>
        <v>-30</v>
      </c>
      <c r="AB161" s="1990">
        <f t="shared" si="38"/>
        <v>0</v>
      </c>
      <c r="AC161" s="953"/>
      <c r="AD161" s="2755"/>
      <c r="AE161" s="276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71">
        <f>IF(AF$123,IF(OR(Region="",ClaseSocial="",Personalización!$AN$9),0,IF(OR(AND(AI161,AJ161),AND(NOT(AI161),NOT(AJ161))),LEFT(AG161,2)+LEFT(AH161,2),IF(AND(AI161,NOT(AJ161)),LEFT(AH161,2),0))),0)</f>
        <v>0</v>
      </c>
      <c r="AG161" s="2755" t="e">
        <f>HLOOKUP(Region&amp;ClaseSocial,Tabla_RaicesCulturales,Tablas!F177,FALSE)</f>
        <v>#N/A</v>
      </c>
      <c r="AH161" s="2764">
        <f>IF(AND(E161="Historia",Personalización!$E$24="Historia (Local)"),20&amp;" "&amp;Personalización!$E$24,IF(E161=Personalización!$E$23,VLOOKUP(E161,Tablas!$L$136:$M$137,2,FALSE),IF(E161=Personalización!$E$24,VLOOKUP(E161,Tablas!$N$136:$O$137,2,FALSE),0)))</f>
        <v>0</v>
      </c>
      <c r="AI161" s="2764" t="b">
        <f t="shared" si="39"/>
        <v>0</v>
      </c>
      <c r="AJ161" s="2764" t="b">
        <f t="shared" si="40"/>
        <v>0</v>
      </c>
      <c r="AK161" s="2764"/>
      <c r="AL161" s="2759">
        <f t="shared" si="41"/>
        <v>2</v>
      </c>
      <c r="AM161" s="2759"/>
      <c r="AN161" s="2759" t="e">
        <f t="shared" si="42"/>
        <v>#N/A</v>
      </c>
      <c r="AO161" s="2759"/>
      <c r="AP161" s="2759" t="e">
        <f t="shared" si="43"/>
        <v>#N/A</v>
      </c>
      <c r="AQ161" s="1986"/>
      <c r="AR161" s="2759" t="e">
        <f t="shared" si="44"/>
        <v>#N/A</v>
      </c>
      <c r="AS161" s="1986"/>
      <c r="AT161" s="2759" t="e">
        <f t="shared" si="45"/>
        <v>#N/A</v>
      </c>
      <c r="AU161" s="1986"/>
      <c r="AV161" s="1986"/>
    </row>
    <row r="162" spans="1:48" ht="12" customHeight="1" x14ac:dyDescent="0.2">
      <c r="A162" s="31"/>
      <c r="B162" s="925" t="str">
        <f t="shared" si="46"/>
        <v>Subterfugio</v>
      </c>
      <c r="C162" s="3479"/>
      <c r="D162" s="3183"/>
      <c r="E162" s="3429" t="s">
        <v>1474</v>
      </c>
      <c r="F162" s="3430"/>
      <c r="G162" s="3430"/>
      <c r="H162" s="898" t="s">
        <v>1381</v>
      </c>
      <c r="I162" s="1689"/>
      <c r="J162" s="616">
        <f>IF(ISNA(AL162),0,MAX(MIN(AL162-VLOOKUP("Apto en campo: "&amp;$B162,Tabla_Ventajas,3,FALSE)-Tablas!$O309-2*Tablas!$Q309-3*Tablas!$S309,3),1))</f>
        <v>2</v>
      </c>
      <c r="K162" s="2061"/>
      <c r="L162" s="616">
        <f>IF(ISNA(AN162),0,MAX(MIN(AN162-VLOOKUP("Apto en campo: "&amp;$B162,Tabla_Ventajas,3,FALSE)-Tablas!$O309-2*Tablas!$Q309-3*Tablas!$S309,3),1))</f>
        <v>0</v>
      </c>
      <c r="M162" s="2061"/>
      <c r="N162" s="616">
        <f>IF(ISNA(AP162),0,MAX(MIN(AP162-VLOOKUP("Apto en campo: "&amp;$B162,Tabla_Ventajas,3,FALSE)-Tablas!$O309-2*Tablas!$Q309-3*Tablas!$S309,3),1))</f>
        <v>0</v>
      </c>
      <c r="O162" s="2061"/>
      <c r="P162" s="616">
        <f>IF(ISNA(AR162),0,MAX(MIN(AR162-VLOOKUP("Apto en campo: "&amp;$B162,Tabla_Ventajas,3,FALSE)-Tablas!$O309-2*Tablas!$Q309-3*Tablas!$S309,3),1))</f>
        <v>0</v>
      </c>
      <c r="Q162" s="2061"/>
      <c r="R162" s="616">
        <f>IF(ISNA(AT162),0,MAX(MIN(AT162-VLOOKUP("Apto en campo: "&amp;$B162,Tabla_Ventajas,3,FALSE)-Tablas!$O309-2*Tablas!$Q309-3*Tablas!$S309,3),1))</f>
        <v>0</v>
      </c>
      <c r="S162" s="2061"/>
      <c r="T162" s="550">
        <f>IF(J162=0,0,TRUNC(K162/J162,0))+IF(L162=0,0,TRUNC(M162/L162,0))+IF(N162=0,0,TRUNC(O162/N162,0))+IF(P162=0,0,TRUNC(Q162/P162,0))+IF(R162=0,0,TRUNC(S162/R162,0))+IF(Personalización!$E$20="Como Base (no oficial)",AF162,0)</f>
        <v>0</v>
      </c>
      <c r="U162" s="550">
        <f t="shared" si="37"/>
        <v>15</v>
      </c>
      <c r="V162" s="550">
        <f>IF(ISNA(HLOOKUP($E162,Bonos_Cat_Base,2,FALSE)),0,HLOOKUP($E162,Bonos_Cat_Base,2,FALSE))+Tablas!$Z309*Nivel_Total+10*Y162</f>
        <v>0</v>
      </c>
      <c r="W162" s="2060"/>
      <c r="X162" s="2061"/>
      <c r="Y162" s="2060"/>
      <c r="Z162" s="2556"/>
      <c r="AA162" s="1475">
        <f>IF(AND(T162&lt;5,Tablas!G$303=0),-30,0)+T162+U162+V162+Z162+IF(I162="",0,40)+Mod_ATA+AD162+IF(Personalización!$E$20="Como Base (no oficial)",0,AF162)</f>
        <v>-15</v>
      </c>
      <c r="AB162" s="1990">
        <f t="shared" si="38"/>
        <v>0</v>
      </c>
      <c r="AC162" s="953"/>
      <c r="AD162" s="2755"/>
      <c r="AE162" s="276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71">
        <f>IF(AF$123,IF(OR(Region="",ClaseSocial="",Personalización!$AN$9),0,IF(OR(AND(AI162,AJ162),AND(NOT(AI162),NOT(AJ162))),LEFT(AG162,2)+LEFT(AH162,2),IF(AND(AI162,NOT(AJ162)),LEFT(AH162,2),0))),0)</f>
        <v>0</v>
      </c>
      <c r="AG162" s="2755" t="e">
        <f>HLOOKUP(Region&amp;ClaseSocial,Tabla_RaicesCulturales,Tablas!F178,FALSE)</f>
        <v>#N/A</v>
      </c>
      <c r="AH162" s="2764">
        <f>IF(AND(E162="Historia",Personalización!$E$24="Historia (Local)"),20&amp;" "&amp;Personalización!$E$24,IF(E162=Personalización!$E$23,VLOOKUP(E162,Tablas!$L$136:$M$137,2,FALSE),IF(E162=Personalización!$E$24,VLOOKUP(E162,Tablas!$N$136:$O$137,2,FALSE),0)))</f>
        <v>0</v>
      </c>
      <c r="AI162" s="2764" t="b">
        <f t="shared" si="39"/>
        <v>0</v>
      </c>
      <c r="AJ162" s="2764" t="b">
        <f t="shared" si="40"/>
        <v>0</v>
      </c>
      <c r="AK162" s="2764"/>
      <c r="AL162" s="2759">
        <f t="shared" si="41"/>
        <v>2</v>
      </c>
      <c r="AM162" s="2759"/>
      <c r="AN162" s="2759" t="e">
        <f t="shared" si="42"/>
        <v>#N/A</v>
      </c>
      <c r="AO162" s="2759"/>
      <c r="AP162" s="2759" t="e">
        <f t="shared" si="43"/>
        <v>#N/A</v>
      </c>
      <c r="AQ162" s="1986"/>
      <c r="AR162" s="2759" t="e">
        <f t="shared" si="44"/>
        <v>#N/A</v>
      </c>
      <c r="AS162" s="1986"/>
      <c r="AT162" s="2759" t="e">
        <f t="shared" si="45"/>
        <v>#N/A</v>
      </c>
      <c r="AU162" s="1986"/>
      <c r="AV162" s="1986"/>
    </row>
    <row r="163" spans="1:48" ht="12" customHeight="1" x14ac:dyDescent="0.2">
      <c r="A163" s="31"/>
      <c r="B163" s="925" t="str">
        <f t="shared" si="46"/>
        <v>Subterfugio</v>
      </c>
      <c r="C163" s="3479"/>
      <c r="D163" s="3183"/>
      <c r="E163" s="3431" t="s">
        <v>1476</v>
      </c>
      <c r="F163" s="3432"/>
      <c r="G163" s="3432"/>
      <c r="H163" s="897" t="s">
        <v>1386</v>
      </c>
      <c r="I163" s="1721"/>
      <c r="J163" s="2277">
        <f>IF(ISNA(AL163),0,MAX(MIN(AL163-VLOOKUP("Apto en campo: "&amp;$B163,Tabla_Ventajas,3,FALSE)-Tablas!$O310-2*Tablas!$Q310-3*Tablas!$S310,3),1))</f>
        <v>2</v>
      </c>
      <c r="K163" s="2059"/>
      <c r="L163" s="2277">
        <f>IF(ISNA(AN163),0,MAX(MIN(AN163-VLOOKUP("Apto en campo: "&amp;$B163,Tabla_Ventajas,3,FALSE)-Tablas!$O310-2*Tablas!$Q310-3*Tablas!$S310,3),1))</f>
        <v>0</v>
      </c>
      <c r="M163" s="2059"/>
      <c r="N163" s="2277">
        <f>IF(ISNA(AP163),0,MAX(MIN(AP163-VLOOKUP("Apto en campo: "&amp;$B163,Tabla_Ventajas,3,FALSE)-Tablas!$O310-2*Tablas!$Q310-3*Tablas!$S310,3),1))</f>
        <v>0</v>
      </c>
      <c r="O163" s="2059"/>
      <c r="P163" s="2277">
        <f>IF(ISNA(AR163),0,MAX(MIN(AR163-VLOOKUP("Apto en campo: "&amp;$B163,Tabla_Ventajas,3,FALSE)-Tablas!$O310-2*Tablas!$Q310-3*Tablas!$S310,3),1))</f>
        <v>0</v>
      </c>
      <c r="Q163" s="2059"/>
      <c r="R163" s="2277">
        <f>IF(ISNA(AT163),0,MAX(MIN(AT163-VLOOKUP("Apto en campo: "&amp;$B163,Tabla_Ventajas,3,FALSE)-Tablas!$O310-2*Tablas!$Q310-3*Tablas!$S310,3),1))</f>
        <v>0</v>
      </c>
      <c r="S163" s="2059"/>
      <c r="T163" s="549">
        <f>IF(J163=0,0,TRUNC(K163/J163,0))+IF(L163=0,0,TRUNC(M163/L163,0))+IF(N163=0,0,TRUNC(O163/N163,0))+IF(P163=0,0,TRUNC(Q163/P163,0))+IF(R163=0,0,TRUNC(S163/R163,0))+IF(Personalización!$E$20="Como Base (no oficial)",AF163,0)</f>
        <v>0</v>
      </c>
      <c r="U163" s="549">
        <f t="shared" si="37"/>
        <v>0</v>
      </c>
      <c r="V163" s="549">
        <f>IF(ISNA(HLOOKUP($E163,Bonos_Cat_Base,2,FALSE)),0,HLOOKUP($E163,Bonos_Cat_Base,2,FALSE))+Tablas!$Z310*Nivel_Total+10*Y163</f>
        <v>0</v>
      </c>
      <c r="W163" s="2058"/>
      <c r="X163" s="2059"/>
      <c r="Y163" s="2058"/>
      <c r="Z163" s="2555"/>
      <c r="AA163" s="1474">
        <f>IF(AND(T163&lt;5,Tablas!G$303=0),-30,0)+T163+U163+V163+Z163+IF(I163="",0,40)+Mod_ATA+AD163+IF(Personalización!$E$20="Como Base (no oficial)",0,AF163)</f>
        <v>-30</v>
      </c>
      <c r="AB163" s="1990">
        <f t="shared" si="38"/>
        <v>0</v>
      </c>
      <c r="AC163" s="953"/>
      <c r="AD163" s="2755"/>
      <c r="AE163" s="276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71">
        <f>IF(AF$123,IF(OR(Region="",ClaseSocial="",Personalización!$AN$9),0,IF(OR(AND(AI163,AJ163),AND(NOT(AI163),NOT(AJ163))),LEFT(AG163,2)+LEFT(AH163,2),IF(AND(AI163,NOT(AJ163)),LEFT(AH163,2),0))),0)</f>
        <v>0</v>
      </c>
      <c r="AG163" s="2755" t="e">
        <f>HLOOKUP(Region&amp;ClaseSocial,Tabla_RaicesCulturales,Tablas!F179,FALSE)</f>
        <v>#N/A</v>
      </c>
      <c r="AH163" s="2764">
        <f>IF(AND(E163="Historia",Personalización!$E$24="Historia (Local)"),20&amp;" "&amp;Personalización!$E$24,IF(E163=Personalización!$E$23,VLOOKUP(E163,Tablas!$L$136:$M$137,2,FALSE),IF(E163=Personalización!$E$24,VLOOKUP(E163,Tablas!$N$136:$O$137,2,FALSE),0)))</f>
        <v>0</v>
      </c>
      <c r="AI163" s="2764" t="b">
        <f t="shared" si="39"/>
        <v>0</v>
      </c>
      <c r="AJ163" s="2764" t="b">
        <f t="shared" si="40"/>
        <v>0</v>
      </c>
      <c r="AK163" s="2764"/>
      <c r="AL163" s="2759">
        <f t="shared" si="41"/>
        <v>2</v>
      </c>
      <c r="AM163" s="2759"/>
      <c r="AN163" s="2759" t="e">
        <f t="shared" si="42"/>
        <v>#N/A</v>
      </c>
      <c r="AO163" s="2759"/>
      <c r="AP163" s="2759" t="e">
        <f t="shared" si="43"/>
        <v>#N/A</v>
      </c>
      <c r="AQ163" s="1986"/>
      <c r="AR163" s="2759" t="e">
        <f t="shared" si="44"/>
        <v>#N/A</v>
      </c>
      <c r="AS163" s="1986"/>
      <c r="AT163" s="2759" t="e">
        <f t="shared" si="45"/>
        <v>#N/A</v>
      </c>
      <c r="AU163" s="1986"/>
      <c r="AV163" s="1986"/>
    </row>
    <row r="164" spans="1:48" ht="12" customHeight="1" x14ac:dyDescent="0.2">
      <c r="A164" s="31"/>
      <c r="B164" s="925" t="str">
        <f t="shared" si="46"/>
        <v>Subterfugio</v>
      </c>
      <c r="C164" s="3479"/>
      <c r="D164" s="3184"/>
      <c r="E164" s="3434" t="s">
        <v>1477</v>
      </c>
      <c r="F164" s="3435"/>
      <c r="G164" s="3435"/>
      <c r="H164" s="898" t="s">
        <v>1394</v>
      </c>
      <c r="I164" s="1689"/>
      <c r="J164" s="2275">
        <f>IF(ISNA(AL164),0,MAX(MIN(AL164-VLOOKUP("Apto en campo: "&amp;$B164,Tabla_Ventajas,3,FALSE)-Tablas!$O311-2*Tablas!$Q311-3*Tablas!$S311,3),1))</f>
        <v>2</v>
      </c>
      <c r="K164" s="2061"/>
      <c r="L164" s="2275">
        <f>IF(ISNA(AN164),0,MAX(MIN(AN164-VLOOKUP("Apto en campo: "&amp;$B164,Tabla_Ventajas,3,FALSE)-Tablas!$O311-2*Tablas!$Q311-3*Tablas!$S311,3),1))</f>
        <v>0</v>
      </c>
      <c r="M164" s="2061"/>
      <c r="N164" s="2275">
        <f>IF(ISNA(AP164),0,MAX(MIN(AP164-VLOOKUP("Apto en campo: "&amp;$B164,Tabla_Ventajas,3,FALSE)-Tablas!$O311-2*Tablas!$Q311-3*Tablas!$S311,3),1))</f>
        <v>0</v>
      </c>
      <c r="O164" s="2061"/>
      <c r="P164" s="2275">
        <f>IF(ISNA(AR164),0,MAX(MIN(AR164-VLOOKUP("Apto en campo: "&amp;$B164,Tabla_Ventajas,3,FALSE)-Tablas!$O311-2*Tablas!$Q311-3*Tablas!$S311,3),1))</f>
        <v>0</v>
      </c>
      <c r="Q164" s="2061"/>
      <c r="R164" s="2275">
        <f>IF(ISNA(AT164),0,MAX(MIN(AT164-VLOOKUP("Apto en campo: "&amp;$B164,Tabla_Ventajas,3,FALSE)-Tablas!$O311-2*Tablas!$Q311-3*Tablas!$S311,3),1))</f>
        <v>0</v>
      </c>
      <c r="S164" s="2061"/>
      <c r="T164" s="551">
        <f>IF(J164=0,0,TRUNC(K164/J164,0))+IF(L164=0,0,TRUNC(M164/L164,0))+IF(N164=0,0,TRUNC(O164/N164,0))+IF(P164=0,0,TRUNC(Q164/P164,0))+IF(R164=0,0,TRUNC(S164/R164,0))+IF(Personalización!$E$20="Como Base (no oficial)",AF164,0)</f>
        <v>0</v>
      </c>
      <c r="U164" s="551">
        <f t="shared" si="37"/>
        <v>0</v>
      </c>
      <c r="V164" s="551">
        <f>IF(ISNA(HLOOKUP($E164,Bonos_Cat_Base,2,FALSE)),0,HLOOKUP($E164,Bonos_Cat_Base,2,FALSE))+Tablas!$Z311*Nivel_Total+10*Y164</f>
        <v>0</v>
      </c>
      <c r="W164" s="2066"/>
      <c r="X164" s="2061"/>
      <c r="Y164" s="2066"/>
      <c r="Z164" s="2556"/>
      <c r="AA164" s="2709" t="str">
        <f>IF(AND(T164&lt;5,Tablas!G$303=0),"-",+T164+U164+V164+Z164+IF(I164="",0,40)+Mod_ATA+AD164+IF(Personalización!$E$20="Como Base (no oficial)",0,AF164))</f>
        <v>-</v>
      </c>
      <c r="AB164" s="1990">
        <f t="shared" si="38"/>
        <v>0</v>
      </c>
      <c r="AC164" s="953"/>
      <c r="AD164" s="2755"/>
      <c r="AE164" s="276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71">
        <f>IF(AF$123,IF(OR(Region="",ClaseSocial="",Personalización!$AN$9),0,IF(OR(AND(AI164,AJ164),AND(NOT(AI164),NOT(AJ164))),LEFT(AG164,2)+LEFT(AH164,2),IF(AND(AI164,NOT(AJ164)),LEFT(AH164,2),0))),0)</f>
        <v>0</v>
      </c>
      <c r="AG164" s="2755" t="e">
        <f>HLOOKUP(Region&amp;ClaseSocial,Tabla_RaicesCulturales,Tablas!F180,FALSE)</f>
        <v>#N/A</v>
      </c>
      <c r="AH164" s="2764">
        <f>IF(AND(E164="Historia",Personalización!$E$24="Historia (Local)"),20&amp;" "&amp;Personalización!$E$24,IF(E164=Personalización!$E$23,VLOOKUP(E164,Tablas!$L$136:$M$137,2,FALSE),IF(E164=Personalización!$E$24,VLOOKUP(E164,Tablas!$N$136:$O$137,2,FALSE),0)))</f>
        <v>0</v>
      </c>
      <c r="AI164" s="2764" t="b">
        <f t="shared" si="39"/>
        <v>0</v>
      </c>
      <c r="AJ164" s="2764" t="b">
        <f t="shared" si="40"/>
        <v>0</v>
      </c>
      <c r="AK164" s="2764"/>
      <c r="AL164" s="2759">
        <f t="shared" si="41"/>
        <v>2</v>
      </c>
      <c r="AM164" s="2759"/>
      <c r="AN164" s="2759" t="e">
        <f t="shared" si="42"/>
        <v>#N/A</v>
      </c>
      <c r="AO164" s="2759"/>
      <c r="AP164" s="2759" t="e">
        <f t="shared" si="43"/>
        <v>#N/A</v>
      </c>
      <c r="AQ164" s="1986"/>
      <c r="AR164" s="2759" t="e">
        <f t="shared" si="44"/>
        <v>#N/A</v>
      </c>
      <c r="AS164" s="1986"/>
      <c r="AT164" s="2759" t="e">
        <f t="shared" si="45"/>
        <v>#N/A</v>
      </c>
      <c r="AU164" s="1986"/>
      <c r="AV164" s="1986"/>
    </row>
    <row r="165" spans="1:48" ht="12" customHeight="1" x14ac:dyDescent="0.2">
      <c r="A165" s="31"/>
      <c r="B165" s="925" t="str">
        <f>D165</f>
        <v>Creativas</v>
      </c>
      <c r="C165" s="3479"/>
      <c r="D165" s="3183" t="s">
        <v>1478</v>
      </c>
      <c r="E165" s="3431" t="s">
        <v>1479</v>
      </c>
      <c r="F165" s="3432"/>
      <c r="G165" s="3432"/>
      <c r="H165" s="899" t="s">
        <v>1399</v>
      </c>
      <c r="I165" s="1725"/>
      <c r="J165" s="2277">
        <f>IF(ISNA(AL165),0,MAX(MIN(AL165-VLOOKUP("Apto en campo: "&amp;$B165,Tabla_Ventajas,3,FALSE)-Tablas!$O312-2*Tablas!$Q312-3*Tablas!$S312,3),1))</f>
        <v>2</v>
      </c>
      <c r="K165" s="2063"/>
      <c r="L165" s="2277">
        <f>IF(ISNA(AN165),0,MAX(MIN(AN165-VLOOKUP("Apto en campo: "&amp;$B165,Tabla_Ventajas,3,FALSE)-Tablas!$O312-2*Tablas!$Q312-3*Tablas!$S312,3),1))</f>
        <v>0</v>
      </c>
      <c r="M165" s="2063"/>
      <c r="N165" s="2277">
        <f>IF(ISNA(AP165),0,MAX(MIN(AP165-VLOOKUP("Apto en campo: "&amp;$B165,Tabla_Ventajas,3,FALSE)-Tablas!$O312-2*Tablas!$Q312-3*Tablas!$S312,3),1))</f>
        <v>0</v>
      </c>
      <c r="O165" s="2063"/>
      <c r="P165" s="2277">
        <f>IF(ISNA(AR165),0,MAX(MIN(AR165-VLOOKUP("Apto en campo: "&amp;$B165,Tabla_Ventajas,3,FALSE)-Tablas!$O312-2*Tablas!$Q312-3*Tablas!$S312,3),1))</f>
        <v>0</v>
      </c>
      <c r="Q165" s="2063"/>
      <c r="R165" s="2277">
        <f>IF(ISNA(AT165),0,MAX(MIN(AT165-VLOOKUP("Apto en campo: "&amp;$B165,Tabla_Ventajas,3,FALSE)-Tablas!$O312-2*Tablas!$Q312-3*Tablas!$S312,3),1))</f>
        <v>0</v>
      </c>
      <c r="S165" s="2063"/>
      <c r="T165" s="549">
        <f>IF(J165=0,0,TRUNC(K165/J165,0))+IF(L165=0,0,TRUNC(M165/L165,0))+IF(N165=0,0,TRUNC(O165/N165,0))+IF(P165=0,0,TRUNC(Q165/P165,0))+IF(R165=0,0,TRUNC(S165/R165,0))+IF(Personalización!$E$20="Como Base (no oficial)",AF165,0)</f>
        <v>0</v>
      </c>
      <c r="U165" s="549">
        <f t="shared" si="37"/>
        <v>15</v>
      </c>
      <c r="V165" s="549">
        <f>IF(ISNA(HLOOKUP($E165,Bonos_Cat_Base,2,FALSE)),0,HLOOKUP($E165,Bonos_Cat_Base,2,FALSE))+Tablas!$Z312*Nivel_Total+10*Y165</f>
        <v>0</v>
      </c>
      <c r="W165" s="2058"/>
      <c r="X165" s="2063"/>
      <c r="Y165" s="2058"/>
      <c r="Z165" s="2557"/>
      <c r="AA165" s="1474">
        <f>IF(AND(T165&lt;5,Tablas!G$303=0),-30,0)+T165+U165+V165+Z165+IF(I165="",0,40)+Mod_ATA+AD165+IF(Personalización!$E$20="Como Base (no oficial)",0,AF165)</f>
        <v>-15</v>
      </c>
      <c r="AB165" s="1990">
        <f t="shared" si="38"/>
        <v>0</v>
      </c>
      <c r="AC165" s="953"/>
      <c r="AD165" s="2755">
        <f>Tablas!$K$1775</f>
        <v>0</v>
      </c>
      <c r="AE165" s="276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1">
        <f>IF(AF$123,IF(OR(Region="",ClaseSocial="",Personalización!$AN$9),0,IF(OR(AND(AI165,AJ165),AND(NOT(AI165),NOT(AJ165))),LEFT(AG165,2)+LEFT(AH165,2),IF(AND(AI165,NOT(AJ165)),LEFT(AH165,2),0))),0)</f>
        <v>0</v>
      </c>
      <c r="AG165" s="2755" t="e">
        <f>HLOOKUP(Region&amp;ClaseSocial,Tabla_RaicesCulturales,Tablas!F181,FALSE)</f>
        <v>#N/A</v>
      </c>
      <c r="AH165" s="2764">
        <f>IF(AND(E165="Historia",Personalización!$E$24="Historia (Local)"),20&amp;" "&amp;Personalización!$E$24,IF(E165=Personalización!$E$23,VLOOKUP(E165,Tablas!$L$136:$M$137,2,FALSE),IF(E165=Personalización!$E$24,VLOOKUP(E165,Tablas!$N$136:$O$137,2,FALSE),0)))</f>
        <v>0</v>
      </c>
      <c r="AI165" s="2764" t="b">
        <f t="shared" si="39"/>
        <v>0</v>
      </c>
      <c r="AJ165" s="2764" t="b">
        <f t="shared" si="40"/>
        <v>0</v>
      </c>
      <c r="AK165" s="2764"/>
      <c r="AL165" s="2759">
        <f t="shared" si="41"/>
        <v>2</v>
      </c>
      <c r="AM165" s="2759"/>
      <c r="AN165" s="2759" t="e">
        <f t="shared" si="42"/>
        <v>#N/A</v>
      </c>
      <c r="AO165" s="2759"/>
      <c r="AP165" s="2759" t="e">
        <f t="shared" si="43"/>
        <v>#N/A</v>
      </c>
      <c r="AQ165" s="1986"/>
      <c r="AR165" s="2759" t="e">
        <f t="shared" si="44"/>
        <v>#N/A</v>
      </c>
      <c r="AS165" s="1986"/>
      <c r="AT165" s="2759" t="e">
        <f t="shared" si="45"/>
        <v>#N/A</v>
      </c>
      <c r="AU165" s="1986"/>
      <c r="AV165" s="1986"/>
    </row>
    <row r="166" spans="1:48" ht="12" customHeight="1" x14ac:dyDescent="0.2">
      <c r="A166" s="31"/>
      <c r="B166" s="925" t="str">
        <f>B165</f>
        <v>Creativas</v>
      </c>
      <c r="C166" s="3479"/>
      <c r="D166" s="3183"/>
      <c r="E166" s="3429" t="s">
        <v>1480</v>
      </c>
      <c r="F166" s="3430"/>
      <c r="G166" s="3430"/>
      <c r="H166" s="898" t="s">
        <v>1381</v>
      </c>
      <c r="I166" s="1690"/>
      <c r="J166" s="616">
        <f>IF(ISNA(AL166),0,MAX(MIN(AL166-VLOOKUP("Apto en campo: "&amp;$B166,Tabla_Ventajas,3,FALSE)-Tablas!$O313-2*Tablas!$Q313-3*Tablas!$S313,3),1))</f>
        <v>2</v>
      </c>
      <c r="K166" s="2061"/>
      <c r="L166" s="616">
        <f>IF(ISNA(AN166),0,MAX(MIN(AN166-VLOOKUP("Apto en campo: "&amp;$B166,Tabla_Ventajas,3,FALSE)-Tablas!$O313-2*Tablas!$Q313-3*Tablas!$S313,3),1))</f>
        <v>0</v>
      </c>
      <c r="M166" s="2061"/>
      <c r="N166" s="616">
        <f>IF(ISNA(AP166),0,MAX(MIN(AP166-VLOOKUP("Apto en campo: "&amp;$B166,Tabla_Ventajas,3,FALSE)-Tablas!$O313-2*Tablas!$Q313-3*Tablas!$S313,3),1))</f>
        <v>0</v>
      </c>
      <c r="O166" s="2061"/>
      <c r="P166" s="616">
        <f>IF(ISNA(AR166),0,MAX(MIN(AR166-VLOOKUP("Apto en campo: "&amp;$B166,Tabla_Ventajas,3,FALSE)-Tablas!$O313-2*Tablas!$Q313-3*Tablas!$S313,3),1))</f>
        <v>0</v>
      </c>
      <c r="Q166" s="2061"/>
      <c r="R166" s="616">
        <f>IF(ISNA(AT166),0,MAX(MIN(AT166-VLOOKUP("Apto en campo: "&amp;$B166,Tabla_Ventajas,3,FALSE)-Tablas!$O313-2*Tablas!$Q313-3*Tablas!$S313,3),1))</f>
        <v>0</v>
      </c>
      <c r="S166" s="2061"/>
      <c r="T166" s="550">
        <f>IF(J166=0,0,TRUNC(K166/J166,0))+IF(L166=0,0,TRUNC(M166/L166,0))+IF(N166=0,0,TRUNC(O166/N166,0))+IF(P166=0,0,TRUNC(Q166/P166,0))+IF(R166=0,0,TRUNC(S166/R166,0))+IF(Personalización!$E$20="Como Base (no oficial)",AF166,0)</f>
        <v>0</v>
      </c>
      <c r="U166" s="550">
        <f t="shared" si="37"/>
        <v>15</v>
      </c>
      <c r="V166" s="550">
        <f>IF(ISNA(HLOOKUP($E166,Bonos_Cat_Base,2,FALSE)),0,HLOOKUP($E166,Bonos_Cat_Base,2,FALSE))+Tablas!$Z313*Nivel_Total+10*Y166</f>
        <v>0</v>
      </c>
      <c r="W166" s="2060"/>
      <c r="X166" s="2061"/>
      <c r="Y166" s="2060"/>
      <c r="Z166" s="2556"/>
      <c r="AA166" s="558" t="str">
        <f>IF(AND(T166&lt;5,Tablas!G$303=0),"-",T166+U166+V166+Z166+IF(I166="",0,40)+Mod_ATA+AD166+IF(Personalización!$E$20="Como Base (no oficial)",0,AF166))</f>
        <v>-</v>
      </c>
      <c r="AB166" s="1990">
        <f t="shared" si="38"/>
        <v>0</v>
      </c>
      <c r="AC166" s="953"/>
      <c r="AD166" s="2755"/>
      <c r="AE166" s="276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1">
        <f>IF(AF$123,IF(OR(Region="",ClaseSocial="",Personalización!$AN$9),0,IF(OR(AND(AI166,AJ166),AND(NOT(AI166),NOT(AJ166))),LEFT(AG166,2)+LEFT(AH166,2),IF(AND(AI166,NOT(AJ166)),LEFT(AH166,2),0))),0)</f>
        <v>0</v>
      </c>
      <c r="AG166" s="2755" t="e">
        <f>HLOOKUP(Region&amp;ClaseSocial,Tabla_RaicesCulturales,Tablas!F182,FALSE)</f>
        <v>#N/A</v>
      </c>
      <c r="AH166" s="2764">
        <f>IF(AND(E166="Historia",Personalización!$E$24="Historia (Local)"),20&amp;" "&amp;Personalización!$E$24,IF(E166=Personalización!$E$23,VLOOKUP(E166,Tablas!$L$136:$M$137,2,FALSE),IF(E166=Personalización!$E$24,VLOOKUP(E166,Tablas!$N$136:$O$137,2,FALSE),0)))</f>
        <v>0</v>
      </c>
      <c r="AI166" s="2764" t="b">
        <f t="shared" si="39"/>
        <v>0</v>
      </c>
      <c r="AJ166" s="2764" t="b">
        <f t="shared" si="40"/>
        <v>0</v>
      </c>
      <c r="AK166" s="2764"/>
      <c r="AL166" s="2759">
        <f t="shared" si="41"/>
        <v>2</v>
      </c>
      <c r="AM166" s="2759"/>
      <c r="AN166" s="2759" t="e">
        <f t="shared" si="42"/>
        <v>#N/A</v>
      </c>
      <c r="AO166" s="2759"/>
      <c r="AP166" s="2759" t="e">
        <f t="shared" si="43"/>
        <v>#N/A</v>
      </c>
      <c r="AQ166" s="1986"/>
      <c r="AR166" s="2759" t="e">
        <f t="shared" si="44"/>
        <v>#N/A</v>
      </c>
      <c r="AS166" s="1986"/>
      <c r="AT166" s="2759" t="e">
        <f t="shared" si="45"/>
        <v>#N/A</v>
      </c>
      <c r="AU166" s="1986"/>
      <c r="AV166" s="1986"/>
    </row>
    <row r="167" spans="1:48" ht="12" customHeight="1" x14ac:dyDescent="0.2">
      <c r="A167" s="31"/>
      <c r="B167" s="925" t="str">
        <f t="shared" ref="B167:B176" si="47">B166</f>
        <v>Creativas</v>
      </c>
      <c r="C167" s="3479"/>
      <c r="D167" s="3183"/>
      <c r="E167" s="3431" t="s">
        <v>1481</v>
      </c>
      <c r="F167" s="3432"/>
      <c r="G167" s="3432"/>
      <c r="H167" s="897" t="s">
        <v>1386</v>
      </c>
      <c r="I167" s="1723"/>
      <c r="J167" s="2277">
        <f>IF(ISNA(AL167),0,MAX(MIN(AL167-VLOOKUP("Apto en campo: "&amp;$B167,Tabla_Ventajas,3,FALSE)-Tablas!$O314-2*Tablas!$Q314-3*Tablas!$S314,3),1))</f>
        <v>2</v>
      </c>
      <c r="K167" s="2059"/>
      <c r="L167" s="2277">
        <f>IF(ISNA(AN167),0,MAX(MIN(AN167-VLOOKUP("Apto en campo: "&amp;$B167,Tabla_Ventajas,3,FALSE)-Tablas!$O314-2*Tablas!$Q314-3*Tablas!$S314,3),1))</f>
        <v>0</v>
      </c>
      <c r="M167" s="2059"/>
      <c r="N167" s="2277">
        <f>IF(ISNA(AP167),0,MAX(MIN(AP167-VLOOKUP("Apto en campo: "&amp;$B167,Tabla_Ventajas,3,FALSE)-Tablas!$O314-2*Tablas!$Q314-3*Tablas!$S314,3),1))</f>
        <v>0</v>
      </c>
      <c r="O167" s="2059"/>
      <c r="P167" s="2277">
        <f>IF(ISNA(AR167),0,MAX(MIN(AR167-VLOOKUP("Apto en campo: "&amp;$B167,Tabla_Ventajas,3,FALSE)-Tablas!$O314-2*Tablas!$Q314-3*Tablas!$S314,3),1))</f>
        <v>0</v>
      </c>
      <c r="Q167" s="2059"/>
      <c r="R167" s="2277">
        <f>IF(ISNA(AT167),0,MAX(MIN(AT167-VLOOKUP("Apto en campo: "&amp;$B167,Tabla_Ventajas,3,FALSE)-Tablas!$O314-2*Tablas!$Q314-3*Tablas!$S314,3),1))</f>
        <v>0</v>
      </c>
      <c r="S167" s="2059"/>
      <c r="T167" s="549">
        <f>IF(J167=0,0,TRUNC(K167/J167,0))+IF(L167=0,0,TRUNC(M167/L167,0))+IF(N167=0,0,TRUNC(O167/N167,0))+IF(P167=0,0,TRUNC(Q167/P167,0))+IF(R167=0,0,TRUNC(S167/R167,0))+IF(Personalización!$E$20="Como Base (no oficial)",AF167,0)</f>
        <v>0</v>
      </c>
      <c r="U167" s="549">
        <f t="shared" si="37"/>
        <v>0</v>
      </c>
      <c r="V167" s="549">
        <f>IF(ISNA(HLOOKUP($E167,Bonos_Cat_Base,2,FALSE)),0,HLOOKUP($E167,Bonos_Cat_Base,2,FALSE))+Tablas!$Z314*Nivel_Total+10*Y167</f>
        <v>0</v>
      </c>
      <c r="W167" s="2058"/>
      <c r="X167" s="2059"/>
      <c r="Y167" s="2058"/>
      <c r="Z167" s="2555"/>
      <c r="AA167" s="557" t="str">
        <f>IF(AND(T167&lt;5,Tablas!G$303=0),"-",T167+U167+V167+Z167+IF(I167="",0,40)+Mod_ATA+AD167+IF(Personalización!$E$20="Como Base (no oficial)",0,AF167))</f>
        <v>-</v>
      </c>
      <c r="AB167" s="1990">
        <f t="shared" si="38"/>
        <v>0</v>
      </c>
      <c r="AC167" s="953"/>
      <c r="AD167" s="2755"/>
      <c r="AE167" s="276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1">
        <f>IF(AF$123,IF(OR(Region="",ClaseSocial="",Personalización!$AN$9),0,IF(OR(AND(AI167,AJ167),AND(NOT(AI167),NOT(AJ167))),LEFT(AG167,2)+LEFT(AH167,2),IF(AND(AI167,NOT(AJ167)),LEFT(AH167,2),0))),0)</f>
        <v>0</v>
      </c>
      <c r="AG167" s="2755" t="e">
        <f>HLOOKUP(Region&amp;ClaseSocial,Tabla_RaicesCulturales,Tablas!F183,FALSE)</f>
        <v>#N/A</v>
      </c>
      <c r="AH167" s="2764">
        <f>IF(AND(E167="Historia",Personalización!$E$24="Historia (Local)"),20&amp;" "&amp;Personalización!$E$24,IF(E167=Personalización!$E$23,VLOOKUP(E167,Tablas!$L$136:$M$137,2,FALSE),IF(E167=Personalización!$E$24,VLOOKUP(E167,Tablas!$N$136:$O$137,2,FALSE),0)))</f>
        <v>0</v>
      </c>
      <c r="AI167" s="2764" t="b">
        <f t="shared" si="39"/>
        <v>0</v>
      </c>
      <c r="AJ167" s="2764" t="b">
        <f t="shared" si="40"/>
        <v>0</v>
      </c>
      <c r="AK167" s="2764"/>
      <c r="AL167" s="2759">
        <f t="shared" si="41"/>
        <v>2</v>
      </c>
      <c r="AM167" s="2759"/>
      <c r="AN167" s="2759" t="e">
        <f t="shared" si="42"/>
        <v>#N/A</v>
      </c>
      <c r="AO167" s="2759"/>
      <c r="AP167" s="2759" t="e">
        <f t="shared" si="43"/>
        <v>#N/A</v>
      </c>
      <c r="AQ167" s="1986"/>
      <c r="AR167" s="2759" t="e">
        <f t="shared" si="44"/>
        <v>#N/A</v>
      </c>
      <c r="AS167" s="1986"/>
      <c r="AT167" s="2759" t="e">
        <f t="shared" si="45"/>
        <v>#N/A</v>
      </c>
      <c r="AU167" s="1986"/>
      <c r="AV167" s="1986"/>
    </row>
    <row r="168" spans="1:48" ht="12" customHeight="1" x14ac:dyDescent="0.2">
      <c r="A168" s="31"/>
      <c r="B168" s="925" t="str">
        <f t="shared" si="47"/>
        <v>Creativas</v>
      </c>
      <c r="C168" s="3479"/>
      <c r="D168" s="3183"/>
      <c r="E168" s="3429" t="s">
        <v>816</v>
      </c>
      <c r="F168" s="3430"/>
      <c r="G168" s="3430"/>
      <c r="H168" s="898" t="s">
        <v>1386</v>
      </c>
      <c r="I168" s="1689"/>
      <c r="J168" s="616">
        <f>IF(ISNA(AL168),0,MAX(MIN(AL168-VLOOKUP("Apto en campo: "&amp;$B168,Tabla_Ventajas,3,FALSE)-Tablas!$O315-2*Tablas!$Q315-3*Tablas!$S315,3),1))</f>
        <v>2</v>
      </c>
      <c r="K168" s="2061"/>
      <c r="L168" s="616">
        <f>IF(ISNA(AN168),0,MAX(MIN(AN168-VLOOKUP("Apto en campo: "&amp;$B168,Tabla_Ventajas,3,FALSE)-Tablas!$O315-2*Tablas!$Q315-3*Tablas!$S315,3),1))</f>
        <v>0</v>
      </c>
      <c r="M168" s="2061"/>
      <c r="N168" s="616">
        <f>IF(ISNA(AP168),0,MAX(MIN(AP168-VLOOKUP("Apto en campo: "&amp;$B168,Tabla_Ventajas,3,FALSE)-Tablas!$O315-2*Tablas!$Q315-3*Tablas!$S315,3),1))</f>
        <v>0</v>
      </c>
      <c r="O168" s="2061"/>
      <c r="P168" s="616">
        <f>IF(ISNA(AR168),0,MAX(MIN(AR168-VLOOKUP("Apto en campo: "&amp;$B168,Tabla_Ventajas,3,FALSE)-Tablas!$O315-2*Tablas!$Q315-3*Tablas!$S315,3),1))</f>
        <v>0</v>
      </c>
      <c r="Q168" s="2061"/>
      <c r="R168" s="616">
        <f>IF(ISNA(AT168),0,MAX(MIN(AT168-VLOOKUP("Apto en campo: "&amp;$B168,Tabla_Ventajas,3,FALSE)-Tablas!$O315-2*Tablas!$Q315-3*Tablas!$S315,3),1))</f>
        <v>0</v>
      </c>
      <c r="S168" s="2061"/>
      <c r="T168" s="550">
        <f>IF(J168=0,0,TRUNC(K168/J168,0))+IF(L168=0,0,TRUNC(M168/L168,0))+IF(N168=0,0,TRUNC(O168/N168,0))+IF(P168=0,0,TRUNC(Q168/P168,0))+IF(R168=0,0,TRUNC(S168/R168,0))+IF(Personalización!$E$20="Como Base (no oficial)",AF168,0)</f>
        <v>0</v>
      </c>
      <c r="U168" s="550">
        <f t="shared" si="37"/>
        <v>0</v>
      </c>
      <c r="V168" s="550">
        <f>IF(ISNA(HLOOKUP($E168,Bonos_Cat_Base,2,FALSE)),0,HLOOKUP($E168,Bonos_Cat_Base,2,FALSE))+Tablas!$Z315*Nivel_Total+10*Y168</f>
        <v>0</v>
      </c>
      <c r="W168" s="2060"/>
      <c r="X168" s="2061"/>
      <c r="Y168" s="2060"/>
      <c r="Z168" s="2556"/>
      <c r="AA168" s="1475">
        <f>IF(AND(T168&lt;5,Tablas!G$303=0),-30,0)+T168+U168+V168+Z168+IF(I168="",0,40)+Mod_ATA+AD168+IF(Personalización!$E$20="Como Base (no oficial)",0,AF168)</f>
        <v>-30</v>
      </c>
      <c r="AB168" s="1990">
        <f t="shared" si="38"/>
        <v>0</v>
      </c>
      <c r="AC168" s="953"/>
      <c r="AD168" s="2755"/>
      <c r="AE168" s="276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1">
        <f>IF(AF$123,IF(OR(Region="",ClaseSocial="",Personalización!$AN$9),0,IF(OR(AND(AI168,AJ168),AND(NOT(AI168),NOT(AJ168))),LEFT(AG168,2)+LEFT(AH168,2),IF(AND(AI168,NOT(AJ168)),LEFT(AH168,2),0))),0)</f>
        <v>0</v>
      </c>
      <c r="AG168" s="2755" t="e">
        <f>HLOOKUP(Region&amp;ClaseSocial,Tabla_RaicesCulturales,Tablas!F184,FALSE)</f>
        <v>#N/A</v>
      </c>
      <c r="AH168" s="2764">
        <f>IF(AND(E168="Historia",Personalización!$E$24="Historia (Local)"),20&amp;" "&amp;Personalización!$E$24,IF(E168=Personalización!$E$23,VLOOKUP(E168,Tablas!$L$136:$M$137,2,FALSE),IF(E168=Personalización!$E$24,VLOOKUP(E168,Tablas!$N$136:$O$137,2,FALSE),0)))</f>
        <v>0</v>
      </c>
      <c r="AI168" s="2764" t="b">
        <f t="shared" si="39"/>
        <v>0</v>
      </c>
      <c r="AJ168" s="2764" t="b">
        <f t="shared" si="40"/>
        <v>0</v>
      </c>
      <c r="AK168" s="2764"/>
      <c r="AL168" s="2759">
        <f t="shared" si="41"/>
        <v>2</v>
      </c>
      <c r="AM168" s="2759"/>
      <c r="AN168" s="2759" t="e">
        <f t="shared" si="42"/>
        <v>#N/A</v>
      </c>
      <c r="AO168" s="2759"/>
      <c r="AP168" s="2759" t="e">
        <f t="shared" si="43"/>
        <v>#N/A</v>
      </c>
      <c r="AQ168" s="1986"/>
      <c r="AR168" s="2759" t="e">
        <f t="shared" si="44"/>
        <v>#N/A</v>
      </c>
      <c r="AS168" s="1986"/>
      <c r="AT168" s="2759" t="e">
        <f t="shared" si="45"/>
        <v>#N/A</v>
      </c>
      <c r="AU168" s="1986"/>
      <c r="AV168" s="1986"/>
    </row>
    <row r="169" spans="1:48" ht="12" customHeight="1" x14ac:dyDescent="0.2">
      <c r="A169" s="31"/>
      <c r="B169" s="925" t="str">
        <f t="shared" si="47"/>
        <v>Creativas</v>
      </c>
      <c r="C169" s="3479"/>
      <c r="D169" s="3183"/>
      <c r="E169" s="3431" t="s">
        <v>817</v>
      </c>
      <c r="F169" s="3432"/>
      <c r="G169" s="3432"/>
      <c r="H169" s="897" t="s">
        <v>1394</v>
      </c>
      <c r="I169" s="1721"/>
      <c r="J169" s="2277">
        <f>IF(ISNA(AL169),0,MAX(MIN(AL169-VLOOKUP("Apto en campo: "&amp;$B169,Tabla_Ventajas,3,FALSE)-Tablas!$O316-2*Tablas!$Q316-3*Tablas!$S316,3),1))</f>
        <v>2</v>
      </c>
      <c r="K169" s="2059"/>
      <c r="L169" s="2277">
        <f>IF(ISNA(AN169),0,MAX(MIN(AN169-VLOOKUP("Apto en campo: "&amp;$B169,Tabla_Ventajas,3,FALSE)-Tablas!$O316-2*Tablas!$Q316-3*Tablas!$S316,3),1))</f>
        <v>0</v>
      </c>
      <c r="M169" s="2059"/>
      <c r="N169" s="2277">
        <f>IF(ISNA(AP169),0,MAX(MIN(AP169-VLOOKUP("Apto en campo: "&amp;$B169,Tabla_Ventajas,3,FALSE)-Tablas!$O316-2*Tablas!$Q316-3*Tablas!$S316,3),1))</f>
        <v>0</v>
      </c>
      <c r="O169" s="2059"/>
      <c r="P169" s="2277">
        <f>IF(ISNA(AR169),0,MAX(MIN(AR169-VLOOKUP("Apto en campo: "&amp;$B169,Tabla_Ventajas,3,FALSE)-Tablas!$O316-2*Tablas!$Q316-3*Tablas!$S316,3),1))</f>
        <v>0</v>
      </c>
      <c r="Q169" s="2059"/>
      <c r="R169" s="2277">
        <f>IF(ISNA(AT169),0,MAX(MIN(AT169-VLOOKUP("Apto en campo: "&amp;$B169,Tabla_Ventajas,3,FALSE)-Tablas!$O316-2*Tablas!$Q316-3*Tablas!$S316,3),1))</f>
        <v>0</v>
      </c>
      <c r="S169" s="2059"/>
      <c r="T169" s="549">
        <f>IF(J169=0,0,TRUNC(K169/J169,0))+IF(L169=0,0,TRUNC(M169/L169,0))+IF(N169=0,0,TRUNC(O169/N169,0))+IF(P169=0,0,TRUNC(Q169/P169,0))+IF(R169=0,0,TRUNC(S169/R169,0))+IF(Personalización!$E$20="Como Base (no oficial)",AF169,0)</f>
        <v>0</v>
      </c>
      <c r="U169" s="549">
        <f t="shared" si="37"/>
        <v>0</v>
      </c>
      <c r="V169" s="549">
        <f>IF(ISNA(HLOOKUP($E169,Bonos_Cat_Base,2,FALSE)),0,HLOOKUP($E169,Bonos_Cat_Base,2,FALSE))+Tablas!$Z316*Nivel_Total+10*Y169</f>
        <v>0</v>
      </c>
      <c r="W169" s="2058"/>
      <c r="X169" s="2059"/>
      <c r="Y169" s="2058"/>
      <c r="Z169" s="2555"/>
      <c r="AA169" s="1474">
        <f>IF(AND(T169&lt;5,Tablas!G$303=0),-30,0)+T169+U169+V169+Z169+IF(I169="",0,40)+Mod_ATA+AD169+IF(Personalización!$E$20="Como Base (no oficial)",0,AF169)</f>
        <v>-30</v>
      </c>
      <c r="AB169" s="1990">
        <f t="shared" si="38"/>
        <v>0</v>
      </c>
      <c r="AC169" s="953"/>
      <c r="AD169" s="2755"/>
      <c r="AE169" s="276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1">
        <f>IF(AF$123,IF(OR(Region="",ClaseSocial="",Personalización!$AN$9),0,IF(OR(AND(AI169,AJ169),AND(NOT(AI169),NOT(AJ169))),LEFT(AG169,2)+LEFT(AH169,2),IF(AND(AI169,NOT(AJ169)),LEFT(AH169,2),0))),0)</f>
        <v>0</v>
      </c>
      <c r="AG169" s="2755" t="e">
        <f>HLOOKUP(Region&amp;ClaseSocial,Tabla_RaicesCulturales,Tablas!F185,FALSE)</f>
        <v>#N/A</v>
      </c>
      <c r="AH169" s="2764">
        <f>IF(AND(E169="Historia",Personalización!$E$24="Historia (Local)"),20&amp;" "&amp;Personalización!$E$24,IF(E169=Personalización!$E$23,VLOOKUP(E169,Tablas!$L$136:$M$137,2,FALSE),IF(E169=Personalización!$E$24,VLOOKUP(E169,Tablas!$N$136:$O$137,2,FALSE),0)))</f>
        <v>0</v>
      </c>
      <c r="AI169" s="2764" t="b">
        <f>OR(ISNUMBER(FIND("(",AG169)),ISNUMBER(FIND("(",AH169)))</f>
        <v>0</v>
      </c>
      <c r="AJ169" s="2764" t="b">
        <f>AND(NOT(I169=""),OR(ISNUMBER(SEARCH(I169,AG169)),ISNUMBER(SEARCH(I169,AH169))))</f>
        <v>0</v>
      </c>
      <c r="AK169" s="2764"/>
      <c r="AL169" s="2759">
        <f t="shared" si="41"/>
        <v>2</v>
      </c>
      <c r="AM169" s="2759"/>
      <c r="AN169" s="2759" t="e">
        <f t="shared" si="42"/>
        <v>#N/A</v>
      </c>
      <c r="AO169" s="2759"/>
      <c r="AP169" s="2759" t="e">
        <f t="shared" si="43"/>
        <v>#N/A</v>
      </c>
      <c r="AQ169" s="1986"/>
      <c r="AR169" s="2759" t="e">
        <f t="shared" si="44"/>
        <v>#N/A</v>
      </c>
      <c r="AS169" s="1986"/>
      <c r="AT169" s="2759" t="e">
        <f t="shared" si="45"/>
        <v>#N/A</v>
      </c>
      <c r="AU169" s="1986"/>
      <c r="AV169" s="1986"/>
    </row>
    <row r="170" spans="1:48" ht="12" customHeight="1" x14ac:dyDescent="0.2">
      <c r="A170" s="31"/>
      <c r="B170" s="925" t="str">
        <f t="shared" si="47"/>
        <v>Creativas</v>
      </c>
      <c r="C170" s="3479"/>
      <c r="D170" s="3183"/>
      <c r="E170" s="3429" t="s">
        <v>818</v>
      </c>
      <c r="F170" s="3430"/>
      <c r="G170" s="3430"/>
      <c r="H170" s="898" t="s">
        <v>1399</v>
      </c>
      <c r="I170" s="1689"/>
      <c r="J170" s="616">
        <f>IF(ISNA(AL170),0,MAX(MIN(AL170-VLOOKUP("Apto en campo: "&amp;$B170,Tabla_Ventajas,3,FALSE)-Tablas!$O317-2*Tablas!$Q317-3*Tablas!$S317,3),1))</f>
        <v>2</v>
      </c>
      <c r="K170" s="2061"/>
      <c r="L170" s="616">
        <f>IF(ISNA(AN170),0,MAX(MIN(AN170-VLOOKUP("Apto en campo: "&amp;$B170,Tabla_Ventajas,3,FALSE)-Tablas!$O317-2*Tablas!$Q317-3*Tablas!$S317,3),1))</f>
        <v>0</v>
      </c>
      <c r="M170" s="2061"/>
      <c r="N170" s="616">
        <f>IF(ISNA(AP170),0,MAX(MIN(AP170-VLOOKUP("Apto en campo: "&amp;$B170,Tabla_Ventajas,3,FALSE)-Tablas!$O317-2*Tablas!$Q317-3*Tablas!$S317,3),1))</f>
        <v>0</v>
      </c>
      <c r="O170" s="2061"/>
      <c r="P170" s="616">
        <f>IF(ISNA(AR170),0,MAX(MIN(AR170-VLOOKUP("Apto en campo: "&amp;$B170,Tabla_Ventajas,3,FALSE)-Tablas!$O317-2*Tablas!$Q317-3*Tablas!$S317,3),1))</f>
        <v>0</v>
      </c>
      <c r="Q170" s="2061"/>
      <c r="R170" s="616">
        <f>IF(ISNA(AT170),0,MAX(MIN(AT170-VLOOKUP("Apto en campo: "&amp;$B170,Tabla_Ventajas,3,FALSE)-Tablas!$O317-2*Tablas!$Q317-3*Tablas!$S317,3),1))</f>
        <v>0</v>
      </c>
      <c r="S170" s="2061"/>
      <c r="T170" s="550">
        <f>IF(J170=0,0,TRUNC(K170/J170,0))+IF(L170=0,0,TRUNC(M170/L170,0))+IF(N170=0,0,TRUNC(O170/N170,0))+IF(P170=0,0,TRUNC(Q170/P170,0))+IF(R170=0,0,TRUNC(S170/R170,0))+IF(Personalización!$E$20="Como Base (no oficial)",AF170,0)</f>
        <v>0</v>
      </c>
      <c r="U170" s="550">
        <f t="shared" si="37"/>
        <v>15</v>
      </c>
      <c r="V170" s="550">
        <f>IF(ISNA(HLOOKUP($E170,Bonos_Cat_Base,2,FALSE)),0,HLOOKUP($E170,Bonos_Cat_Base,2,FALSE))+Tablas!$Z317*Nivel_Total+10*Y170</f>
        <v>0</v>
      </c>
      <c r="W170" s="2060"/>
      <c r="X170" s="2061"/>
      <c r="Y170" s="2060"/>
      <c r="Z170" s="2556"/>
      <c r="AA170" s="1475">
        <f>IF(AND(T170&lt;5,Tablas!G$303=0),-30,0)+T170+U170+V170+Z170+IF(I170="",0,40)+Mod_ATA+AD170+IF(Personalización!$E$20="Como Base (no oficial)",0,AF170)</f>
        <v>-15</v>
      </c>
      <c r="AB170" s="1990">
        <f t="shared" si="38"/>
        <v>0</v>
      </c>
      <c r="AC170" s="953"/>
      <c r="AD170" s="2755"/>
      <c r="AE170" s="276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1">
        <f>IF(AF$123,IF(OR(Region="",ClaseSocial="",Personalización!$AN$9),0,IF(OR(AND(AI170,AJ170),AND(NOT(AI170),NOT(AJ170))),LEFT(AG170,2)+LEFT(AH170,2),IF(AND(AI170,NOT(AJ170)),LEFT(AH170,2),0))),0)</f>
        <v>0</v>
      </c>
      <c r="AG170" s="2755" t="e">
        <f>HLOOKUP(Region&amp;ClaseSocial,Tabla_RaicesCulturales,Tablas!F186,FALSE)</f>
        <v>#N/A</v>
      </c>
      <c r="AH170" s="2764">
        <f>IF(AND(E170="Historia",Personalización!$E$24="Historia (Local)"),20&amp;" "&amp;Personalización!$E$24,IF(E170=Personalización!$E$23,VLOOKUP(E170,Tablas!$L$136:$M$137,2,FALSE),IF(E170=Personalización!$E$24,VLOOKUP(E170,Tablas!$N$136:$O$137,2,FALSE),0)))</f>
        <v>0</v>
      </c>
      <c r="AI170" s="2764" t="b">
        <f>OR(ISNUMBER(FIND("(",AG170)),ISNUMBER(FIND("(",AH170)))</f>
        <v>0</v>
      </c>
      <c r="AJ170" s="2764" t="b">
        <f>AND(NOT(I170=""),OR(ISNUMBER(SEARCH(I170,AG170)),ISNUMBER(SEARCH(I170,AH170))))</f>
        <v>0</v>
      </c>
      <c r="AK170" s="2764"/>
      <c r="AL170" s="2759">
        <f t="shared" si="41"/>
        <v>2</v>
      </c>
      <c r="AM170" s="2759"/>
      <c r="AN170" s="2759" t="e">
        <f t="shared" si="42"/>
        <v>#N/A</v>
      </c>
      <c r="AO170" s="2759"/>
      <c r="AP170" s="2759" t="e">
        <f t="shared" si="43"/>
        <v>#N/A</v>
      </c>
      <c r="AQ170" s="1986"/>
      <c r="AR170" s="2759" t="e">
        <f t="shared" si="44"/>
        <v>#N/A</v>
      </c>
      <c r="AS170" s="1986"/>
      <c r="AT170" s="2759" t="e">
        <f t="shared" si="45"/>
        <v>#N/A</v>
      </c>
      <c r="AU170" s="1986"/>
      <c r="AV170" s="1986"/>
    </row>
    <row r="171" spans="1:48" ht="12" customHeight="1" x14ac:dyDescent="0.2">
      <c r="A171" s="31"/>
      <c r="B171" s="925" t="str">
        <f t="shared" si="47"/>
        <v>Creativas</v>
      </c>
      <c r="C171" s="3479"/>
      <c r="D171" s="3183"/>
      <c r="E171" s="3431" t="s">
        <v>1482</v>
      </c>
      <c r="F171" s="3432"/>
      <c r="G171" s="3432"/>
      <c r="H171" s="897" t="s">
        <v>1399</v>
      </c>
      <c r="I171" s="1723"/>
      <c r="J171" s="2277">
        <f>IF(ISNA(AL171),0,MAX(MIN(AL171-VLOOKUP("Apto en campo: "&amp;$B171,Tabla_Ventajas,3,FALSE)-Tablas!$O318-2*Tablas!$Q318-3*Tablas!$S318,3),1))</f>
        <v>2</v>
      </c>
      <c r="K171" s="2059"/>
      <c r="L171" s="2277">
        <f>IF(ISNA(AN171),0,MAX(MIN(AN171-VLOOKUP("Apto en campo: "&amp;$B171,Tabla_Ventajas,3,FALSE)-Tablas!$O318-2*Tablas!$Q318-3*Tablas!$S318,3),1))</f>
        <v>0</v>
      </c>
      <c r="M171" s="2059"/>
      <c r="N171" s="2277">
        <f>IF(ISNA(AP171),0,MAX(MIN(AP171-VLOOKUP("Apto en campo: "&amp;$B171,Tabla_Ventajas,3,FALSE)-Tablas!$O318-2*Tablas!$Q318-3*Tablas!$S318,3),1))</f>
        <v>0</v>
      </c>
      <c r="O171" s="2059"/>
      <c r="P171" s="2277">
        <f>IF(ISNA(AR171),0,MAX(MIN(AR171-VLOOKUP("Apto en campo: "&amp;$B171,Tabla_Ventajas,3,FALSE)-Tablas!$O318-2*Tablas!$Q318-3*Tablas!$S318,3),1))</f>
        <v>0</v>
      </c>
      <c r="Q171" s="2059"/>
      <c r="R171" s="2277">
        <f>IF(ISNA(AT171),0,MAX(MIN(AT171-VLOOKUP("Apto en campo: "&amp;$B171,Tabla_Ventajas,3,FALSE)-Tablas!$O318-2*Tablas!$Q318-3*Tablas!$S318,3),1))</f>
        <v>0</v>
      </c>
      <c r="S171" s="2059"/>
      <c r="T171" s="549">
        <f>IF(J171=0,0,TRUNC(K171/J171,0))+IF(L171=0,0,TRUNC(M171/L171,0))+IF(N171=0,0,TRUNC(O171/N171,0))+IF(P171=0,0,TRUNC(Q171/P171,0))+IF(R171=0,0,TRUNC(S171/R171,0))+IF(Personalización!$E$20="Como Base (no oficial)",AF171,0)</f>
        <v>0</v>
      </c>
      <c r="U171" s="549">
        <f t="shared" si="37"/>
        <v>15</v>
      </c>
      <c r="V171" s="549">
        <f>IF(ISNA(HLOOKUP($E171,Bonos_Cat_Base,2,FALSE)),0,HLOOKUP($E171,Bonos_Cat_Base,2,FALSE))+Tablas!$Z318*Nivel_Total+10*Y171</f>
        <v>0</v>
      </c>
      <c r="W171" s="2058"/>
      <c r="X171" s="2059"/>
      <c r="Y171" s="2058"/>
      <c r="Z171" s="2555"/>
      <c r="AA171" s="557" t="str">
        <f>IF(AND(T171&lt;5,Tablas!G$303=0),"-",T171+U171+V171+Z171+IF(I171="",0,40)+Mod_ATA+AD171+IF(Personalización!$E$20="Como Base (no oficial)",0,AF171))</f>
        <v>-</v>
      </c>
      <c r="AB171" s="1990">
        <f t="shared" si="38"/>
        <v>0</v>
      </c>
      <c r="AC171" s="953"/>
      <c r="AD171" s="2755">
        <f>Tablas!$K$1775</f>
        <v>0</v>
      </c>
      <c r="AE171" s="276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1">
        <f>IF(AF$123,IF(OR(Region="",ClaseSocial="",Personalización!$AN$9),0,IF(OR(AND(AI171,AJ171),AND(NOT(AI171),NOT(AJ171))),LEFT(AG171,2)+LEFT(AH171,2),IF(AND(AI171,NOT(AJ171)),LEFT(AH171,2),0))),0)</f>
        <v>0</v>
      </c>
      <c r="AG171" s="2755" t="e">
        <f>HLOOKUP(Region&amp;ClaseSocial,Tabla_RaicesCulturales,Tablas!F187,FALSE)</f>
        <v>#N/A</v>
      </c>
      <c r="AH171" s="2764">
        <f>IF(AND(E171="Historia",Personalización!$E$24="Historia (Local)"),20&amp;" "&amp;Personalización!$E$24,IF(E171=Personalización!$E$23,VLOOKUP(E171,Tablas!$L$136:$M$137,2,FALSE),IF(E171=Personalización!$E$24,VLOOKUP(E171,Tablas!$N$136:$O$137,2,FALSE),0)))</f>
        <v>0</v>
      </c>
      <c r="AI171" s="2764" t="b">
        <f t="shared" si="39"/>
        <v>0</v>
      </c>
      <c r="AJ171" s="2764" t="b">
        <f t="shared" si="40"/>
        <v>0</v>
      </c>
      <c r="AK171" s="2764"/>
      <c r="AL171" s="2759">
        <f t="shared" si="41"/>
        <v>2</v>
      </c>
      <c r="AM171" s="2759"/>
      <c r="AN171" s="2759" t="e">
        <f t="shared" si="42"/>
        <v>#N/A</v>
      </c>
      <c r="AO171" s="2759"/>
      <c r="AP171" s="2759" t="e">
        <f t="shared" si="43"/>
        <v>#N/A</v>
      </c>
      <c r="AQ171" s="1986"/>
      <c r="AR171" s="2759" t="e">
        <f t="shared" si="44"/>
        <v>#N/A</v>
      </c>
      <c r="AS171" s="1986"/>
      <c r="AT171" s="2759" t="e">
        <f t="shared" si="45"/>
        <v>#N/A</v>
      </c>
      <c r="AU171" s="1986"/>
      <c r="AV171" s="1986"/>
    </row>
    <row r="172" spans="1:48" ht="12" customHeight="1" x14ac:dyDescent="0.2">
      <c r="A172" s="31"/>
      <c r="B172" s="925" t="str">
        <f t="shared" si="47"/>
        <v>Creativas</v>
      </c>
      <c r="C172" s="3479"/>
      <c r="D172" s="3183"/>
      <c r="E172" s="3429" t="s">
        <v>1484</v>
      </c>
      <c r="F172" s="3430"/>
      <c r="G172" s="3430"/>
      <c r="H172" s="898" t="s">
        <v>1386</v>
      </c>
      <c r="I172" s="1690"/>
      <c r="J172" s="616">
        <f>IF(ISNA(AL172),0,MAX(MIN(AL172-VLOOKUP("Apto en campo: "&amp;$B172,Tabla_Ventajas,3,FALSE)-Tablas!$O319-2*Tablas!$Q319-3*Tablas!$S319,3),1))</f>
        <v>2</v>
      </c>
      <c r="K172" s="2061"/>
      <c r="L172" s="616">
        <f>IF(ISNA(AN172),0,MAX(MIN(AN172-VLOOKUP("Apto en campo: "&amp;$B172,Tabla_Ventajas,3,FALSE)-Tablas!$O319-2*Tablas!$Q319-3*Tablas!$S319,3),1))</f>
        <v>0</v>
      </c>
      <c r="M172" s="2061"/>
      <c r="N172" s="616">
        <f>IF(ISNA(AP172),0,MAX(MIN(AP172-VLOOKUP("Apto en campo: "&amp;$B172,Tabla_Ventajas,3,FALSE)-Tablas!$O319-2*Tablas!$Q319-3*Tablas!$S319,3),1))</f>
        <v>0</v>
      </c>
      <c r="O172" s="2061"/>
      <c r="P172" s="616">
        <f>IF(ISNA(AR172),0,MAX(MIN(AR172-VLOOKUP("Apto en campo: "&amp;$B172,Tabla_Ventajas,3,FALSE)-Tablas!$O319-2*Tablas!$Q319-3*Tablas!$S319,3),1))</f>
        <v>0</v>
      </c>
      <c r="Q172" s="2061"/>
      <c r="R172" s="616">
        <f>IF(ISNA(AT172),0,MAX(MIN(AT172-VLOOKUP("Apto en campo: "&amp;$B172,Tabla_Ventajas,3,FALSE)-Tablas!$O319-2*Tablas!$Q319-3*Tablas!$S319,3),1))</f>
        <v>0</v>
      </c>
      <c r="S172" s="2061"/>
      <c r="T172" s="550">
        <f>IF(J172=0,0,TRUNC(K172/J172,0))+IF(L172=0,0,TRUNC(M172/L172,0))+IF(N172=0,0,TRUNC(O172/N172,0))+IF(P172=0,0,TRUNC(Q172/P172,0))+IF(R172=0,0,TRUNC(S172/R172,0))+IF(Personalización!$E$20="Como Base (no oficial)",AF172,0)</f>
        <v>0</v>
      </c>
      <c r="U172" s="550">
        <f t="shared" si="37"/>
        <v>0</v>
      </c>
      <c r="V172" s="550">
        <f>IF(ISNA(HLOOKUP($E172,Bonos_Cat_Base,2,FALSE)),0,HLOOKUP($E172,Bonos_Cat_Base,2,FALSE))+Tablas!$Z319*Nivel_Total+10*Y172</f>
        <v>0</v>
      </c>
      <c r="W172" s="2060"/>
      <c r="X172" s="2061"/>
      <c r="Y172" s="2060"/>
      <c r="Z172" s="2556"/>
      <c r="AA172" s="1475">
        <f>IF(AND(T172&lt;5,Tablas!G$303=0),-30,0)+T172+U172+V172+Z172+IF(I172="",0,40)+Mod_ATA+AD172+IF(Personalización!$E$20="Como Base (no oficial)",0,AF172)</f>
        <v>-30</v>
      </c>
      <c r="AB172" s="1990">
        <f t="shared" si="38"/>
        <v>0</v>
      </c>
      <c r="AC172" s="953"/>
      <c r="AD172" s="2755">
        <f>IF(Tablas!$G$368&gt;0,30,0)</f>
        <v>0</v>
      </c>
      <c r="AE172" s="276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71">
        <f>IF(AF$123,IF(OR(Region="",ClaseSocial="",Personalización!$AN$9),0,IF(OR(AND(AI172,AJ172),AND(NOT(AI172),NOT(AJ172))),LEFT(AG172,2)+LEFT(AH172,2),IF(AND(AI172,NOT(AJ172)),LEFT(AH172,2),0))),0)</f>
        <v>0</v>
      </c>
      <c r="AG172" s="2755" t="e">
        <f>HLOOKUP(Region&amp;ClaseSocial,Tabla_RaicesCulturales,Tablas!F188,FALSE)</f>
        <v>#N/A</v>
      </c>
      <c r="AH172" s="2764">
        <f>IF(AND(E172="Historia",Personalización!$E$24="Historia (Local)"),20&amp;" "&amp;Personalización!$E$24,IF(E172=Personalización!$E$23,VLOOKUP(E172,Tablas!$L$136:$M$137,2,FALSE),IF(E172=Personalización!$E$24,VLOOKUP(E172,Tablas!$N$136:$O$137,2,FALSE),0)))</f>
        <v>0</v>
      </c>
      <c r="AI172" s="2764" t="b">
        <f t="shared" si="39"/>
        <v>0</v>
      </c>
      <c r="AJ172" s="2764" t="b">
        <f t="shared" si="40"/>
        <v>0</v>
      </c>
      <c r="AK172" s="2764"/>
      <c r="AL172" s="2759">
        <f t="shared" si="41"/>
        <v>2</v>
      </c>
      <c r="AM172" s="2759"/>
      <c r="AN172" s="2759" t="e">
        <f t="shared" si="42"/>
        <v>#N/A</v>
      </c>
      <c r="AO172" s="2759"/>
      <c r="AP172" s="2759" t="e">
        <f t="shared" si="43"/>
        <v>#N/A</v>
      </c>
      <c r="AQ172" s="1986"/>
      <c r="AR172" s="2759" t="e">
        <f t="shared" si="44"/>
        <v>#N/A</v>
      </c>
      <c r="AS172" s="1986"/>
      <c r="AT172" s="2759" t="e">
        <f t="shared" si="45"/>
        <v>#N/A</v>
      </c>
      <c r="AU172" s="1986"/>
      <c r="AV172" s="1986"/>
    </row>
    <row r="173" spans="1:48" ht="12" customHeight="1" x14ac:dyDescent="0.2">
      <c r="A173" s="31"/>
      <c r="B173" s="925" t="str">
        <f t="shared" si="47"/>
        <v>Creativas</v>
      </c>
      <c r="C173" s="3479"/>
      <c r="D173" s="3183"/>
      <c r="E173" s="3431" t="s">
        <v>6432</v>
      </c>
      <c r="F173" s="3432"/>
      <c r="G173" s="3432"/>
      <c r="H173" s="897" t="s">
        <v>1386</v>
      </c>
      <c r="I173" s="1721"/>
      <c r="J173" s="2277">
        <f>IF(ISNA(AL173),0,MAX(MIN(AL173-VLOOKUP("Apto en campo: "&amp;$B173,Tabla_Ventajas,3,FALSE)-Tablas!$O320-2*Tablas!$Q320-3*Tablas!$S320,3),1))</f>
        <v>2</v>
      </c>
      <c r="K173" s="2059"/>
      <c r="L173" s="2277">
        <f>IF(ISNA(AN173),0,MAX(MIN(AN173-VLOOKUP("Apto en campo: "&amp;$B173,Tabla_Ventajas,3,FALSE)-Tablas!$O320-2*Tablas!$Q320-3*Tablas!$S320,3),1))</f>
        <v>0</v>
      </c>
      <c r="M173" s="2059"/>
      <c r="N173" s="2277">
        <f>IF(ISNA(AP173),0,MAX(MIN(AP173-VLOOKUP("Apto en campo: "&amp;$B173,Tabla_Ventajas,3,FALSE)-Tablas!$O320-2*Tablas!$Q320-3*Tablas!$S320,3),1))</f>
        <v>0</v>
      </c>
      <c r="O173" s="2059"/>
      <c r="P173" s="2277">
        <f>IF(ISNA(AR173),0,MAX(MIN(AR173-VLOOKUP("Apto en campo: "&amp;$B173,Tabla_Ventajas,3,FALSE)-Tablas!$O320-2*Tablas!$Q320-3*Tablas!$S320,3),1))</f>
        <v>0</v>
      </c>
      <c r="Q173" s="2059"/>
      <c r="R173" s="2277">
        <f>IF(ISNA(AT173),0,MAX(MIN(AT173-VLOOKUP("Apto en campo: "&amp;$B173,Tabla_Ventajas,3,FALSE)-Tablas!$O320-2*Tablas!$Q320-3*Tablas!$S320,3),1))</f>
        <v>0</v>
      </c>
      <c r="S173" s="2059"/>
      <c r="T173" s="549">
        <f>IF(J173=0,0,TRUNC(K173/J173,0))+IF(L173=0,0,TRUNC(M173/L173,0))+IF(N173=0,0,TRUNC(O173/N173,0))+IF(P173=0,0,TRUNC(Q173/P173,0))+IF(R173=0,0,TRUNC(S173/R173,0))+IF(Personalización!$E$20="Como Base (no oficial)",AF173,0)</f>
        <v>0</v>
      </c>
      <c r="U173" s="549">
        <f t="shared" si="37"/>
        <v>0</v>
      </c>
      <c r="V173" s="549">
        <f>IF(ISNA(HLOOKUP($E173,Bonos_Cat_Base,2,FALSE)),0,HLOOKUP($E173,Bonos_Cat_Base,2,FALSE))+Tablas!$Z320*Nivel_Total+10*Y173</f>
        <v>0</v>
      </c>
      <c r="W173" s="2058"/>
      <c r="X173" s="2059"/>
      <c r="Y173" s="2058"/>
      <c r="Z173" s="2555"/>
      <c r="AA173" s="1474">
        <f>IF(AND(T173&lt;5,Tablas!G$303=0),-30,0)+T173+U173+V173+Z173+IF(I173="",0,40)+Mod_ATA+AD173+IF(Personalización!$E$20="Como Base (no oficial)",0,AF173)</f>
        <v>-30</v>
      </c>
      <c r="AB173" s="1990">
        <f t="shared" si="38"/>
        <v>0</v>
      </c>
      <c r="AC173" s="953"/>
      <c r="AD173" s="2755"/>
      <c r="AE173" s="276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1">
        <f>IF(AF$123,IF(OR(Region="",ClaseSocial="",Personalización!$AN$9),0,IF(OR(AND(AI173,AJ173),AND(NOT(AI173),NOT(AJ173))),LEFT(AG173,2)+LEFT(AH173,2),IF(AND(AI173,NOT(AJ173)),LEFT(AH173,2),0))),0)</f>
        <v>0</v>
      </c>
      <c r="AG173" s="2755" t="e">
        <f>HLOOKUP(Region&amp;ClaseSocial,Tabla_RaicesCulturales,Tablas!F189,FALSE)</f>
        <v>#N/A</v>
      </c>
      <c r="AH173" s="2764">
        <f>IF(AND(E173="Historia",Personalización!$E$24="Historia (Local)"),20&amp;" "&amp;Personalización!$E$24,IF(E173=Personalización!$E$23,VLOOKUP(E173,Tablas!$L$136:$M$137,2,FALSE),IF(E173=Personalización!$E$24,VLOOKUP(E173,Tablas!$N$136:$O$137,2,FALSE),0)))</f>
        <v>0</v>
      </c>
      <c r="AI173" s="2764" t="b">
        <f t="shared" si="39"/>
        <v>0</v>
      </c>
      <c r="AJ173" s="2764" t="b">
        <f t="shared" si="40"/>
        <v>0</v>
      </c>
      <c r="AK173" s="2764"/>
      <c r="AL173" s="2759">
        <f t="shared" si="41"/>
        <v>2</v>
      </c>
      <c r="AM173" s="2759"/>
      <c r="AN173" s="2759" t="e">
        <f t="shared" si="42"/>
        <v>#N/A</v>
      </c>
      <c r="AO173" s="2759"/>
      <c r="AP173" s="2759" t="e">
        <f t="shared" si="43"/>
        <v>#N/A</v>
      </c>
      <c r="AQ173" s="1986"/>
      <c r="AR173" s="2759" t="e">
        <f t="shared" si="44"/>
        <v>#N/A</v>
      </c>
      <c r="AS173" s="1986"/>
      <c r="AT173" s="2759" t="e">
        <f t="shared" si="45"/>
        <v>#N/A</v>
      </c>
      <c r="AU173" s="1986"/>
      <c r="AV173" s="1986"/>
    </row>
    <row r="174" spans="1:48" ht="12" customHeight="1" x14ac:dyDescent="0.2">
      <c r="A174" s="31"/>
      <c r="B174" s="925" t="str">
        <f t="shared" si="47"/>
        <v>Creativas</v>
      </c>
      <c r="C174" s="3479"/>
      <c r="D174" s="3183"/>
      <c r="E174" s="3429" t="s">
        <v>6433</v>
      </c>
      <c r="F174" s="3430"/>
      <c r="G174" s="3430"/>
      <c r="H174" s="898" t="s">
        <v>1386</v>
      </c>
      <c r="I174" s="1690"/>
      <c r="J174" s="616">
        <f>IF(ISNA(AL174),0,MAX(MIN(AL174-VLOOKUP("Apto en campo: "&amp;$B174,Tabla_Ventajas,3,FALSE)-Tablas!$O321-2*Tablas!$Q321-3*Tablas!$S321,3),1))</f>
        <v>2</v>
      </c>
      <c r="K174" s="2061"/>
      <c r="L174" s="616">
        <f>IF(ISNA(AN174),0,MAX(MIN(AN174-VLOOKUP("Apto en campo: "&amp;$B174,Tabla_Ventajas,3,FALSE)-Tablas!$O321-2*Tablas!$Q321-3*Tablas!$S321,3),1))</f>
        <v>0</v>
      </c>
      <c r="M174" s="2061"/>
      <c r="N174" s="616">
        <f>IF(ISNA(AP174),0,MAX(MIN(AP174-VLOOKUP("Apto en campo: "&amp;$B174,Tabla_Ventajas,3,FALSE)-Tablas!$O321-2*Tablas!$Q321-3*Tablas!$S321,3),1))</f>
        <v>0</v>
      </c>
      <c r="O174" s="2061"/>
      <c r="P174" s="616">
        <f>IF(ISNA(AR174),0,MAX(MIN(AR174-VLOOKUP("Apto en campo: "&amp;$B174,Tabla_Ventajas,3,FALSE)-Tablas!$O321-2*Tablas!$Q321-3*Tablas!$S321,3),1))</f>
        <v>0</v>
      </c>
      <c r="Q174" s="2061"/>
      <c r="R174" s="616">
        <f>IF(ISNA(AT174),0,MAX(MIN(AT174-VLOOKUP("Apto en campo: "&amp;$B174,Tabla_Ventajas,3,FALSE)-Tablas!$O321-2*Tablas!$Q321-3*Tablas!$S321,3),1))</f>
        <v>0</v>
      </c>
      <c r="S174" s="2061"/>
      <c r="T174" s="550">
        <f>IF(J174=0,0,TRUNC(K174/J174,0))+IF(L174=0,0,TRUNC(M174/L174,0))+IF(N174=0,0,TRUNC(O174/N174,0))+IF(P174=0,0,TRUNC(Q174/P174,0))+IF(R174=0,0,TRUNC(S174/R174,0))+IF(Personalización!$E$20="Como Base (no oficial)",AF174,0)</f>
        <v>0</v>
      </c>
      <c r="U174" s="550">
        <f t="shared" si="37"/>
        <v>0</v>
      </c>
      <c r="V174" s="550">
        <f>IF(ISNA(HLOOKUP($E174,Bonos_Cat_Base,2,FALSE)),0,HLOOKUP($E174,Bonos_Cat_Base,2,FALSE))+Tablas!$Z321*Nivel_Total+10*Y174</f>
        <v>0</v>
      </c>
      <c r="W174" s="2060"/>
      <c r="X174" s="2061"/>
      <c r="Y174" s="2060"/>
      <c r="Z174" s="2556"/>
      <c r="AA174" s="1475">
        <f>IF(AND(T174&lt;5,Tablas!G$303=0),-30,0)+T174+U174+V174+Z174+IF(I174="",0,40)+Mod_ATA+AD174+IF(Personalización!$E$20="Como Base (no oficial)",0,AF174)</f>
        <v>-30</v>
      </c>
      <c r="AB174" s="1990">
        <f t="shared" si="38"/>
        <v>0</v>
      </c>
      <c r="AC174" s="953"/>
      <c r="AD174" s="2755"/>
      <c r="AE174" s="276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1">
        <f>IF(AF$123,IF(OR(Region="",ClaseSocial="",Personalización!$AN$9),0,IF(OR(AND(AI174,AJ174),AND(NOT(AI174),NOT(AJ174))),LEFT(AG174,2)+LEFT(AH174,2),IF(AND(AI174,NOT(AJ174)),LEFT(AH174,2),0))),0)</f>
        <v>0</v>
      </c>
      <c r="AG174" s="2755" t="e">
        <f>HLOOKUP(Region&amp;ClaseSocial,Tabla_RaicesCulturales,Tablas!F190,FALSE)</f>
        <v>#N/A</v>
      </c>
      <c r="AH174" s="2764">
        <f>IF(AND(E174="Historia",Personalización!$E$24="Historia (Local)"),20&amp;" "&amp;Personalización!$E$24,IF(E174=Personalización!$E$23,VLOOKUP(E174,Tablas!$L$136:$M$137,2,FALSE),IF(E174=Personalización!$E$24,VLOOKUP(E174,Tablas!$N$136:$O$137,2,FALSE),0)))</f>
        <v>0</v>
      </c>
      <c r="AI174" s="2764" t="b">
        <f t="shared" si="39"/>
        <v>0</v>
      </c>
      <c r="AJ174" s="2764" t="b">
        <f t="shared" si="40"/>
        <v>0</v>
      </c>
      <c r="AK174" s="2764"/>
      <c r="AL174" s="2759">
        <f t="shared" si="41"/>
        <v>2</v>
      </c>
      <c r="AM174" s="2759"/>
      <c r="AN174" s="2759" t="e">
        <f t="shared" si="42"/>
        <v>#N/A</v>
      </c>
      <c r="AO174" s="2759"/>
      <c r="AP174" s="2759" t="e">
        <f t="shared" si="43"/>
        <v>#N/A</v>
      </c>
      <c r="AQ174" s="1986"/>
      <c r="AR174" s="2759" t="e">
        <f t="shared" si="44"/>
        <v>#N/A</v>
      </c>
      <c r="AS174" s="1986"/>
      <c r="AT174" s="2759" t="e">
        <f t="shared" si="45"/>
        <v>#N/A</v>
      </c>
      <c r="AU174" s="1986"/>
      <c r="AV174" s="1986"/>
    </row>
    <row r="175" spans="1:48" ht="12" customHeight="1" x14ac:dyDescent="0.2">
      <c r="A175" s="31"/>
      <c r="B175" s="925" t="str">
        <f t="shared" si="47"/>
        <v>Creativas</v>
      </c>
      <c r="C175" s="3479"/>
      <c r="D175" s="3183"/>
      <c r="E175" s="3431" t="s">
        <v>6434</v>
      </c>
      <c r="F175" s="3432"/>
      <c r="G175" s="3432"/>
      <c r="H175" s="897" t="s">
        <v>1386</v>
      </c>
      <c r="I175" s="1721"/>
      <c r="J175" s="2277">
        <f>IF(ISNA(AL175),0,MAX(MIN(AL175-VLOOKUP("Apto en campo: "&amp;$B175,Tabla_Ventajas,3,FALSE)-Tablas!$O322-2*Tablas!$Q322-3*Tablas!$S322,3),1))</f>
        <v>2</v>
      </c>
      <c r="K175" s="2059"/>
      <c r="L175" s="2277">
        <f>IF(ISNA(AN175),0,MAX(MIN(AN175-VLOOKUP("Apto en campo: "&amp;$B175,Tabla_Ventajas,3,FALSE)-Tablas!$O322-2*Tablas!$Q322-3*Tablas!$S322,3),1))</f>
        <v>0</v>
      </c>
      <c r="M175" s="2059"/>
      <c r="N175" s="2277">
        <f>IF(ISNA(AP175),0,MAX(MIN(AP175-VLOOKUP("Apto en campo: "&amp;$B175,Tabla_Ventajas,3,FALSE)-Tablas!$O322-2*Tablas!$Q322-3*Tablas!$S322,3),1))</f>
        <v>0</v>
      </c>
      <c r="O175" s="2059"/>
      <c r="P175" s="2277">
        <f>IF(ISNA(AR175),0,MAX(MIN(AR175-VLOOKUP("Apto en campo: "&amp;$B175,Tabla_Ventajas,3,FALSE)-Tablas!$O322-2*Tablas!$Q322-3*Tablas!$S322,3),1))</f>
        <v>0</v>
      </c>
      <c r="Q175" s="2059"/>
      <c r="R175" s="2277">
        <f>IF(ISNA(AT175),0,MAX(MIN(AT175-VLOOKUP("Apto en campo: "&amp;$B175,Tabla_Ventajas,3,FALSE)-Tablas!$O322-2*Tablas!$Q322-3*Tablas!$S322,3),1))</f>
        <v>0</v>
      </c>
      <c r="S175" s="2059"/>
      <c r="T175" s="549">
        <f>IF(J175=0,0,TRUNC(K175/J175,0))+IF(L175=0,0,TRUNC(M175/L175,0))+IF(N175=0,0,TRUNC(O175/N175,0))+IF(P175=0,0,TRUNC(Q175/P175,0))+IF(R175=0,0,TRUNC(S175/R175,0))+IF(Personalización!$E$20="Como Base (no oficial)",AF175,0)</f>
        <v>0</v>
      </c>
      <c r="U175" s="549">
        <f t="shared" si="37"/>
        <v>0</v>
      </c>
      <c r="V175" s="549">
        <f>IF(ISNA(HLOOKUP($E175,Bonos_Cat_Base,2,FALSE)),0,HLOOKUP($E175,Bonos_Cat_Base,2,FALSE))+Tablas!$Z322*Nivel_Total+10*Y175</f>
        <v>0</v>
      </c>
      <c r="W175" s="2058"/>
      <c r="X175" s="2059"/>
      <c r="Y175" s="2058"/>
      <c r="Z175" s="2555"/>
      <c r="AA175" s="1474">
        <f>IF(AND(T175&lt;5,Tablas!G$303=0),-30,0)+T175+U175+V175+Z175+IF(I175="",0,40)+Mod_ATA+AD175+IF(Personalización!$E$20="Como Base (no oficial)",0,AF175)</f>
        <v>-30</v>
      </c>
      <c r="AB175" s="1990">
        <f t="shared" si="38"/>
        <v>0</v>
      </c>
      <c r="AC175" s="953"/>
      <c r="AD175" s="2755"/>
      <c r="AE175" s="276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1">
        <f>IF(AF$123,IF(OR(Region="",ClaseSocial="",Personalización!$AN$9),0,IF(OR(AND(AI175,AJ175),AND(NOT(AI175),NOT(AJ175))),LEFT(AG175,2)+LEFT(AH175,2),IF(AND(AI175,NOT(AJ175)),LEFT(AH175,2),0))),0)</f>
        <v>0</v>
      </c>
      <c r="AG175" s="2755" t="e">
        <f>HLOOKUP(Region&amp;ClaseSocial,Tabla_RaicesCulturales,Tablas!F191,FALSE)</f>
        <v>#N/A</v>
      </c>
      <c r="AH175" s="2764">
        <f>IF(AND(E175="Historia",Personalización!$E$24="Historia (Local)"),20&amp;" "&amp;Personalización!$E$24,IF(E175=Personalización!$E$23,VLOOKUP(E175,Tablas!$L$136:$M$137,2,FALSE),IF(E175=Personalización!$E$24,VLOOKUP(E175,Tablas!$N$136:$O$137,2,FALSE),0)))</f>
        <v>0</v>
      </c>
      <c r="AI175" s="2764" t="b">
        <f t="shared" si="39"/>
        <v>0</v>
      </c>
      <c r="AJ175" s="2764" t="b">
        <f t="shared" si="40"/>
        <v>0</v>
      </c>
      <c r="AK175" s="2764"/>
      <c r="AL175" s="2759">
        <f t="shared" si="41"/>
        <v>2</v>
      </c>
      <c r="AM175" s="2759"/>
      <c r="AN175" s="2759" t="e">
        <f t="shared" si="42"/>
        <v>#N/A</v>
      </c>
      <c r="AO175" s="2759"/>
      <c r="AP175" s="2759" t="e">
        <f t="shared" si="43"/>
        <v>#N/A</v>
      </c>
      <c r="AQ175" s="1986"/>
      <c r="AR175" s="2759" t="e">
        <f t="shared" si="44"/>
        <v>#N/A</v>
      </c>
      <c r="AS175" s="1986"/>
      <c r="AT175" s="2759" t="e">
        <f t="shared" si="45"/>
        <v>#N/A</v>
      </c>
      <c r="AU175" s="1986"/>
      <c r="AV175" s="1986"/>
    </row>
    <row r="176" spans="1:48" ht="12" customHeight="1" x14ac:dyDescent="0.2">
      <c r="A176" s="31"/>
      <c r="B176" s="925" t="str">
        <f t="shared" si="47"/>
        <v>Creativas</v>
      </c>
      <c r="C176" s="3479"/>
      <c r="D176" s="3183"/>
      <c r="E176" s="3429" t="s">
        <v>6435</v>
      </c>
      <c r="F176" s="3430"/>
      <c r="G176" s="3430"/>
      <c r="H176" s="901" t="s">
        <v>1399</v>
      </c>
      <c r="I176" s="1689"/>
      <c r="J176" s="616">
        <f>IF(ISNA(AL176),0,MAX(MIN(AL176-VLOOKUP("Apto en campo: "&amp;$B176,Tabla_Ventajas,3,FALSE)-Tablas!$O323-2*Tablas!$Q323-3*Tablas!$S323,3),1))</f>
        <v>2</v>
      </c>
      <c r="K176" s="2061"/>
      <c r="L176" s="616">
        <f>IF(ISNA(AN176),0,MAX(MIN(AN176-VLOOKUP("Apto en campo: "&amp;$B176,Tabla_Ventajas,3,FALSE)-Tablas!$O323-2*Tablas!$Q323-3*Tablas!$S323,3),1))</f>
        <v>0</v>
      </c>
      <c r="M176" s="2061"/>
      <c r="N176" s="616">
        <f>IF(ISNA(AP176),0,MAX(MIN(AP176-VLOOKUP("Apto en campo: "&amp;$B176,Tabla_Ventajas,3,FALSE)-Tablas!$O323-2*Tablas!$Q323-3*Tablas!$S323,3),1))</f>
        <v>0</v>
      </c>
      <c r="O176" s="2061"/>
      <c r="P176" s="616">
        <f>IF(ISNA(AR176),0,MAX(MIN(AR176-VLOOKUP("Apto en campo: "&amp;$B176,Tabla_Ventajas,3,FALSE)-Tablas!$O323-2*Tablas!$Q323-3*Tablas!$S323,3),1))</f>
        <v>0</v>
      </c>
      <c r="Q176" s="2061"/>
      <c r="R176" s="616">
        <f>IF(ISNA(AT176),0,MAX(MIN(AT176-VLOOKUP("Apto en campo: "&amp;$B176,Tabla_Ventajas,3,FALSE)-Tablas!$O323-2*Tablas!$Q323-3*Tablas!$S323,3),1))</f>
        <v>0</v>
      </c>
      <c r="S176" s="2061"/>
      <c r="T176" s="550">
        <f>IF(J176=0,0,TRUNC(K176/J176,0))+IF(L176=0,0,TRUNC(M176/L176,0))+IF(N176=0,0,TRUNC(O176/N176,0))+IF(P176=0,0,TRUNC(Q176/P176,0))+IF(R176=0,0,TRUNC(S176/R176,0))+IF(Personalización!$E$20="Como Base (no oficial)",AF176,0)</f>
        <v>0</v>
      </c>
      <c r="U176" s="550">
        <f t="shared" si="37"/>
        <v>15</v>
      </c>
      <c r="V176" s="550">
        <f>IF(ISNA(HLOOKUP($E176,Bonos_Cat_Base,2,FALSE)),0,HLOOKUP($E176,Bonos_Cat_Base,2,FALSE))+Tablas!$Z323*Nivel_Total+10*Y176</f>
        <v>0</v>
      </c>
      <c r="W176" s="2060"/>
      <c r="X176" s="2061"/>
      <c r="Y176" s="2060"/>
      <c r="Z176" s="2556"/>
      <c r="AA176" s="1475">
        <f>IF(AND(T176&lt;5,Tablas!G$303=0),-30,0)+T176+U176+V176+Z176+IF(I176="",0,40)+Mod_ATA+AD176+IF(Personalización!$E$20="Como Base (no oficial)",0,AF176)</f>
        <v>-15</v>
      </c>
      <c r="AB176" s="1990">
        <f t="shared" si="38"/>
        <v>0</v>
      </c>
      <c r="AC176" s="953"/>
      <c r="AD176" s="2755"/>
      <c r="AE176" s="276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1">
        <f>IF(AF$123,IF(OR(Region="",ClaseSocial="",Personalización!$AN$9),0,IF(OR(AND(AI176,AJ176),AND(NOT(AI176),NOT(AJ176))),LEFT(AG176,2)+LEFT(AH176,2),IF(AND(AI176,NOT(AJ176)),LEFT(AH176,2),0))),0)</f>
        <v>0</v>
      </c>
      <c r="AG176" s="2755" t="e">
        <f>HLOOKUP(Region&amp;ClaseSocial,Tabla_RaicesCulturales,Tablas!F192,FALSE)</f>
        <v>#N/A</v>
      </c>
      <c r="AH176" s="2764">
        <f>IF(AND(E176="Historia",Personalización!$E$24="Historia (Local)"),20&amp;" "&amp;Personalización!$E$24,IF(E176=Personalización!$E$23,VLOOKUP(E176,Tablas!$L$136:$M$137,2,FALSE),IF(E176=Personalización!$E$24,VLOOKUP(E176,Tablas!$N$136:$O$137,2,FALSE),0)))</f>
        <v>0</v>
      </c>
      <c r="AI176" s="2764" t="b">
        <f t="shared" si="39"/>
        <v>0</v>
      </c>
      <c r="AJ176" s="2764" t="b">
        <f t="shared" si="40"/>
        <v>0</v>
      </c>
      <c r="AK176" s="2764"/>
      <c r="AL176" s="2759">
        <f t="shared" si="41"/>
        <v>2</v>
      </c>
      <c r="AM176" s="2759"/>
      <c r="AN176" s="2759" t="e">
        <f t="shared" si="42"/>
        <v>#N/A</v>
      </c>
      <c r="AO176" s="2759"/>
      <c r="AP176" s="2759" t="e">
        <f t="shared" si="43"/>
        <v>#N/A</v>
      </c>
      <c r="AQ176" s="1986"/>
      <c r="AR176" s="2759" t="e">
        <f t="shared" si="44"/>
        <v>#N/A</v>
      </c>
      <c r="AS176" s="1986"/>
      <c r="AT176" s="2759" t="e">
        <f t="shared" si="45"/>
        <v>#N/A</v>
      </c>
      <c r="AU176" s="1986"/>
      <c r="AV176" s="1986"/>
    </row>
    <row r="177" spans="1:48" ht="12" customHeight="1" x14ac:dyDescent="0.2">
      <c r="A177" s="31"/>
      <c r="B177" s="925">
        <f>IF(OR(U177="FUE",U177="CON",U177="DES",U177="AGI"),1,IF(OR(U177="INT",U177="POD",U177="VOL",U177="PER"),2,0))</f>
        <v>0</v>
      </c>
      <c r="C177" s="3479"/>
      <c r="D177" s="2534" t="s">
        <v>7345</v>
      </c>
      <c r="E177" s="3454" t="s">
        <v>10259</v>
      </c>
      <c r="F177" s="3455"/>
      <c r="G177" s="3455"/>
      <c r="H177" s="1727" t="s">
        <v>1381</v>
      </c>
      <c r="I177" s="1725"/>
      <c r="J177" s="1728">
        <v>2</v>
      </c>
      <c r="K177" s="2063">
        <v>20</v>
      </c>
      <c r="L177" s="1728"/>
      <c r="M177" s="2692"/>
      <c r="N177" s="1729"/>
      <c r="O177" s="2692"/>
      <c r="P177" s="1728"/>
      <c r="Q177" s="2692"/>
      <c r="R177" s="1729"/>
      <c r="S177" s="2692"/>
      <c r="T177" s="552">
        <f t="shared" ref="T177:T181" si="48">IF(J177=0,0,TRUNC(K177/J177,0))+IF(L177=0,0,TRUNC(M177/L177,0))+IF(N177=0,0,TRUNC(O177/N177,0))+IF(P177=0,0,TRUNC(Q177/P177,0))+IF(R177=0,0,TRUNC(S177/R177,0))</f>
        <v>10</v>
      </c>
      <c r="U177" s="552">
        <f>IF(H177="","",MIN(VLOOKUP($H177,Tabla_Características,5,0)*(1+W177)+10*Con.TodasMaterias+10*X177,100))</f>
        <v>15</v>
      </c>
      <c r="V177" s="552">
        <f>IF(ISNA(HLOOKUP($E177,Bonos_Cat_Base,2,FALSE)),0,HLOOKUP($E177,Bonos_Cat_Base,2,FALSE))+Tablas!$Z324*Nivel_Total+10*Y177</f>
        <v>0</v>
      </c>
      <c r="W177" s="2062"/>
      <c r="X177" s="2063"/>
      <c r="Y177" s="2062"/>
      <c r="Z177" s="2557"/>
      <c r="AA177" s="2706">
        <f>IF(AND(T177&lt;5,Tablas!G$303=0),"-",IFERROR(T177+U177+V177+Z177+IF(I177="",0,40)+Mod_ATA,"-"))</f>
        <v>25</v>
      </c>
      <c r="AB177" s="1990">
        <f>IF(AA177="-",0,IF(AA177&gt;VLOOKUP(Nivel_Total,Tabla_LímiteSecundarias,2),1,0))</f>
        <v>0</v>
      </c>
      <c r="AC177" s="953"/>
      <c r="AD177" s="2755"/>
      <c r="AE177" s="2771"/>
      <c r="AF177" s="2771"/>
      <c r="AG177" s="2764"/>
      <c r="AH177" s="2764" t="s">
        <v>1464</v>
      </c>
      <c r="AI177" s="2764"/>
      <c r="AJ177" s="2764"/>
      <c r="AK177" s="2764"/>
      <c r="AL177" s="2759"/>
      <c r="AM177" s="2759"/>
      <c r="AN177" s="2759"/>
      <c r="AO177" s="2759"/>
      <c r="AP177" s="2759"/>
      <c r="AQ177" s="1986"/>
      <c r="AR177" s="1986"/>
      <c r="AS177" s="1986"/>
      <c r="AT177" s="1986"/>
      <c r="AU177" s="1986"/>
      <c r="AV177" s="1986"/>
    </row>
    <row r="178" spans="1:48" ht="12" customHeight="1" x14ac:dyDescent="0.2">
      <c r="A178" s="31"/>
      <c r="B178" s="925">
        <f>IF(OR(U178="FUE",U178="CON",U178="DES",U178="AGI"),1,IF(OR(U178="INT",U178="POD",U178="VOL",U178="PER"),2,0))</f>
        <v>0</v>
      </c>
      <c r="C178" s="3479"/>
      <c r="D178" s="2537"/>
      <c r="E178" s="3425"/>
      <c r="F178" s="3426"/>
      <c r="G178" s="3426"/>
      <c r="H178" s="1693"/>
      <c r="I178" s="1690"/>
      <c r="J178" s="1694"/>
      <c r="K178" s="2061"/>
      <c r="L178" s="1694"/>
      <c r="M178" s="2693"/>
      <c r="N178" s="1695"/>
      <c r="O178" s="2693"/>
      <c r="P178" s="1694"/>
      <c r="Q178" s="2693"/>
      <c r="R178" s="1695"/>
      <c r="S178" s="2693"/>
      <c r="T178" s="550">
        <f t="shared" si="48"/>
        <v>0</v>
      </c>
      <c r="U178" s="550" t="str">
        <f>IF(H178="","",MIN(VLOOKUP($H178,Tabla_Características,5,0)*(1+W178)+10*Con.TodasMaterias+10*X178,100))</f>
        <v/>
      </c>
      <c r="V178" s="550">
        <f>IF(ISNA(HLOOKUP($E178,Bonos_Cat_Base,2,FALSE)),0,HLOOKUP($E178,Bonos_Cat_Base,2,FALSE))+Tablas!$Z325*Nivel_Total+10*Y178</f>
        <v>0</v>
      </c>
      <c r="W178" s="2060"/>
      <c r="X178" s="2061"/>
      <c r="Y178" s="2060"/>
      <c r="Z178" s="2556"/>
      <c r="AA178" s="558" t="str">
        <f>IF(AND(T178&lt;5,Tablas!G$303=0),"-",IFERROR(T178+U178+V178+Z178+IF(I178="",0,40)+Mod_ATA,"-"))</f>
        <v>-</v>
      </c>
      <c r="AB178" s="1990">
        <f t="shared" si="38"/>
        <v>0</v>
      </c>
      <c r="AC178" s="953"/>
      <c r="AD178" s="2755"/>
      <c r="AE178" s="2764"/>
      <c r="AF178" s="2771"/>
      <c r="AG178" s="2764"/>
      <c r="AH178" s="2764" t="s">
        <v>7344</v>
      </c>
      <c r="AI178" s="2764" t="s">
        <v>1412</v>
      </c>
      <c r="AJ178" s="2764"/>
      <c r="AK178" s="2764"/>
      <c r="AL178" s="2759"/>
      <c r="AM178" s="2759"/>
      <c r="AN178" s="2759"/>
      <c r="AO178" s="2759"/>
      <c r="AP178" s="2759"/>
      <c r="AQ178" s="1986"/>
      <c r="AR178" s="1986"/>
      <c r="AS178" s="1986"/>
      <c r="AT178" s="1986"/>
      <c r="AU178" s="1986"/>
      <c r="AV178" s="1986"/>
    </row>
    <row r="179" spans="1:48" ht="12" customHeight="1" x14ac:dyDescent="0.2">
      <c r="A179" s="10"/>
      <c r="B179" s="925">
        <f>IF(OR(U179="FUE",U179="CON",U179="DES",U179="AGI"),1,IF(OR(U179="INT",U179="POD",U179="VOL",U179="PER"),2,0))</f>
        <v>0</v>
      </c>
      <c r="C179" s="3479"/>
      <c r="D179" s="2535"/>
      <c r="E179" s="3423"/>
      <c r="F179" s="3424"/>
      <c r="G179" s="3424"/>
      <c r="H179" s="1733"/>
      <c r="I179" s="1723"/>
      <c r="J179" s="1734"/>
      <c r="K179" s="2059"/>
      <c r="L179" s="1734"/>
      <c r="M179" s="2694"/>
      <c r="N179" s="1735"/>
      <c r="O179" s="2694"/>
      <c r="P179" s="1734"/>
      <c r="Q179" s="2694"/>
      <c r="R179" s="1735"/>
      <c r="S179" s="2694"/>
      <c r="T179" s="549">
        <f t="shared" si="48"/>
        <v>0</v>
      </c>
      <c r="U179" s="549" t="str">
        <f>IF(H179="","",MIN(VLOOKUP($H179,Tabla_Características,5,0)*(1+W179)+10*Con.TodasMaterias+10*X179,100))</f>
        <v/>
      </c>
      <c r="V179" s="549">
        <f>IF(ISNA(HLOOKUP($E179,Bonos_Cat_Base,2,FALSE)),0,HLOOKUP($E179,Bonos_Cat_Base,2,FALSE))+Tablas!$Z326*Nivel_Total+10*Y179</f>
        <v>0</v>
      </c>
      <c r="W179" s="2058"/>
      <c r="X179" s="2059"/>
      <c r="Y179" s="2058"/>
      <c r="Z179" s="2555"/>
      <c r="AA179" s="557" t="str">
        <f>IF(AND(T179&lt;5,Tablas!G$303=0),"-",IFERROR(T179+U179+V179+Z179+IF(I179="",0,40)+Mod_ATA,"-"))</f>
        <v>-</v>
      </c>
      <c r="AB179" s="1990">
        <f t="shared" si="38"/>
        <v>0</v>
      </c>
      <c r="AC179" s="953"/>
      <c r="AD179" s="2755"/>
      <c r="AE179" s="2764"/>
      <c r="AF179" s="2771"/>
      <c r="AG179" s="2764"/>
      <c r="AH179" s="2764" t="s">
        <v>7340</v>
      </c>
      <c r="AI179" s="2764" t="s">
        <v>1430</v>
      </c>
      <c r="AJ179" s="2764"/>
      <c r="AK179" s="2764"/>
      <c r="AL179" s="2759"/>
      <c r="AM179" s="2759"/>
      <c r="AN179" s="2759"/>
      <c r="AO179" s="2759"/>
      <c r="AP179" s="2759"/>
      <c r="AQ179" s="1986"/>
      <c r="AR179" s="1986"/>
      <c r="AS179" s="1986"/>
      <c r="AT179" s="1986"/>
      <c r="AU179" s="1986"/>
      <c r="AV179" s="1986"/>
    </row>
    <row r="180" spans="1:48" ht="12" customHeight="1" x14ac:dyDescent="0.2">
      <c r="A180" s="10"/>
      <c r="B180" s="925">
        <f>IF(OR(U180="FUE",U180="CON",U180="DES",U180="AGI"),1,IF(OR(U180="INT",U180="POD",U180="VOL",U180="PER"),2,0))</f>
        <v>0</v>
      </c>
      <c r="C180" s="3479"/>
      <c r="D180" s="2537"/>
      <c r="E180" s="3425"/>
      <c r="F180" s="3426"/>
      <c r="G180" s="3426"/>
      <c r="H180" s="1693"/>
      <c r="I180" s="1690"/>
      <c r="J180" s="1694"/>
      <c r="K180" s="2061"/>
      <c r="L180" s="1694"/>
      <c r="M180" s="2693"/>
      <c r="N180" s="1695"/>
      <c r="O180" s="2693"/>
      <c r="P180" s="1694"/>
      <c r="Q180" s="2693"/>
      <c r="R180" s="1695"/>
      <c r="S180" s="2693"/>
      <c r="T180" s="550">
        <f t="shared" si="48"/>
        <v>0</v>
      </c>
      <c r="U180" s="550" t="str">
        <f>IF(H180="","",MIN(VLOOKUP($H180,Tabla_Características,5,0)*(1+W180)+10*Con.TodasMaterias+10*X180,100))</f>
        <v/>
      </c>
      <c r="V180" s="550">
        <f>IF(ISNA(HLOOKUP($E180,Bonos_Cat_Base,2,FALSE)),0,HLOOKUP($E180,Bonos_Cat_Base,2,FALSE))+Tablas!$Z327*Nivel_Total+10*Y180</f>
        <v>0</v>
      </c>
      <c r="W180" s="2060"/>
      <c r="X180" s="2061"/>
      <c r="Y180" s="2060"/>
      <c r="Z180" s="2556"/>
      <c r="AA180" s="558" t="str">
        <f>IF(AND(T180&lt;5,Tablas!G$303=0),"-",IFERROR(T180+U180+V180+Z180+IF(I180="",0,40)+Mod_ATA,"-"))</f>
        <v>-</v>
      </c>
      <c r="AB180" s="1990">
        <f t="shared" si="38"/>
        <v>0</v>
      </c>
      <c r="AC180" s="953"/>
      <c r="AD180" s="2755"/>
      <c r="AE180" s="2764"/>
      <c r="AF180" s="2771"/>
      <c r="AG180" s="2764"/>
      <c r="AH180" s="2764" t="s">
        <v>7345</v>
      </c>
      <c r="AI180" s="2764" t="s">
        <v>7327</v>
      </c>
      <c r="AJ180" s="2764"/>
      <c r="AK180" s="2764"/>
      <c r="AL180" s="2759"/>
      <c r="AM180" s="2759"/>
      <c r="AN180" s="2759"/>
      <c r="AO180" s="2759"/>
      <c r="AP180" s="2759"/>
      <c r="AQ180" s="1986"/>
      <c r="AR180" s="1986"/>
      <c r="AS180" s="1986"/>
      <c r="AT180" s="1986"/>
      <c r="AU180" s="1986"/>
      <c r="AV180" s="1986"/>
    </row>
    <row r="181" spans="1:48" ht="12" customHeight="1" x14ac:dyDescent="0.2">
      <c r="A181" s="10"/>
      <c r="B181" s="925">
        <f>IF(OR(U181="FUE",U181="CON",U181="DES",U181="AGI"),1,IF(OR(U181="INT",U181="POD",U181="VOL",U181="PER"),2,0))</f>
        <v>0</v>
      </c>
      <c r="C181" s="3479"/>
      <c r="D181" s="2536"/>
      <c r="E181" s="3442"/>
      <c r="F181" s="3443"/>
      <c r="G181" s="3443"/>
      <c r="H181" s="1730"/>
      <c r="I181" s="1726"/>
      <c r="J181" s="1731"/>
      <c r="K181" s="2065"/>
      <c r="L181" s="1731"/>
      <c r="M181" s="2695"/>
      <c r="N181" s="1732"/>
      <c r="O181" s="2695"/>
      <c r="P181" s="1731"/>
      <c r="Q181" s="2695"/>
      <c r="R181" s="1732"/>
      <c r="S181" s="2695"/>
      <c r="T181" s="553">
        <f t="shared" si="48"/>
        <v>0</v>
      </c>
      <c r="U181" s="553" t="str">
        <f>IF(H181="","",MIN(VLOOKUP($H181,Tabla_Características,5,0)*(1+W181)+10*Con.TodasMaterias+10*X181,100))</f>
        <v/>
      </c>
      <c r="V181" s="553">
        <f>IF(ISNA(HLOOKUP($E181,Bonos_Cat_Base,2,FALSE)),0,HLOOKUP($E181,Bonos_Cat_Base,2,FALSE))+Tablas!$Z328*Nivel_Total+10*Y181</f>
        <v>0</v>
      </c>
      <c r="W181" s="2064"/>
      <c r="X181" s="2065"/>
      <c r="Y181" s="2064"/>
      <c r="Z181" s="2558"/>
      <c r="AA181" s="2707" t="str">
        <f>IF(AND(T181&lt;5,Tablas!G$303=0),"-",IFERROR(T181+U181+V181+Z181+IF(I181="",0,40)+Mod_ATA,"-"))</f>
        <v>-</v>
      </c>
      <c r="AB181" s="1990">
        <f t="shared" si="38"/>
        <v>0</v>
      </c>
      <c r="AC181" s="953"/>
      <c r="AD181" s="2755"/>
      <c r="AE181" s="2764"/>
      <c r="AF181" s="2771"/>
      <c r="AG181" s="2764"/>
      <c r="AH181" s="2764" t="s">
        <v>7341</v>
      </c>
      <c r="AI181" s="2764" t="s">
        <v>1443</v>
      </c>
      <c r="AJ181" s="2764"/>
      <c r="AK181" s="2764"/>
      <c r="AL181" s="2759"/>
      <c r="AM181" s="2759"/>
      <c r="AN181" s="2759"/>
      <c r="AO181" s="2759"/>
      <c r="AP181" s="2759"/>
      <c r="AQ181" s="1986"/>
      <c r="AR181" s="1986"/>
      <c r="AS181" s="1986"/>
      <c r="AT181" s="1986"/>
      <c r="AU181" s="1986"/>
      <c r="AV181" s="1986"/>
    </row>
    <row r="182" spans="1:48" ht="12" customHeight="1" thickBot="1" x14ac:dyDescent="0.25">
      <c r="A182" s="10"/>
      <c r="B182" s="925"/>
      <c r="C182" s="3479"/>
      <c r="D182" s="3464" t="s">
        <v>1549</v>
      </c>
      <c r="E182" s="3465"/>
      <c r="F182" s="3465"/>
      <c r="G182" s="3465"/>
      <c r="H182" s="3465"/>
      <c r="I182" s="3465"/>
      <c r="J182" s="3465"/>
      <c r="K182" s="3465"/>
      <c r="L182" s="3465"/>
      <c r="M182" s="3465"/>
      <c r="N182" s="3465"/>
      <c r="O182" s="3465"/>
      <c r="P182" s="3465"/>
      <c r="Q182" s="3465"/>
      <c r="R182" s="3465"/>
      <c r="S182" s="3465"/>
      <c r="T182" s="3465"/>
      <c r="U182" s="3465"/>
      <c r="V182" s="3465"/>
      <c r="W182" s="3465"/>
      <c r="X182" s="3465"/>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2 + 2</v>
      </c>
      <c r="AB182" s="1989" t="str">
        <f>LEFT(Y182,FIND("+",Y182)-2)</f>
        <v>0</v>
      </c>
      <c r="AC182" s="953"/>
      <c r="AD182" s="1986" t="str">
        <f>LEFT(AA182,FIND("+",AA182)-2)</f>
        <v>2</v>
      </c>
      <c r="AE182" s="2764"/>
      <c r="AF182" s="2771"/>
      <c r="AG182" s="2764"/>
      <c r="AH182" s="2764" t="s">
        <v>1457</v>
      </c>
      <c r="AI182" s="2764" t="s">
        <v>1457</v>
      </c>
      <c r="AJ182" s="2764"/>
      <c r="AK182" s="2764"/>
      <c r="AL182" s="2759"/>
      <c r="AM182" s="2759"/>
      <c r="AN182" s="2759"/>
      <c r="AO182" s="2759"/>
      <c r="AP182" s="2759"/>
      <c r="AQ182" s="1986"/>
      <c r="AR182" s="1986"/>
      <c r="AS182" s="1986"/>
      <c r="AT182" s="1986"/>
      <c r="AU182" s="1986"/>
      <c r="AV182" s="1986"/>
    </row>
    <row r="183" spans="1:48" ht="12" customHeight="1" x14ac:dyDescent="0.2">
      <c r="A183" s="10"/>
      <c r="B183" s="925"/>
      <c r="C183" s="3479"/>
      <c r="D183" s="3466" t="s">
        <v>1551</v>
      </c>
      <c r="E183" s="3467"/>
      <c r="F183" s="3467"/>
      <c r="G183" s="3467"/>
      <c r="H183" s="3467"/>
      <c r="I183" s="3467"/>
      <c r="J183" s="3467"/>
      <c r="K183" s="3467"/>
      <c r="L183" s="3467"/>
      <c r="M183" s="3467"/>
      <c r="N183" s="3467"/>
      <c r="O183" s="3467"/>
      <c r="P183" s="3467"/>
      <c r="Q183" s="3467"/>
      <c r="R183" s="3467"/>
      <c r="S183" s="3467"/>
      <c r="T183" s="3467"/>
      <c r="U183" s="3467"/>
      <c r="V183" s="3467"/>
      <c r="W183" s="3467"/>
      <c r="X183" s="3467"/>
      <c r="Y183" s="83">
        <f>SUM($X126:$X181)</f>
        <v>0</v>
      </c>
      <c r="Z183" s="82" t="s">
        <v>1550</v>
      </c>
      <c r="AA183" s="559">
        <f>IF(Nivel_Total=0,5,Nivel_Total*5)</f>
        <v>5</v>
      </c>
      <c r="AB183" s="1989" t="str">
        <f>RIGHT(Y182,LEN(Y182)-FIND("+",Y182)-1)</f>
        <v>0</v>
      </c>
      <c r="AC183" s="953"/>
      <c r="AD183" s="1986" t="str">
        <f>RIGHT(AA182,LEN(AA182)-FIND("+",AA182)-1)</f>
        <v>2</v>
      </c>
      <c r="AE183" s="2764"/>
      <c r="AF183" s="2771"/>
      <c r="AG183" s="2764"/>
      <c r="AH183" s="2764" t="s">
        <v>7342</v>
      </c>
      <c r="AI183" s="2764" t="s">
        <v>1465</v>
      </c>
      <c r="AJ183" s="2764"/>
      <c r="AK183" s="2764"/>
      <c r="AL183" s="2759"/>
      <c r="AM183" s="2759"/>
      <c r="AN183" s="2759"/>
      <c r="AO183" s="2759"/>
      <c r="AP183" s="2759"/>
      <c r="AQ183" s="1986"/>
      <c r="AR183" s="1986"/>
      <c r="AS183" s="1986"/>
      <c r="AT183" s="1986"/>
      <c r="AU183" s="1986"/>
      <c r="AV183" s="1986"/>
    </row>
    <row r="184" spans="1:48" ht="12" customHeight="1" x14ac:dyDescent="0.2">
      <c r="A184" s="10"/>
      <c r="B184" s="925"/>
      <c r="C184" s="3479"/>
      <c r="D184" s="3468" t="s">
        <v>1552</v>
      </c>
      <c r="E184" s="3430"/>
      <c r="F184" s="3430"/>
      <c r="G184" s="3430"/>
      <c r="H184" s="3430"/>
      <c r="I184" s="3430"/>
      <c r="J184" s="3430"/>
      <c r="K184" s="3430"/>
      <c r="L184" s="3430"/>
      <c r="M184" s="3430"/>
      <c r="N184" s="3430"/>
      <c r="O184" s="3430"/>
      <c r="P184" s="3430"/>
      <c r="Q184" s="3430"/>
      <c r="R184" s="3430"/>
      <c r="S184" s="3430"/>
      <c r="T184" s="3430"/>
      <c r="U184" s="3430"/>
      <c r="V184" s="3430"/>
      <c r="W184" s="3430"/>
      <c r="X184" s="3430"/>
      <c r="Y184" s="84">
        <f>SUM($Y126:$Y181)</f>
        <v>0</v>
      </c>
      <c r="Z184" s="85" t="s">
        <v>1550</v>
      </c>
      <c r="AA184" s="560">
        <f>SUM(AE6:AE10)</f>
        <v>5</v>
      </c>
      <c r="AB184" s="1995"/>
      <c r="AC184" s="953"/>
      <c r="AD184" s="2755"/>
      <c r="AE184" s="2764"/>
      <c r="AF184" s="2771"/>
      <c r="AG184" s="2764"/>
      <c r="AH184" s="2764" t="s">
        <v>7343</v>
      </c>
      <c r="AI184" s="2764" t="s">
        <v>1478</v>
      </c>
      <c r="AJ184" s="2764"/>
      <c r="AK184" s="2764"/>
      <c r="AL184" s="2759"/>
      <c r="AM184" s="2759"/>
      <c r="AN184" s="2759"/>
      <c r="AO184" s="2759"/>
      <c r="AP184" s="2759"/>
      <c r="AQ184" s="1986"/>
      <c r="AR184" s="1986"/>
      <c r="AS184" s="1986"/>
      <c r="AT184" s="1986"/>
      <c r="AU184" s="1986"/>
      <c r="AV184" s="1986"/>
    </row>
    <row r="185" spans="1:48" ht="12" customHeight="1" x14ac:dyDescent="0.2">
      <c r="A185" s="10"/>
      <c r="B185" s="925"/>
      <c r="C185" s="3479"/>
      <c r="D185" s="3469" t="s">
        <v>1553</v>
      </c>
      <c r="E185" s="3448" t="str">
        <f>IF(Acumulacion="Si","Múltiplos de Acumulación","Múltiplos de Vida")</f>
        <v>Múltiplos de Vida</v>
      </c>
      <c r="F185" s="3449"/>
      <c r="G185" s="3449"/>
      <c r="H185" s="3449"/>
      <c r="I185" s="3450"/>
      <c r="J185" s="3427">
        <f>IF(Acumulacion="Si","X",IF(Categoría_1=0,0,VLOOKUP(Categoría_1,Tabla_Categorías,4,FALSE)))</f>
        <v>20</v>
      </c>
      <c r="K185" s="3444"/>
      <c r="L185" s="3427">
        <f>IF(Acumulacion="Si","X",IF(Categoría_2=0,0,VLOOKUP(Categoría_2,Tabla_Categorías,4,FALSE)))</f>
        <v>0</v>
      </c>
      <c r="M185" s="3444"/>
      <c r="N185" s="3427">
        <f>IF(Acumulacion="Si","X",IF(Categoría_3=0,0,VLOOKUP(Categoría_3,Tabla_Categorías,4,FALSE)))</f>
        <v>0</v>
      </c>
      <c r="O185" s="3444"/>
      <c r="P185" s="3427">
        <f>IF(Acumulacion="Si","X",IF(Categoría_4=0,0,VLOOKUP(Categoría_4,Tabla_Categorías,4,FALSE)))</f>
        <v>0</v>
      </c>
      <c r="Q185" s="3444"/>
      <c r="R185" s="3427">
        <f>IF(Acumulacion="Si","X",IF(Categoría_5=0,0,VLOOKUP(Categoría_5,Tabla_Categorías,4,FALSE)))</f>
        <v>0</v>
      </c>
      <c r="S185" s="3444"/>
      <c r="T185" s="3446">
        <f>IF(Acumulacion="Si",IF(Tablas!$S$1695&gt;0,Tablas!$S$1695,VLOOKUP(Tamaño,Tabla_CreaciónSeres,5)),IF(J185=0,0,TRUNC((K185/J185),0))+IF(L185=0,0,TRUNC((M185/L185),0))+IF(N185=0,0,TRUNC((O185/N185),0))+IF(P185=0,0,TRUNC((Q185/P185),0))+IF(R185=0,0,TRUNC((S185/R185),0)))</f>
        <v>0</v>
      </c>
      <c r="U185" s="3436">
        <f>20+CON*10+Bono_Con</f>
        <v>70</v>
      </c>
      <c r="V185" s="3436">
        <f>(HLOOKUP("PV",Bonos_Cat_Base,2,FALSE)+(10*Tablas!$G$349+20*Tablas!$G$350+30*Tablas!$G$351)*Nivel_Total)*IF(Acumulacion="Si",VLOOKUP(Tamaño,Tabla_CreaciónSeres,5),1)</f>
        <v>5</v>
      </c>
      <c r="W185" s="3452">
        <f>IF(Acumulacion="Si",T185*(K185+M185+O185+Q185+S185),T185*CON)</f>
        <v>0</v>
      </c>
      <c r="X185" s="3473"/>
      <c r="Y185" s="3474"/>
      <c r="Z185" s="3438">
        <f>U185+W185+V185+X185</f>
        <v>75</v>
      </c>
      <c r="AA185" s="3439"/>
      <c r="AB185" s="1989"/>
      <c r="AC185" s="953"/>
      <c r="AD185" s="2755"/>
      <c r="AE185" s="2764"/>
      <c r="AF185" s="2771"/>
      <c r="AG185" s="2764"/>
      <c r="AH185" s="2764"/>
      <c r="AI185" s="2764"/>
      <c r="AJ185" s="2764"/>
      <c r="AK185" s="2764"/>
      <c r="AL185" s="2759"/>
      <c r="AM185" s="2759"/>
      <c r="AN185" s="2759"/>
      <c r="AO185" s="2759"/>
      <c r="AP185" s="2759"/>
      <c r="AQ185" s="1986"/>
      <c r="AR185" s="1986"/>
      <c r="AS185" s="1986"/>
      <c r="AT185" s="1986"/>
      <c r="AU185" s="1986"/>
      <c r="AV185" s="1986"/>
    </row>
    <row r="186" spans="1:48" ht="12" customHeight="1" thickBot="1" x14ac:dyDescent="0.25">
      <c r="A186" s="10"/>
      <c r="B186" s="925"/>
      <c r="C186" s="3480"/>
      <c r="D186" s="3470"/>
      <c r="E186" s="3447"/>
      <c r="F186" s="3437"/>
      <c r="G186" s="3437"/>
      <c r="H186" s="3437"/>
      <c r="I186" s="3451"/>
      <c r="J186" s="3428"/>
      <c r="K186" s="3445"/>
      <c r="L186" s="3428"/>
      <c r="M186" s="3445"/>
      <c r="N186" s="3428"/>
      <c r="O186" s="3445"/>
      <c r="P186" s="3428"/>
      <c r="Q186" s="3445"/>
      <c r="R186" s="3428"/>
      <c r="S186" s="3445"/>
      <c r="T186" s="3447"/>
      <c r="U186" s="3437"/>
      <c r="V186" s="3437"/>
      <c r="W186" s="3453"/>
      <c r="X186" s="3475"/>
      <c r="Y186" s="3476"/>
      <c r="Z186" s="3440"/>
      <c r="AA186" s="3441"/>
      <c r="AB186" s="1996"/>
      <c r="AC186" s="953"/>
      <c r="AD186" s="2755"/>
      <c r="AE186" s="2764"/>
      <c r="AF186" s="2771"/>
      <c r="AG186" s="2764"/>
      <c r="AH186" s="2764"/>
      <c r="AI186" s="2764"/>
      <c r="AJ186" s="2764"/>
      <c r="AK186" s="2764"/>
      <c r="AL186" s="2759"/>
      <c r="AM186" s="2759"/>
      <c r="AN186" s="2759"/>
      <c r="AO186" s="2759"/>
      <c r="AP186" s="2759"/>
      <c r="AQ186" s="1986"/>
      <c r="AR186" s="1986"/>
      <c r="AS186" s="1986"/>
      <c r="AT186" s="1986"/>
      <c r="AU186" s="1986"/>
      <c r="AV186" s="1986"/>
    </row>
    <row r="187" spans="1:48" ht="12" customHeight="1" x14ac:dyDescent="0.2">
      <c r="A187" s="10"/>
      <c r="B187" s="1039"/>
      <c r="AB187" s="1989"/>
      <c r="AC187" s="953"/>
      <c r="AD187" s="2755"/>
      <c r="AE187" s="2764"/>
      <c r="AF187" s="2771"/>
      <c r="AG187" s="2764"/>
      <c r="AH187" s="2764"/>
      <c r="AI187" s="2764"/>
      <c r="AJ187" s="2764"/>
      <c r="AK187" s="2764"/>
      <c r="AL187" s="2759"/>
      <c r="AM187" s="2759"/>
      <c r="AN187" s="2759"/>
      <c r="AO187" s="2759"/>
      <c r="AP187" s="2759"/>
      <c r="AQ187" s="1986"/>
      <c r="AR187" s="1986"/>
      <c r="AS187" s="1986"/>
      <c r="AT187" s="1986"/>
      <c r="AU187" s="1986"/>
      <c r="AV187" s="1986"/>
    </row>
    <row r="188" spans="1:48" ht="12" customHeight="1" thickBot="1" x14ac:dyDescent="0.25">
      <c r="A188" s="10"/>
      <c r="B188" s="925"/>
      <c r="AB188" s="1989"/>
      <c r="AC188" s="953"/>
      <c r="AD188" s="2755"/>
      <c r="AE188" s="2764"/>
      <c r="AF188" s="2771"/>
      <c r="AG188" s="2764"/>
      <c r="AH188" s="2764"/>
      <c r="AI188" s="2764"/>
      <c r="AJ188" s="2764"/>
      <c r="AK188" s="2764"/>
      <c r="AL188" s="2759"/>
      <c r="AM188" s="2759"/>
      <c r="AN188" s="2759"/>
      <c r="AO188" s="2759"/>
      <c r="AP188" s="2759"/>
      <c r="AQ188" s="1986"/>
      <c r="AR188" s="1986"/>
      <c r="AS188" s="1986"/>
      <c r="AT188" s="1986"/>
      <c r="AU188" s="1986"/>
      <c r="AV188" s="1986"/>
    </row>
    <row r="189" spans="1:48" ht="12" customHeight="1" x14ac:dyDescent="0.2">
      <c r="A189" s="10"/>
      <c r="B189" s="925"/>
      <c r="C189" s="3460" t="s">
        <v>1554</v>
      </c>
      <c r="D189" s="3461"/>
      <c r="E189" s="3461"/>
      <c r="F189" s="3461"/>
      <c r="G189" s="3461"/>
      <c r="H189" s="3461"/>
      <c r="I189" s="3462"/>
      <c r="J189" s="3458">
        <f>$T$5</f>
        <v>600</v>
      </c>
      <c r="K189" s="3477">
        <f>M83+M101+M117+SUM(K126:K181)+K185+Z7+W18</f>
        <v>70</v>
      </c>
      <c r="L189" s="3458">
        <f>$T$7</f>
        <v>0</v>
      </c>
      <c r="M189" s="3471">
        <f>IF(Categoría_2="",0,O83+O101+O117+M185+SUM(M126:M181)-M83-M101-M117+AA7+Z9+X18)</f>
        <v>0</v>
      </c>
      <c r="N189" s="3458">
        <f>$T$9</f>
        <v>0</v>
      </c>
      <c r="O189" s="3471">
        <f>IF(Categoría_3="",0,Q83+Q101+Q117+O185+SUM(O126:O181)-O83-O101-O117+AA9+Z11+Y18)</f>
        <v>0</v>
      </c>
      <c r="P189" s="3458">
        <f>$T$11</f>
        <v>0</v>
      </c>
      <c r="Q189" s="3471">
        <f>IF(Categoría_4="",0,S83+S101+S117+Q185+SUM(Q126:Q181)-Q83-Q101-Q117+AA11+Z13+Z18)</f>
        <v>0</v>
      </c>
      <c r="R189" s="3458">
        <f>$T$13</f>
        <v>0</v>
      </c>
      <c r="S189" s="3456">
        <f>IF(Categoría_4="",0,U83+U101+U117+S185+SUM(S126:S181)-S83-S101-S117+AA13+AA18)</f>
        <v>0</v>
      </c>
      <c r="T189" s="3744" t="str">
        <f>IF(AA189&gt;Z189,"Exceso de PDs gastados",IF(OR(K189&gt;J189,M189&gt;L189,O189&gt;N189,Q189&gt;P189,S189&gt;R189),"Límite por Categoría excedido",""))</f>
        <v/>
      </c>
      <c r="U189" s="3745"/>
      <c r="V189" s="3745"/>
      <c r="W189" s="3746"/>
      <c r="X189" s="3740" t="s">
        <v>3270</v>
      </c>
      <c r="Y189" s="3741"/>
      <c r="Z189" s="3750">
        <f>J189+L189+N189+P189+R189</f>
        <v>600</v>
      </c>
      <c r="AA189" s="3752">
        <f>K189+M189+O189+Q189+S189</f>
        <v>70</v>
      </c>
      <c r="AB189" s="1989"/>
      <c r="AC189" s="953"/>
      <c r="AD189" s="2755"/>
      <c r="AE189" s="2764"/>
      <c r="AF189" s="2771"/>
      <c r="AG189" s="2764"/>
      <c r="AH189" s="2764"/>
      <c r="AI189" s="2764"/>
      <c r="AJ189" s="2764"/>
      <c r="AK189" s="2764"/>
      <c r="AL189" s="2759"/>
      <c r="AM189" s="2759"/>
      <c r="AN189" s="2759"/>
      <c r="AO189" s="2759"/>
      <c r="AP189" s="2759"/>
      <c r="AQ189" s="1986"/>
      <c r="AR189" s="1986"/>
      <c r="AS189" s="1986"/>
      <c r="AT189" s="1986"/>
      <c r="AU189" s="1986"/>
      <c r="AV189" s="1986"/>
    </row>
    <row r="190" spans="1:48" ht="12" customHeight="1" thickBot="1" x14ac:dyDescent="0.25">
      <c r="A190" s="10"/>
      <c r="B190" s="925"/>
      <c r="C190" s="3463"/>
      <c r="D190" s="3211"/>
      <c r="E190" s="3211"/>
      <c r="F190" s="3211"/>
      <c r="G190" s="3211"/>
      <c r="H190" s="3211"/>
      <c r="I190" s="3212"/>
      <c r="J190" s="3459"/>
      <c r="K190" s="3472"/>
      <c r="L190" s="3459"/>
      <c r="M190" s="3472"/>
      <c r="N190" s="3459"/>
      <c r="O190" s="3472"/>
      <c r="P190" s="3459"/>
      <c r="Q190" s="3472"/>
      <c r="R190" s="3459"/>
      <c r="S190" s="3457"/>
      <c r="T190" s="3747"/>
      <c r="U190" s="3748"/>
      <c r="V190" s="3748"/>
      <c r="W190" s="3749"/>
      <c r="X190" s="3742"/>
      <c r="Y190" s="3743"/>
      <c r="Z190" s="3751"/>
      <c r="AA190" s="3753"/>
      <c r="AB190" s="1989"/>
      <c r="AC190" s="953"/>
      <c r="AD190" s="2755"/>
      <c r="AE190" s="2764"/>
      <c r="AF190" s="2771"/>
      <c r="AG190" s="2764"/>
      <c r="AH190" s="2764"/>
      <c r="AI190" s="2764"/>
      <c r="AJ190" s="2764"/>
      <c r="AK190" s="2764"/>
      <c r="AL190" s="2759"/>
      <c r="AM190" s="2759"/>
      <c r="AN190" s="2759"/>
      <c r="AO190" s="2759"/>
      <c r="AP190" s="2759"/>
      <c r="AQ190" s="1986"/>
      <c r="AR190" s="1986"/>
      <c r="AS190" s="1986"/>
      <c r="AT190" s="1986"/>
      <c r="AU190" s="1986"/>
      <c r="AV190" s="1986"/>
    </row>
    <row r="191" spans="1:48" ht="12" customHeight="1" thickBot="1" x14ac:dyDescent="0.25">
      <c r="A191" s="31"/>
      <c r="B191" s="925"/>
      <c r="AB191" s="1989"/>
      <c r="AC191" s="953"/>
      <c r="AD191" s="2755"/>
      <c r="AE191" s="2764"/>
      <c r="AF191" s="2771"/>
      <c r="AG191" s="2764"/>
      <c r="AH191" s="2764"/>
      <c r="AI191" s="2764"/>
      <c r="AJ191" s="2764"/>
      <c r="AK191" s="2764"/>
      <c r="AL191" s="2759"/>
      <c r="AM191" s="2759"/>
      <c r="AN191" s="2759"/>
      <c r="AO191" s="2759"/>
      <c r="AP191" s="2759"/>
      <c r="AQ191" s="1986"/>
      <c r="AR191" s="1986"/>
      <c r="AS191" s="1986"/>
      <c r="AT191" s="1986"/>
      <c r="AU191" s="1986"/>
      <c r="AV191" s="1986"/>
    </row>
    <row r="192" spans="1:48" ht="12" customHeight="1" x14ac:dyDescent="0.2">
      <c r="A192" s="31"/>
      <c r="B192" s="925"/>
      <c r="C192" s="3790" t="s">
        <v>9908</v>
      </c>
      <c r="D192" s="3793"/>
      <c r="E192" s="3794"/>
      <c r="F192" s="3794"/>
      <c r="G192" s="3794"/>
      <c r="H192" s="3794"/>
      <c r="I192" s="3794"/>
      <c r="J192" s="3794"/>
      <c r="K192" s="3794"/>
      <c r="L192" s="3794"/>
      <c r="M192" s="3794"/>
      <c r="N192" s="3794"/>
      <c r="O192" s="3794"/>
      <c r="P192" s="3794"/>
      <c r="Q192" s="3794"/>
      <c r="R192" s="3794"/>
      <c r="S192" s="3794"/>
      <c r="T192" s="3794"/>
      <c r="U192" s="3794"/>
      <c r="V192" s="3794"/>
      <c r="W192" s="3794"/>
      <c r="X192" s="3794"/>
      <c r="Y192" s="3794"/>
      <c r="Z192" s="3794"/>
      <c r="AA192" s="3795"/>
      <c r="AB192" s="1989"/>
      <c r="AC192" s="953"/>
      <c r="AD192" s="2755"/>
      <c r="AE192" s="2764"/>
      <c r="AF192" s="2771"/>
      <c r="AG192" s="2764"/>
      <c r="AH192" s="2764"/>
      <c r="AI192" s="2764"/>
      <c r="AJ192" s="2764"/>
      <c r="AK192" s="2764"/>
      <c r="AL192" s="2759"/>
      <c r="AM192" s="2759"/>
      <c r="AN192" s="2759"/>
      <c r="AO192" s="2759"/>
      <c r="AP192" s="2759"/>
      <c r="AQ192" s="1986"/>
      <c r="AR192" s="1986"/>
      <c r="AS192" s="1986"/>
      <c r="AT192" s="1986"/>
      <c r="AU192" s="1986"/>
      <c r="AV192" s="1986"/>
    </row>
    <row r="193" spans="1:48" ht="12" customHeight="1" x14ac:dyDescent="0.2">
      <c r="A193" s="31"/>
      <c r="B193" s="925"/>
      <c r="C193" s="3791"/>
      <c r="D193" s="3796"/>
      <c r="E193" s="3330"/>
      <c r="F193" s="3330"/>
      <c r="G193" s="3330"/>
      <c r="H193" s="3330"/>
      <c r="I193" s="3330"/>
      <c r="J193" s="3330"/>
      <c r="K193" s="3330"/>
      <c r="L193" s="3330"/>
      <c r="M193" s="3330"/>
      <c r="N193" s="3330"/>
      <c r="O193" s="3330"/>
      <c r="P193" s="3330"/>
      <c r="Q193" s="3330"/>
      <c r="R193" s="3330"/>
      <c r="S193" s="3330"/>
      <c r="T193" s="3330"/>
      <c r="U193" s="3330"/>
      <c r="V193" s="3330"/>
      <c r="W193" s="3330"/>
      <c r="X193" s="3330"/>
      <c r="Y193" s="3330"/>
      <c r="Z193" s="3330"/>
      <c r="AA193" s="3797"/>
      <c r="AB193" s="1989"/>
      <c r="AC193" s="953"/>
      <c r="AD193" s="2755"/>
      <c r="AE193" s="2764"/>
      <c r="AF193" s="2771"/>
      <c r="AG193" s="2764"/>
      <c r="AH193" s="2764"/>
      <c r="AI193" s="2764"/>
      <c r="AJ193" s="2764"/>
      <c r="AK193" s="2764"/>
      <c r="AL193" s="2759"/>
      <c r="AM193" s="2759"/>
      <c r="AN193" s="2759"/>
      <c r="AO193" s="2759"/>
      <c r="AP193" s="2759"/>
      <c r="AQ193" s="1986"/>
      <c r="AR193" s="1986"/>
      <c r="AS193" s="1986"/>
      <c r="AT193" s="1986"/>
      <c r="AU193" s="1986"/>
      <c r="AV193" s="1986"/>
    </row>
    <row r="194" spans="1:48" ht="12" customHeight="1" x14ac:dyDescent="0.2">
      <c r="A194" s="31"/>
      <c r="B194" s="925"/>
      <c r="C194" s="3791"/>
      <c r="D194" s="3796"/>
      <c r="E194" s="3330"/>
      <c r="F194" s="3330"/>
      <c r="G194" s="3330"/>
      <c r="H194" s="3330"/>
      <c r="I194" s="3330"/>
      <c r="J194" s="3330"/>
      <c r="K194" s="3330"/>
      <c r="L194" s="3330"/>
      <c r="M194" s="3330"/>
      <c r="N194" s="3330"/>
      <c r="O194" s="3330"/>
      <c r="P194" s="3330"/>
      <c r="Q194" s="3330"/>
      <c r="R194" s="3330"/>
      <c r="S194" s="3330"/>
      <c r="T194" s="3330"/>
      <c r="U194" s="3330"/>
      <c r="V194" s="3330"/>
      <c r="W194" s="3330"/>
      <c r="X194" s="3330"/>
      <c r="Y194" s="3330"/>
      <c r="Z194" s="3330"/>
      <c r="AA194" s="3797"/>
      <c r="AB194" s="1989"/>
      <c r="AC194" s="953"/>
      <c r="AD194" s="2755"/>
      <c r="AE194" s="2764"/>
      <c r="AF194" s="2771"/>
      <c r="AG194" s="2764"/>
      <c r="AH194" s="2764"/>
      <c r="AI194" s="2764"/>
      <c r="AJ194" s="2764"/>
      <c r="AK194" s="2764"/>
      <c r="AL194" s="2759"/>
      <c r="AM194" s="2759"/>
      <c r="AN194" s="2759"/>
      <c r="AO194" s="2759"/>
      <c r="AP194" s="2759"/>
      <c r="AQ194" s="1986"/>
      <c r="AR194" s="1986"/>
      <c r="AS194" s="1986"/>
      <c r="AT194" s="1986"/>
      <c r="AU194" s="1986"/>
      <c r="AV194" s="1986"/>
    </row>
    <row r="195" spans="1:48" ht="12" customHeight="1" thickBot="1" x14ac:dyDescent="0.25">
      <c r="A195" s="31"/>
      <c r="B195" s="925"/>
      <c r="C195" s="3792"/>
      <c r="D195" s="3798"/>
      <c r="E195" s="3799"/>
      <c r="F195" s="3799"/>
      <c r="G195" s="3799"/>
      <c r="H195" s="3799"/>
      <c r="I195" s="3799"/>
      <c r="J195" s="3799"/>
      <c r="K195" s="3799"/>
      <c r="L195" s="3799"/>
      <c r="M195" s="3799"/>
      <c r="N195" s="3799"/>
      <c r="O195" s="3799"/>
      <c r="P195" s="3799"/>
      <c r="Q195" s="3799"/>
      <c r="R195" s="3799"/>
      <c r="S195" s="3799"/>
      <c r="T195" s="3799"/>
      <c r="U195" s="3799"/>
      <c r="V195" s="3799"/>
      <c r="W195" s="3799"/>
      <c r="X195" s="3799"/>
      <c r="Y195" s="3799"/>
      <c r="Z195" s="3799"/>
      <c r="AA195" s="3800"/>
      <c r="AB195" s="1989"/>
      <c r="AC195" s="953"/>
      <c r="AD195" s="2755"/>
      <c r="AE195" s="2764"/>
      <c r="AF195" s="2771"/>
      <c r="AG195" s="2764"/>
      <c r="AH195" s="2764"/>
      <c r="AI195" s="2764"/>
      <c r="AJ195" s="2764"/>
      <c r="AK195" s="2764"/>
      <c r="AL195" s="2759"/>
      <c r="AM195" s="2759"/>
      <c r="AN195" s="2759"/>
      <c r="AO195" s="2759"/>
      <c r="AP195" s="2759"/>
      <c r="AQ195" s="1986"/>
      <c r="AR195" s="1986"/>
      <c r="AS195" s="1986"/>
      <c r="AT195" s="1986"/>
      <c r="AU195" s="1986"/>
      <c r="AV195" s="1986"/>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4"/>
      <c r="AC196" s="953"/>
      <c r="AD196" s="2755"/>
      <c r="AE196" s="2764"/>
      <c r="AF196" s="2771"/>
      <c r="AG196" s="2764"/>
      <c r="AH196" s="2764"/>
      <c r="AI196" s="2764"/>
      <c r="AJ196" s="2764"/>
      <c r="AK196" s="2764"/>
      <c r="AL196" s="2759"/>
      <c r="AM196" s="2759"/>
      <c r="AN196" s="2759"/>
      <c r="AO196" s="2759"/>
      <c r="AP196" s="2759"/>
      <c r="AQ196" s="1986"/>
      <c r="AR196" s="1986"/>
      <c r="AS196" s="1986"/>
      <c r="AT196" s="1986"/>
      <c r="AU196" s="1986"/>
      <c r="AV196" s="1986"/>
    </row>
    <row r="197" spans="1:48" ht="12" customHeight="1" x14ac:dyDescent="0.2">
      <c r="A197" s="1076"/>
      <c r="B197" s="2070"/>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2755"/>
      <c r="AE197" s="2764"/>
      <c r="AF197" s="2771"/>
      <c r="AG197" s="2764"/>
      <c r="AH197" s="2764"/>
      <c r="AI197" s="2764"/>
      <c r="AJ197" s="2764"/>
      <c r="AK197" s="2764"/>
      <c r="AL197" s="2759"/>
      <c r="AM197" s="2759"/>
      <c r="AN197" s="2759"/>
      <c r="AO197" s="2759"/>
      <c r="AP197" s="2759"/>
      <c r="AQ197" s="1986"/>
      <c r="AR197" s="1986"/>
      <c r="AS197" s="1986"/>
      <c r="AT197" s="1986"/>
      <c r="AU197" s="1986"/>
      <c r="AV197" s="1986"/>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33" priority="570" stopIfTrue="1" operator="equal">
      <formula>"Tabla de Esquiva con Escudo"</formula>
    </cfRule>
  </conditionalFormatting>
  <conditionalFormatting sqref="K189">
    <cfRule type="cellIs" dxfId="132" priority="571" stopIfTrue="1" operator="greaterThan">
      <formula>$J$189</formula>
    </cfRule>
  </conditionalFormatting>
  <conditionalFormatting sqref="Y184">
    <cfRule type="cellIs" dxfId="131" priority="572" stopIfTrue="1" operator="notEqual">
      <formula>$AA$184</formula>
    </cfRule>
  </conditionalFormatting>
  <conditionalFormatting sqref="Y183">
    <cfRule type="cellIs" dxfId="130" priority="573" stopIfTrue="1" operator="notEqual">
      <formula>$AA$183</formula>
    </cfRule>
  </conditionalFormatting>
  <conditionalFormatting sqref="Y182">
    <cfRule type="expression" dxfId="129" priority="155" stopIfTrue="1">
      <formula>OR($AB$182&gt;$AD$182,$AB$183&gt;$AD$183)</formula>
    </cfRule>
    <cfRule type="expression" dxfId="128" priority="574">
      <formula>OR($AB$182&lt;$AD$182,$AB$183&lt;$AD$183)</formula>
    </cfRule>
  </conditionalFormatting>
  <conditionalFormatting sqref="Y126:Y181">
    <cfRule type="cellIs" dxfId="127" priority="575" stopIfTrue="1" operator="greaterThan">
      <formula>$AA$184/5</formula>
    </cfRule>
  </conditionalFormatting>
  <conditionalFormatting sqref="P7 P9 P11 P13">
    <cfRule type="expression" dxfId="126" priority="621" stopIfTrue="1">
      <formula>$P$5=0</formula>
    </cfRule>
  </conditionalFormatting>
  <conditionalFormatting sqref="V41:V45">
    <cfRule type="expression" dxfId="125" priority="1787" stopIfTrue="1">
      <formula>AND(NOT($V41="Armas improvisadas"),$Y41=0)</formula>
    </cfRule>
  </conditionalFormatting>
  <conditionalFormatting sqref="E40:K45 E75:K82">
    <cfRule type="expression" dxfId="124" priority="1790">
      <formula>NOT(OR(L40=M40,$N40=$O40,$P40=$Q40,$R40=$S40,$T40=$U40))</formula>
    </cfRule>
  </conditionalFormatting>
  <conditionalFormatting sqref="Y40:AA45">
    <cfRule type="expression" dxfId="123" priority="232" stopIfTrue="1">
      <formula>$V40=""</formula>
    </cfRule>
  </conditionalFormatting>
  <conditionalFormatting sqref="E113">
    <cfRule type="expression" dxfId="122" priority="1902" stopIfTrue="1">
      <formula>NOT(OR(#REF!=#REF!,#REF!=#REF!,#REF!=#REF!,#REF!=#REF!,#REF!=#REF!))</formula>
    </cfRule>
  </conditionalFormatting>
  <conditionalFormatting sqref="E114">
    <cfRule type="expression" dxfId="121" priority="2442" stopIfTrue="1">
      <formula>NOT(OR(#REF!=#REF!,#REF!=#REF!,#REF!=#REF!,#REF!=#REF!,#REF!=#REF!))</formula>
    </cfRule>
  </conditionalFormatting>
  <conditionalFormatting sqref="E115:E116">
    <cfRule type="expression" dxfId="120" priority="2445" stopIfTrue="1">
      <formula>NOT(OR(M123=L123,O123=N123,Q123=P123,S123=R123,U123=T123))</formula>
    </cfRule>
  </conditionalFormatting>
  <conditionalFormatting sqref="E56:E74">
    <cfRule type="expression" dxfId="119" priority="196">
      <formula>OR($J56="",$AF56&gt;1)</formula>
    </cfRule>
  </conditionalFormatting>
  <conditionalFormatting sqref="L185">
    <cfRule type="expression" dxfId="118" priority="4245" stopIfTrue="1">
      <formula>Categoría_2=0</formula>
    </cfRule>
  </conditionalFormatting>
  <conditionalFormatting sqref="N185">
    <cfRule type="expression" dxfId="117" priority="4315" stopIfTrue="1">
      <formula>Categoría_3=0</formula>
    </cfRule>
  </conditionalFormatting>
  <conditionalFormatting sqref="P185">
    <cfRule type="expression" dxfId="116" priority="4385" stopIfTrue="1">
      <formula>Categoría_4=0</formula>
    </cfRule>
  </conditionalFormatting>
  <conditionalFormatting sqref="R185">
    <cfRule type="expression" dxfId="115" priority="4455" stopIfTrue="1">
      <formula>Categoría_5=0</formula>
    </cfRule>
  </conditionalFormatting>
  <conditionalFormatting sqref="N83:O83">
    <cfRule type="expression" dxfId="114" priority="4795" stopIfTrue="1">
      <formula>Categoría_2=0</formula>
    </cfRule>
  </conditionalFormatting>
  <conditionalFormatting sqref="P83:Q83">
    <cfRule type="expression" dxfId="113" priority="4801" stopIfTrue="1">
      <formula>Categoría_3=0</formula>
    </cfRule>
  </conditionalFormatting>
  <conditionalFormatting sqref="R83">
    <cfRule type="expression" dxfId="112" priority="4807" stopIfTrue="1">
      <formula>Categoría_4=0</formula>
    </cfRule>
  </conditionalFormatting>
  <conditionalFormatting sqref="T83 T101 T117">
    <cfRule type="expression" dxfId="111" priority="4813" stopIfTrue="1">
      <formula>Categoría_5=0</formula>
    </cfRule>
  </conditionalFormatting>
  <conditionalFormatting sqref="S83">
    <cfRule type="expression" dxfId="110" priority="4819" stopIfTrue="1">
      <formula>Categoría_4=0</formula>
    </cfRule>
  </conditionalFormatting>
  <conditionalFormatting sqref="V40">
    <cfRule type="expression" dxfId="109" priority="195" stopIfTrue="1">
      <formula>AND(NOT($V40="Armas improvisadas"),$Y40=0)</formula>
    </cfRule>
  </conditionalFormatting>
  <conditionalFormatting sqref="L83:M84">
    <cfRule type="expression" dxfId="108" priority="193" stopIfTrue="1">
      <formula>$N83&gt;0</formula>
    </cfRule>
  </conditionalFormatting>
  <conditionalFormatting sqref="L189:M189">
    <cfRule type="cellIs" dxfId="107" priority="5146" stopIfTrue="1" operator="greaterThan">
      <formula>$L$189</formula>
    </cfRule>
    <cfRule type="expression" dxfId="106" priority="5147" stopIfTrue="1">
      <formula>$P$7=0</formula>
    </cfRule>
  </conditionalFormatting>
  <conditionalFormatting sqref="N189:O189">
    <cfRule type="cellIs" dxfId="105" priority="5148" stopIfTrue="1" operator="greaterThan">
      <formula>$N$189</formula>
    </cfRule>
    <cfRule type="expression" dxfId="104" priority="5149" stopIfTrue="1">
      <formula>$P$9=0</formula>
    </cfRule>
  </conditionalFormatting>
  <conditionalFormatting sqref="P189:Q189">
    <cfRule type="cellIs" dxfId="103" priority="5150" stopIfTrue="1" operator="greaterThan">
      <formula>$P$189</formula>
    </cfRule>
    <cfRule type="expression" dxfId="102" priority="5151" stopIfTrue="1">
      <formula>$P$11=0</formula>
    </cfRule>
  </conditionalFormatting>
  <conditionalFormatting sqref="R189:S189">
    <cfRule type="cellIs" dxfId="101" priority="5152" stopIfTrue="1" operator="greaterThan">
      <formula>$R$189</formula>
    </cfRule>
    <cfRule type="expression" dxfId="100" priority="5153" stopIfTrue="1">
      <formula>$P$13=0</formula>
    </cfRule>
  </conditionalFormatting>
  <conditionalFormatting sqref="U83 U101 U117">
    <cfRule type="expression" dxfId="99" priority="5155" stopIfTrue="1">
      <formula>$P$13=0</formula>
    </cfRule>
  </conditionalFormatting>
  <conditionalFormatting sqref="M189:M190">
    <cfRule type="expression" dxfId="98" priority="5160">
      <formula>$M$189&gt;$T$7</formula>
    </cfRule>
  </conditionalFormatting>
  <conditionalFormatting sqref="Y7:Y14">
    <cfRule type="expression" dxfId="97" priority="189" stopIfTrue="1">
      <formula>NOT($Y7=$Z7+$AA7)</formula>
    </cfRule>
  </conditionalFormatting>
  <conditionalFormatting sqref="N83:O84">
    <cfRule type="expression" dxfId="96" priority="186" stopIfTrue="1">
      <formula>$P83&gt;0</formula>
    </cfRule>
  </conditionalFormatting>
  <conditionalFormatting sqref="P83:Q84">
    <cfRule type="expression" dxfId="95" priority="185" stopIfTrue="1">
      <formula>$R83&gt;0</formula>
    </cfRule>
  </conditionalFormatting>
  <conditionalFormatting sqref="R83:S84">
    <cfRule type="expression" dxfId="94" priority="184" stopIfTrue="1">
      <formula>$T83&gt;0</formula>
    </cfRule>
  </conditionalFormatting>
  <conditionalFormatting sqref="N101:O101">
    <cfRule type="expression" dxfId="93" priority="178" stopIfTrue="1">
      <formula>Categoría_2=0</formula>
    </cfRule>
  </conditionalFormatting>
  <conditionalFormatting sqref="P101:Q101">
    <cfRule type="expression" dxfId="92" priority="179" stopIfTrue="1">
      <formula>Categoría_3=0</formula>
    </cfRule>
  </conditionalFormatting>
  <conditionalFormatting sqref="R101">
    <cfRule type="expression" dxfId="91" priority="180" stopIfTrue="1">
      <formula>Categoría_4=0</formula>
    </cfRule>
  </conditionalFormatting>
  <conditionalFormatting sqref="S101">
    <cfRule type="expression" dxfId="90" priority="182" stopIfTrue="1">
      <formula>Categoría_4=0</formula>
    </cfRule>
  </conditionalFormatting>
  <conditionalFormatting sqref="L101:M102">
    <cfRule type="expression" dxfId="89" priority="176" stopIfTrue="1">
      <formula>$N101&gt;0</formula>
    </cfRule>
  </conditionalFormatting>
  <conditionalFormatting sqref="N101:O102">
    <cfRule type="expression" dxfId="88" priority="175" stopIfTrue="1">
      <formula>$P101&gt;0</formula>
    </cfRule>
  </conditionalFormatting>
  <conditionalFormatting sqref="P101:Q102">
    <cfRule type="expression" dxfId="87" priority="174" stopIfTrue="1">
      <formula>$R101&gt;0</formula>
    </cfRule>
  </conditionalFormatting>
  <conditionalFormatting sqref="R101:S102">
    <cfRule type="expression" dxfId="86" priority="173" stopIfTrue="1">
      <formula>$T101&gt;0</formula>
    </cfRule>
  </conditionalFormatting>
  <conditionalFormatting sqref="N117:O117">
    <cfRule type="expression" dxfId="85" priority="168" stopIfTrue="1">
      <formula>Categoría_2=0</formula>
    </cfRule>
  </conditionalFormatting>
  <conditionalFormatting sqref="P117:Q117">
    <cfRule type="expression" dxfId="84" priority="169" stopIfTrue="1">
      <formula>Categoría_3=0</formula>
    </cfRule>
  </conditionalFormatting>
  <conditionalFormatting sqref="R117">
    <cfRule type="expression" dxfId="83" priority="170" stopIfTrue="1">
      <formula>Categoría_4=0</formula>
    </cfRule>
  </conditionalFormatting>
  <conditionalFormatting sqref="S117">
    <cfRule type="expression" dxfId="82" priority="172" stopIfTrue="1">
      <formula>Categoría_4=0</formula>
    </cfRule>
  </conditionalFormatting>
  <conditionalFormatting sqref="L117:M118">
    <cfRule type="expression" dxfId="81" priority="166" stopIfTrue="1">
      <formula>$N117&gt;0</formula>
    </cfRule>
  </conditionalFormatting>
  <conditionalFormatting sqref="N117:O118">
    <cfRule type="expression" dxfId="80" priority="165" stopIfTrue="1">
      <formula>$P117&gt;0</formula>
    </cfRule>
  </conditionalFormatting>
  <conditionalFormatting sqref="P117:Q118">
    <cfRule type="expression" dxfId="79" priority="164" stopIfTrue="1">
      <formula>$R117&gt;0</formula>
    </cfRule>
  </conditionalFormatting>
  <conditionalFormatting sqref="R117:S118">
    <cfRule type="expression" dxfId="78" priority="163" stopIfTrue="1">
      <formula>$T117&gt;0</formula>
    </cfRule>
  </conditionalFormatting>
  <conditionalFormatting sqref="E46:K55">
    <cfRule type="expression" dxfId="77" priority="156">
      <formula>$AG46</formula>
    </cfRule>
  </conditionalFormatting>
  <conditionalFormatting sqref="W126:W181">
    <cfRule type="cellIs" dxfId="0" priority="154" stopIfTrue="1" operator="greaterThan">
      <formula>Nivel_Total</formula>
    </cfRule>
  </conditionalFormatting>
  <conditionalFormatting sqref="X126:X181">
    <cfRule type="cellIs" dxfId="76" priority="149" stopIfTrue="1" operator="greaterThan">
      <formula>$AA$183/5</formula>
    </cfRule>
  </conditionalFormatting>
  <conditionalFormatting sqref="E56:K74">
    <cfRule type="expression" dxfId="75" priority="6892">
      <formula>NOT($AL56)</formula>
    </cfRule>
  </conditionalFormatting>
  <conditionalFormatting sqref="V56:AA74">
    <cfRule type="containsText" dxfId="74" priority="135" operator="containsText" text="FALTAN REQUISITOS">
      <formula>NOT(ISERROR(SEARCH("FALTAN REQUISITOS",V56)))</formula>
    </cfRule>
    <cfRule type="containsText" dxfId="73" priority="136" operator="containsText" text="ARTE MARCIAL REPETIDA">
      <formula>NOT(ISERROR(SEARCH("ARTE MARCIAL REPETIDA",V56)))</formula>
    </cfRule>
    <cfRule type="containsText" dxfId="72" priority="137" operator="containsText" text="ARTE MARCIAL SIN PAGAR">
      <formula>NOT(ISERROR(SEARCH("ARTE MARCIAL SIN PAGAR",V56)))</formula>
    </cfRule>
  </conditionalFormatting>
  <conditionalFormatting sqref="X18:AA18">
    <cfRule type="expression" dxfId="71" priority="130" stopIfTrue="1">
      <formula>$AA$16=$W$18</formula>
    </cfRule>
  </conditionalFormatting>
  <conditionalFormatting sqref="N22:N25 N27:N32 N39:N82">
    <cfRule type="expression" dxfId="70" priority="119">
      <formula>N$19&lt;&gt;""</formula>
    </cfRule>
  </conditionalFormatting>
  <conditionalFormatting sqref="O22:O39 O56:O74">
    <cfRule type="expression" dxfId="69" priority="68" stopIfTrue="1">
      <formula>N$19=""</formula>
    </cfRule>
  </conditionalFormatting>
  <conditionalFormatting sqref="L22:L25 L27:L55">
    <cfRule type="expression" dxfId="68" priority="67">
      <formula>L$19&lt;&gt;""</formula>
    </cfRule>
  </conditionalFormatting>
  <conditionalFormatting sqref="M22:M55">
    <cfRule type="expression" dxfId="67" priority="66" stopIfTrue="1">
      <formula>L$19=""</formula>
    </cfRule>
  </conditionalFormatting>
  <conditionalFormatting sqref="P22:P25 P27:P32 P39:P55">
    <cfRule type="expression" dxfId="66" priority="65">
      <formula>P$19&lt;&gt;""</formula>
    </cfRule>
  </conditionalFormatting>
  <conditionalFormatting sqref="Q22:Q39">
    <cfRule type="expression" dxfId="65" priority="64" stopIfTrue="1">
      <formula>P$19=""</formula>
    </cfRule>
  </conditionalFormatting>
  <conditionalFormatting sqref="R22:R25 R27:R32 R39:R55">
    <cfRule type="expression" dxfId="64" priority="63">
      <formula>R$19&lt;&gt;""</formula>
    </cfRule>
  </conditionalFormatting>
  <conditionalFormatting sqref="S22:S39">
    <cfRule type="expression" dxfId="63" priority="62" stopIfTrue="1">
      <formula>R$19=""</formula>
    </cfRule>
  </conditionalFormatting>
  <conditionalFormatting sqref="T22:T25 T27:T32 T39:T55">
    <cfRule type="expression" dxfId="62" priority="61">
      <formula>T$19&lt;&gt;""</formula>
    </cfRule>
  </conditionalFormatting>
  <conditionalFormatting sqref="U22:U39">
    <cfRule type="expression" dxfId="61" priority="60" stopIfTrue="1">
      <formula>T$19=""</formula>
    </cfRule>
  </conditionalFormatting>
  <conditionalFormatting sqref="L75:L82">
    <cfRule type="expression" dxfId="60" priority="59">
      <formula>L$19&lt;&gt;""</formula>
    </cfRule>
  </conditionalFormatting>
  <conditionalFormatting sqref="M75:M82">
    <cfRule type="expression" dxfId="59" priority="58" stopIfTrue="1">
      <formula>L$19=""</formula>
    </cfRule>
  </conditionalFormatting>
  <conditionalFormatting sqref="P75:P82">
    <cfRule type="expression" dxfId="58" priority="57" stopIfTrue="1">
      <formula>P$19&lt;&gt;""</formula>
    </cfRule>
  </conditionalFormatting>
  <conditionalFormatting sqref="R75:R82">
    <cfRule type="expression" dxfId="57" priority="55">
      <formula>R$19&lt;&gt;""</formula>
    </cfRule>
  </conditionalFormatting>
  <conditionalFormatting sqref="T75:T82">
    <cfRule type="expression" dxfId="56" priority="53" stopIfTrue="1">
      <formula>T$19&lt;&gt;""</formula>
    </cfRule>
  </conditionalFormatting>
  <conditionalFormatting sqref="L90:L100">
    <cfRule type="expression" dxfId="55" priority="51">
      <formula>L$87&lt;&gt;""</formula>
    </cfRule>
  </conditionalFormatting>
  <conditionalFormatting sqref="M90:M100">
    <cfRule type="expression" dxfId="54" priority="50">
      <formula>L$87=""</formula>
    </cfRule>
  </conditionalFormatting>
  <conditionalFormatting sqref="N90:N100">
    <cfRule type="expression" dxfId="53" priority="49">
      <formula>N$87&lt;&gt;""</formula>
    </cfRule>
  </conditionalFormatting>
  <conditionalFormatting sqref="O90:O100">
    <cfRule type="expression" dxfId="52" priority="48">
      <formula>N$87=""</formula>
    </cfRule>
  </conditionalFormatting>
  <conditionalFormatting sqref="P90:P100">
    <cfRule type="expression" dxfId="51" priority="47">
      <formula>P$87&lt;&gt;""</formula>
    </cfRule>
  </conditionalFormatting>
  <conditionalFormatting sqref="Q90:Q100">
    <cfRule type="expression" dxfId="50" priority="46">
      <formula>P$87=""</formula>
    </cfRule>
  </conditionalFormatting>
  <conditionalFormatting sqref="R90:R100">
    <cfRule type="expression" dxfId="49" priority="45">
      <formula>R$87&lt;&gt;""</formula>
    </cfRule>
  </conditionalFormatting>
  <conditionalFormatting sqref="S90:S100">
    <cfRule type="expression" dxfId="48" priority="44">
      <formula>R$87=""</formula>
    </cfRule>
  </conditionalFormatting>
  <conditionalFormatting sqref="T90:T100">
    <cfRule type="expression" dxfId="47" priority="43">
      <formula>T$87&lt;&gt;""</formula>
    </cfRule>
  </conditionalFormatting>
  <conditionalFormatting sqref="U90:U100">
    <cfRule type="expression" dxfId="46" priority="42">
      <formula>T$87=""</formula>
    </cfRule>
  </conditionalFormatting>
  <conditionalFormatting sqref="L108:L116">
    <cfRule type="expression" dxfId="45" priority="41" stopIfTrue="1">
      <formula>L$105&lt;&gt;""</formula>
    </cfRule>
  </conditionalFormatting>
  <conditionalFormatting sqref="M108:M116">
    <cfRule type="expression" dxfId="44" priority="40">
      <formula>L$105=""</formula>
    </cfRule>
  </conditionalFormatting>
  <conditionalFormatting sqref="N108:N116">
    <cfRule type="expression" dxfId="43" priority="39" stopIfTrue="1">
      <formula>N$105&lt;&gt;""</formula>
    </cfRule>
  </conditionalFormatting>
  <conditionalFormatting sqref="O108:O116">
    <cfRule type="expression" dxfId="42" priority="38">
      <formula>N$105=""</formula>
    </cfRule>
  </conditionalFormatting>
  <conditionalFormatting sqref="P108:P116">
    <cfRule type="expression" dxfId="41" priority="37" stopIfTrue="1">
      <formula>P$105&lt;&gt;""</formula>
    </cfRule>
  </conditionalFormatting>
  <conditionalFormatting sqref="Q108:Q116">
    <cfRule type="expression" dxfId="40" priority="36">
      <formula>P$105=""</formula>
    </cfRule>
  </conditionalFormatting>
  <conditionalFormatting sqref="R108:R116">
    <cfRule type="expression" dxfId="39" priority="35" stopIfTrue="1">
      <formula>R$105&lt;&gt;""</formula>
    </cfRule>
  </conditionalFormatting>
  <conditionalFormatting sqref="S108:S116">
    <cfRule type="expression" dxfId="38" priority="34">
      <formula>R$105=""</formula>
    </cfRule>
  </conditionalFormatting>
  <conditionalFormatting sqref="T108:T116">
    <cfRule type="expression" dxfId="37" priority="33" stopIfTrue="1">
      <formula>T$105&lt;&gt;""</formula>
    </cfRule>
  </conditionalFormatting>
  <conditionalFormatting sqref="U108:U116">
    <cfRule type="expression" dxfId="36" priority="32">
      <formula>T$105=""</formula>
    </cfRule>
  </conditionalFormatting>
  <conditionalFormatting sqref="J126:J176">
    <cfRule type="expression" dxfId="35" priority="31" stopIfTrue="1">
      <formula>J$123&lt;&gt;""</formula>
    </cfRule>
  </conditionalFormatting>
  <conditionalFormatting sqref="K126:K176">
    <cfRule type="expression" dxfId="34" priority="30">
      <formula>J$123=""</formula>
    </cfRule>
  </conditionalFormatting>
  <conditionalFormatting sqref="L126:L176">
    <cfRule type="expression" dxfId="33" priority="29" stopIfTrue="1">
      <formula>L$123&lt;&gt;""</formula>
    </cfRule>
  </conditionalFormatting>
  <conditionalFormatting sqref="M126:M176">
    <cfRule type="expression" dxfId="32" priority="28">
      <formula>L$123=""</formula>
    </cfRule>
  </conditionalFormatting>
  <conditionalFormatting sqref="N126:N176">
    <cfRule type="expression" dxfId="31" priority="27" stopIfTrue="1">
      <formula>N$123&lt;&gt;""</formula>
    </cfRule>
  </conditionalFormatting>
  <conditionalFormatting sqref="O126:O176">
    <cfRule type="expression" dxfId="30" priority="26">
      <formula>N$123=""</formula>
    </cfRule>
  </conditionalFormatting>
  <conditionalFormatting sqref="P126:P176">
    <cfRule type="expression" dxfId="29" priority="25" stopIfTrue="1">
      <formula>P$123&lt;&gt;""</formula>
    </cfRule>
  </conditionalFormatting>
  <conditionalFormatting sqref="Q126:Q176">
    <cfRule type="expression" dxfId="28" priority="24">
      <formula>P$123=""</formula>
    </cfRule>
  </conditionalFormatting>
  <conditionalFormatting sqref="R126:R176">
    <cfRule type="expression" dxfId="27" priority="23" stopIfTrue="1">
      <formula>R$123&lt;&gt;""</formula>
    </cfRule>
  </conditionalFormatting>
  <conditionalFormatting sqref="S126:S176">
    <cfRule type="expression" dxfId="26" priority="22">
      <formula>R$123=""</formula>
    </cfRule>
  </conditionalFormatting>
  <conditionalFormatting sqref="O40:O45">
    <cfRule type="expression" dxfId="25" priority="21" stopIfTrue="1">
      <formula>N$19=""</formula>
    </cfRule>
  </conditionalFormatting>
  <conditionalFormatting sqref="Q40:Q45">
    <cfRule type="expression" dxfId="24" priority="20" stopIfTrue="1">
      <formula>P$19=""</formula>
    </cfRule>
  </conditionalFormatting>
  <conditionalFormatting sqref="S40:S45">
    <cfRule type="expression" dxfId="23" priority="19" stopIfTrue="1">
      <formula>R$19=""</formula>
    </cfRule>
  </conditionalFormatting>
  <conditionalFormatting sqref="U40:U45">
    <cfRule type="expression" dxfId="22" priority="18" stopIfTrue="1">
      <formula>T$19=""</formula>
    </cfRule>
  </conditionalFormatting>
  <conditionalFormatting sqref="O75:O82">
    <cfRule type="expression" dxfId="21" priority="17" stopIfTrue="1">
      <formula>N$19=""</formula>
    </cfRule>
  </conditionalFormatting>
  <conditionalFormatting sqref="Q75:Q82">
    <cfRule type="expression" dxfId="20" priority="16" stopIfTrue="1">
      <formula>P$19=""</formula>
    </cfRule>
  </conditionalFormatting>
  <conditionalFormatting sqref="S75:S82">
    <cfRule type="expression" dxfId="19" priority="15" stopIfTrue="1">
      <formula>R$19=""</formula>
    </cfRule>
  </conditionalFormatting>
  <conditionalFormatting sqref="U75:U82">
    <cfRule type="expression" dxfId="18" priority="14" stopIfTrue="1">
      <formula>T$19=""</formula>
    </cfRule>
  </conditionalFormatting>
  <conditionalFormatting sqref="N33:N38">
    <cfRule type="expression" dxfId="17" priority="13">
      <formula>N$19&lt;&gt;""</formula>
    </cfRule>
  </conditionalFormatting>
  <conditionalFormatting sqref="P33:P38">
    <cfRule type="expression" dxfId="16" priority="12">
      <formula>P$19&lt;&gt;""</formula>
    </cfRule>
  </conditionalFormatting>
  <conditionalFormatting sqref="R33:R38">
    <cfRule type="expression" dxfId="15" priority="11">
      <formula>R$19&lt;&gt;""</formula>
    </cfRule>
  </conditionalFormatting>
  <conditionalFormatting sqref="T33:T38">
    <cfRule type="expression" dxfId="14" priority="10">
      <formula>T$19&lt;&gt;""</formula>
    </cfRule>
  </conditionalFormatting>
  <conditionalFormatting sqref="O46:O55">
    <cfRule type="expression" dxfId="13" priority="9" stopIfTrue="1">
      <formula>N$19=""</formula>
    </cfRule>
  </conditionalFormatting>
  <conditionalFormatting sqref="Q46:Q55">
    <cfRule type="expression" dxfId="12" priority="8" stopIfTrue="1">
      <formula>P$19=""</formula>
    </cfRule>
  </conditionalFormatting>
  <conditionalFormatting sqref="S46:S55">
    <cfRule type="expression" dxfId="11" priority="7" stopIfTrue="1">
      <formula>R$19=""</formula>
    </cfRule>
  </conditionalFormatting>
  <conditionalFormatting sqref="U46:U55">
    <cfRule type="expression" dxfId="10" priority="6" stopIfTrue="1">
      <formula>T$19=""</formula>
    </cfRule>
  </conditionalFormatting>
  <conditionalFormatting sqref="AA126:AA128">
    <cfRule type="expression" dxfId="9" priority="5" stopIfTrue="1">
      <formula>B1</formula>
    </cfRule>
  </conditionalFormatting>
  <conditionalFormatting sqref="AA129:AA132">
    <cfRule type="expression" dxfId="8" priority="4" stopIfTrue="1">
      <formula>B4</formula>
    </cfRule>
  </conditionalFormatting>
  <conditionalFormatting sqref="AA133:AA180">
    <cfRule type="expression" dxfId="7" priority="3" stopIfTrue="1">
      <formula>B8</formula>
    </cfRule>
  </conditionalFormatting>
  <conditionalFormatting sqref="AA181">
    <cfRule type="expression" dxfId="6" priority="2" stopIfTrue="1">
      <formula>B56</formula>
    </cfRule>
  </conditionalFormatting>
  <conditionalFormatting sqref="AA126:AA176">
    <cfRule type="expression" dxfId="5"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AD17" sqref="AD17"/>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2755" t="s">
        <v>9024</v>
      </c>
      <c r="AU1" s="1986"/>
      <c r="AV1" s="1986"/>
      <c r="AW1" s="1986"/>
      <c r="AX1" s="1986"/>
      <c r="AY1" s="1986"/>
      <c r="AZ1" s="2776"/>
      <c r="BA1" s="1986"/>
      <c r="BB1" s="1986"/>
      <c r="BC1" s="1986"/>
      <c r="BD1" s="1986"/>
      <c r="BE1" s="1986"/>
      <c r="BF1" s="1986"/>
      <c r="BG1" s="1986"/>
      <c r="BH1" s="1986"/>
      <c r="BI1" s="1986"/>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1986"/>
      <c r="AU2" s="1986"/>
      <c r="AV2" s="1986"/>
      <c r="AW2" s="1986"/>
      <c r="AX2" s="1986"/>
      <c r="AY2" s="1986"/>
      <c r="AZ2" s="2776"/>
      <c r="BA2" s="1986"/>
      <c r="BB2" s="1986"/>
      <c r="BC2" s="1986"/>
      <c r="BD2" s="1986"/>
      <c r="BE2" s="1986"/>
      <c r="BF2" s="1986"/>
      <c r="BG2" s="1986"/>
      <c r="BH2" s="1986"/>
      <c r="BI2" s="1986"/>
    </row>
    <row r="3" spans="1:61" ht="12" customHeight="1" thickBot="1" x14ac:dyDescent="0.25">
      <c r="A3" s="10"/>
      <c r="B3" s="1323"/>
      <c r="C3" s="3023"/>
      <c r="D3" s="3023"/>
      <c r="E3" s="3023"/>
      <c r="F3" s="3023"/>
      <c r="G3" s="3023"/>
      <c r="H3" s="3023"/>
      <c r="I3" s="7"/>
      <c r="J3" s="7"/>
      <c r="K3" s="7"/>
      <c r="L3" s="7"/>
      <c r="M3" s="7"/>
      <c r="N3" s="7"/>
      <c r="O3" s="7"/>
      <c r="P3" s="7"/>
      <c r="Q3" s="7"/>
      <c r="R3" s="7"/>
      <c r="S3" s="7"/>
      <c r="T3" s="7"/>
      <c r="U3" s="7"/>
      <c r="V3" s="7"/>
      <c r="W3" s="891"/>
      <c r="X3" s="1271"/>
      <c r="Y3" s="10"/>
      <c r="Z3" s="10"/>
      <c r="AA3" s="1270"/>
      <c r="AB3" s="3023"/>
      <c r="AC3" s="3023"/>
      <c r="AD3" s="3023"/>
      <c r="AE3" s="3023"/>
      <c r="AF3" s="3023"/>
      <c r="AG3" s="3023"/>
      <c r="AH3" s="7"/>
      <c r="AI3" s="7"/>
      <c r="AJ3" s="7"/>
      <c r="AK3" s="7"/>
      <c r="AL3" s="7"/>
      <c r="AM3" s="7"/>
      <c r="AN3" s="7"/>
      <c r="AO3" s="7"/>
      <c r="AP3" s="7"/>
      <c r="AQ3" s="8"/>
      <c r="AR3" s="1362"/>
      <c r="AS3" s="1308"/>
      <c r="AT3" s="1986"/>
      <c r="AU3" s="2759" t="s">
        <v>10253</v>
      </c>
      <c r="AW3" s="1986"/>
      <c r="BA3" s="1986"/>
      <c r="BB3" s="1986"/>
      <c r="BC3" s="1986"/>
      <c r="BD3" s="1986"/>
      <c r="BE3" s="1986"/>
      <c r="BF3" s="1986"/>
      <c r="BG3" s="1986"/>
      <c r="BH3" s="1986"/>
      <c r="BI3" s="1986"/>
    </row>
    <row r="4" spans="1:61" ht="12" customHeight="1" thickBot="1" x14ac:dyDescent="0.25">
      <c r="A4" s="10"/>
      <c r="B4" s="1323"/>
      <c r="C4" s="3023"/>
      <c r="D4" s="3023"/>
      <c r="E4" s="3023"/>
      <c r="F4" s="3023"/>
      <c r="G4" s="3023"/>
      <c r="H4" s="3023"/>
      <c r="I4" s="10"/>
      <c r="J4" s="10"/>
      <c r="K4" s="3024" t="s">
        <v>1331</v>
      </c>
      <c r="L4" s="3024"/>
      <c r="M4" s="3025" t="str">
        <f>IF(OR(General!$F$22="",General!$F$22=0),"",General!$F$22)</f>
        <v/>
      </c>
      <c r="N4" s="3025"/>
      <c r="O4" s="3025"/>
      <c r="P4" s="3025"/>
      <c r="Q4" s="3025"/>
      <c r="R4" s="2607"/>
      <c r="S4" s="2607"/>
      <c r="T4" s="2607"/>
      <c r="U4" s="2607"/>
      <c r="V4" s="889"/>
      <c r="W4" s="11"/>
      <c r="X4" s="1271"/>
      <c r="Y4" s="10"/>
      <c r="Z4" s="10"/>
      <c r="AA4" s="1270"/>
      <c r="AB4" s="3023"/>
      <c r="AC4" s="3023"/>
      <c r="AD4" s="3023"/>
      <c r="AE4" s="3023"/>
      <c r="AF4" s="3023"/>
      <c r="AG4" s="3023"/>
      <c r="AH4" s="10"/>
      <c r="AI4" s="10"/>
      <c r="AJ4" s="3024" t="s">
        <v>1331</v>
      </c>
      <c r="AK4" s="3024"/>
      <c r="AL4" s="3025" t="str">
        <f>IF(OR(General!$F$22="",General!$F$22=0),"",General!$F$22)</f>
        <v/>
      </c>
      <c r="AM4" s="3025"/>
      <c r="AN4" s="3025"/>
      <c r="AO4" s="3025"/>
      <c r="AP4" s="3025"/>
      <c r="AQ4" s="11"/>
      <c r="AR4" s="1362"/>
      <c r="AS4" s="1308"/>
      <c r="AT4" s="1986"/>
      <c r="AU4" s="2759" t="s">
        <v>1984</v>
      </c>
      <c r="AV4" s="2759" t="s">
        <v>10254</v>
      </c>
      <c r="AW4" s="2759" t="s">
        <v>7544</v>
      </c>
      <c r="AX4" s="1986"/>
      <c r="AY4" s="2759" t="s">
        <v>2503</v>
      </c>
      <c r="AZ4" s="2759" t="s">
        <v>10258</v>
      </c>
      <c r="BA4" s="1986"/>
      <c r="BB4" s="1986"/>
      <c r="BC4" s="1986"/>
      <c r="BD4" s="1986"/>
      <c r="BE4" s="1986"/>
      <c r="BF4" s="1986"/>
      <c r="BG4" s="1986"/>
      <c r="BH4" s="1986"/>
      <c r="BI4" s="1986"/>
    </row>
    <row r="5" spans="1:61" ht="12" customHeight="1" thickBot="1" x14ac:dyDescent="0.25">
      <c r="A5" s="10"/>
      <c r="B5" s="1323"/>
      <c r="C5" s="3023"/>
      <c r="D5" s="3023"/>
      <c r="E5" s="3023"/>
      <c r="F5" s="3023"/>
      <c r="G5" s="3023"/>
      <c r="H5" s="3023"/>
      <c r="I5" s="10"/>
      <c r="J5" s="10"/>
      <c r="K5" s="3017" t="s">
        <v>1332</v>
      </c>
      <c r="L5" s="3017"/>
      <c r="M5" s="2838" t="str">
        <f>PDs!$J$8</f>
        <v>Novel</v>
      </c>
      <c r="N5" s="2838"/>
      <c r="O5" s="2838"/>
      <c r="P5" s="2605" t="s">
        <v>1333</v>
      </c>
      <c r="Q5" s="2593" t="str">
        <f>Principal!$O$6</f>
        <v>1</v>
      </c>
      <c r="R5" s="2608"/>
      <c r="S5" s="2608"/>
      <c r="T5" s="2605" t="s">
        <v>9027</v>
      </c>
      <c r="U5" s="2609" t="str">
        <f>IF(Arma_Desarrollada="","Ninguna",Arma_Desarrollada)</f>
        <v>Desarmado</v>
      </c>
      <c r="V5" s="10"/>
      <c r="W5" s="12"/>
      <c r="X5" s="1271"/>
      <c r="Y5" s="10"/>
      <c r="Z5" s="10"/>
      <c r="AA5" s="1270"/>
      <c r="AB5" s="3023"/>
      <c r="AC5" s="3023"/>
      <c r="AD5" s="3023"/>
      <c r="AE5" s="3023"/>
      <c r="AF5" s="3023"/>
      <c r="AG5" s="3023"/>
      <c r="AH5" s="10"/>
      <c r="AI5" s="10"/>
      <c r="AJ5" s="3017" t="s">
        <v>1332</v>
      </c>
      <c r="AK5" s="3017"/>
      <c r="AL5" s="2838" t="str">
        <f>PDs!$J$8</f>
        <v>Novel</v>
      </c>
      <c r="AM5" s="2838"/>
      <c r="AN5" s="2838"/>
      <c r="AO5" s="2605" t="s">
        <v>1333</v>
      </c>
      <c r="AP5" s="2593" t="str">
        <f>Principal!$O$6</f>
        <v>1</v>
      </c>
      <c r="AQ5" s="12"/>
      <c r="AR5" s="1362"/>
      <c r="AS5" s="1308"/>
      <c r="AT5" s="1986"/>
      <c r="AU5" s="2759">
        <f>IF(OR(Principal!$P$16="",Principal!$P$16&gt;4),0,IF(Principal!$P$16=0,-120,-10*2^(4-Principal!$P$16)))</f>
        <v>0</v>
      </c>
      <c r="AV5" s="2759">
        <f>IF(OR(Cansancio=0,Ki!H59="-"),0,IF(Tablas!$G$526&gt;0,IF(OR(Tablas!$G$327&gt;0,Ki!$P$57="-"),1,2),IF(AND(Tablas!$G$327&gt;0,Ki!$P$57="-"),1/3,IF(OR(Tablas!$G$327&gt;0,Ki!$P$57="-"),1/2,1))))</f>
        <v>1</v>
      </c>
      <c r="AW5" s="2759">
        <f>TRUNC(AU5*AV5)</f>
        <v>0</v>
      </c>
      <c r="AX5" s="1986"/>
      <c r="AY5" s="2759">
        <f>IF(AND(Tablas!G528&gt;0,Principal!P11&lt;&gt;"",Principal!P11&lt;Principal!N11/3),-30,0)</f>
        <v>0</v>
      </c>
      <c r="AZ5" s="2759"/>
      <c r="BA5" s="1986"/>
      <c r="BB5" s="1986"/>
      <c r="BC5" s="1986"/>
      <c r="BD5" s="1986"/>
      <c r="BE5" s="1986"/>
      <c r="BF5" s="1986"/>
      <c r="BG5" s="1986"/>
      <c r="BH5" s="1986"/>
      <c r="BI5" s="1986"/>
    </row>
    <row r="6" spans="1:61" ht="12" customHeight="1" thickBot="1" x14ac:dyDescent="0.25">
      <c r="A6" s="10"/>
      <c r="B6" s="1323"/>
      <c r="C6" s="3023"/>
      <c r="D6" s="3023"/>
      <c r="E6" s="3023"/>
      <c r="F6" s="3023"/>
      <c r="G6" s="3023"/>
      <c r="H6" s="3023"/>
      <c r="I6" s="10"/>
      <c r="J6" s="10"/>
      <c r="K6" s="3018" t="s">
        <v>1555</v>
      </c>
      <c r="L6" s="3018"/>
      <c r="M6" s="3018"/>
      <c r="N6" s="3018"/>
      <c r="O6" s="3018"/>
      <c r="P6" s="3018"/>
      <c r="Q6" s="3018"/>
      <c r="R6" s="10"/>
      <c r="S6" s="10"/>
      <c r="T6" s="10"/>
      <c r="U6" s="3905"/>
      <c r="V6" s="3905"/>
      <c r="W6" s="12"/>
      <c r="X6" s="1271"/>
      <c r="Y6" s="10"/>
      <c r="Z6" s="10"/>
      <c r="AA6" s="1270"/>
      <c r="AB6" s="3023"/>
      <c r="AC6" s="3023"/>
      <c r="AD6" s="3023"/>
      <c r="AE6" s="3023"/>
      <c r="AF6" s="3023"/>
      <c r="AG6" s="3023"/>
      <c r="AH6" s="10"/>
      <c r="AI6" s="10"/>
      <c r="AJ6" s="3018" t="s">
        <v>1556</v>
      </c>
      <c r="AK6" s="3018"/>
      <c r="AL6" s="3018"/>
      <c r="AM6" s="3018"/>
      <c r="AN6" s="3018"/>
      <c r="AO6" s="3018"/>
      <c r="AP6" s="3018"/>
      <c r="AQ6" s="12"/>
      <c r="AR6" s="1362"/>
      <c r="AS6" s="1308"/>
      <c r="AT6" s="1986"/>
      <c r="AU6" s="1986"/>
      <c r="AV6" s="1986"/>
      <c r="AW6" s="1986"/>
      <c r="AX6" s="1986"/>
      <c r="AY6" s="1986"/>
      <c r="AZ6" s="2776"/>
      <c r="BA6" s="1986"/>
      <c r="BB6" s="1986"/>
      <c r="BC6" s="1986"/>
      <c r="BD6" s="1986"/>
      <c r="BE6" s="1986"/>
      <c r="BF6" s="1986"/>
      <c r="BG6" s="1986"/>
      <c r="BH6" s="1986"/>
      <c r="BI6" s="1986"/>
    </row>
    <row r="7" spans="1:61" ht="12" customHeight="1" thickBot="1" x14ac:dyDescent="0.25">
      <c r="A7" s="10"/>
      <c r="B7" s="1323"/>
      <c r="C7" s="3023"/>
      <c r="D7" s="3023"/>
      <c r="E7" s="3023"/>
      <c r="F7" s="3023"/>
      <c r="G7" s="3023"/>
      <c r="H7" s="3023"/>
      <c r="I7" s="10"/>
      <c r="J7" s="10"/>
      <c r="K7" s="3018"/>
      <c r="L7" s="3018"/>
      <c r="M7" s="3018"/>
      <c r="N7" s="3018"/>
      <c r="O7" s="3018"/>
      <c r="P7" s="3018"/>
      <c r="Q7" s="3018"/>
      <c r="R7" s="10"/>
      <c r="S7" s="10"/>
      <c r="T7" s="10"/>
      <c r="U7" s="3905"/>
      <c r="V7" s="3905"/>
      <c r="W7" s="12"/>
      <c r="X7" s="1271"/>
      <c r="Y7" s="10"/>
      <c r="Z7" s="10"/>
      <c r="AA7" s="1270"/>
      <c r="AB7" s="3023"/>
      <c r="AC7" s="3023"/>
      <c r="AD7" s="3023"/>
      <c r="AE7" s="3023"/>
      <c r="AF7" s="3023"/>
      <c r="AG7" s="3023"/>
      <c r="AH7" s="10"/>
      <c r="AI7" s="10"/>
      <c r="AJ7" s="3018"/>
      <c r="AK7" s="3018"/>
      <c r="AL7" s="3018"/>
      <c r="AM7" s="3018"/>
      <c r="AN7" s="3018"/>
      <c r="AO7" s="3018"/>
      <c r="AP7" s="3018"/>
      <c r="AQ7" s="12"/>
      <c r="AR7" s="1362"/>
      <c r="AS7" s="1308"/>
      <c r="AT7" s="1986"/>
      <c r="AU7" s="1986"/>
      <c r="AV7" s="2755"/>
      <c r="AW7" s="1986"/>
      <c r="AX7" s="1986"/>
      <c r="AY7" s="1986"/>
      <c r="AZ7" s="2776"/>
      <c r="BA7" s="1986"/>
      <c r="BB7" s="1986"/>
      <c r="BC7" s="1986"/>
      <c r="BD7" s="1986"/>
      <c r="BE7" s="1986"/>
      <c r="BF7" s="1986"/>
      <c r="BG7" s="1986"/>
      <c r="BH7" s="1986"/>
      <c r="BI7" s="1986"/>
    </row>
    <row r="8" spans="1:61" ht="12" customHeight="1" thickBot="1" x14ac:dyDescent="0.25">
      <c r="A8" s="10"/>
      <c r="B8" s="1323"/>
      <c r="C8" s="3023"/>
      <c r="D8" s="3023"/>
      <c r="E8" s="3023"/>
      <c r="F8" s="3023"/>
      <c r="G8" s="3023"/>
      <c r="H8" s="3023"/>
      <c r="I8" s="13"/>
      <c r="J8" s="13"/>
      <c r="K8" s="13"/>
      <c r="L8" s="13"/>
      <c r="M8" s="13"/>
      <c r="N8" s="13"/>
      <c r="O8" s="13"/>
      <c r="P8" s="13"/>
      <c r="Q8" s="13"/>
      <c r="R8" s="13"/>
      <c r="S8" s="13"/>
      <c r="T8" s="13"/>
      <c r="U8" s="13"/>
      <c r="V8" s="13"/>
      <c r="W8" s="2075" t="s">
        <v>9925</v>
      </c>
      <c r="X8" s="1271"/>
      <c r="Y8" s="10"/>
      <c r="Z8" s="10"/>
      <c r="AA8" s="1270"/>
      <c r="AB8" s="3023"/>
      <c r="AC8" s="3023"/>
      <c r="AD8" s="3023"/>
      <c r="AE8" s="3023"/>
      <c r="AF8" s="3023"/>
      <c r="AG8" s="3023"/>
      <c r="AH8" s="13"/>
      <c r="AI8" s="13"/>
      <c r="AJ8" s="13"/>
      <c r="AK8" s="13"/>
      <c r="AL8" s="13"/>
      <c r="AM8" s="13"/>
      <c r="AN8" s="13"/>
      <c r="AO8" s="13"/>
      <c r="AP8" s="13"/>
      <c r="AQ8" s="14"/>
      <c r="AR8" s="1362"/>
      <c r="AS8" s="1308"/>
      <c r="AT8" s="1986"/>
      <c r="AU8" s="1986"/>
      <c r="AV8" s="1986"/>
      <c r="AW8" s="1986"/>
      <c r="AX8" s="1986"/>
      <c r="AY8" s="1986"/>
      <c r="AZ8" s="2776"/>
      <c r="BA8" s="1986"/>
      <c r="BB8" s="1986"/>
      <c r="BC8" s="1986"/>
      <c r="BD8" s="1986"/>
      <c r="BE8" s="1986"/>
      <c r="BF8" s="1986"/>
      <c r="BG8" s="1986"/>
      <c r="BH8" s="1986"/>
      <c r="BI8" s="1986"/>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1986"/>
      <c r="AU9" s="1986"/>
      <c r="AV9" s="1986"/>
      <c r="AW9" s="2777" t="s">
        <v>7479</v>
      </c>
      <c r="AX9" s="2777"/>
      <c r="AY9" s="2777">
        <f t="shared" ref="AY9:BE9" si="0">IF(AY12&gt;AY13,AY12+TRUNC(AY13/2),AY13+TRUNC(AY12/2))+TRUNC(AY14/2)</f>
        <v>0</v>
      </c>
      <c r="AZ9" s="2777">
        <f t="shared" si="0"/>
        <v>0</v>
      </c>
      <c r="BA9" s="2777">
        <f t="shared" si="0"/>
        <v>0</v>
      </c>
      <c r="BB9" s="2777">
        <f t="shared" si="0"/>
        <v>0</v>
      </c>
      <c r="BC9" s="2777">
        <f t="shared" si="0"/>
        <v>0</v>
      </c>
      <c r="BD9" s="2777">
        <f t="shared" si="0"/>
        <v>0</v>
      </c>
      <c r="BE9" s="2777">
        <f t="shared" si="0"/>
        <v>0</v>
      </c>
      <c r="BF9" s="1986"/>
      <c r="BG9" s="1986"/>
      <c r="BH9" s="1986"/>
      <c r="BI9" s="1986"/>
    </row>
    <row r="10" spans="1:61" ht="12" customHeight="1" thickBot="1" x14ac:dyDescent="0.25">
      <c r="A10" s="10"/>
      <c r="B10" s="1323"/>
      <c r="C10" s="3890" t="s">
        <v>1557</v>
      </c>
      <c r="D10" s="3891"/>
      <c r="E10" s="3891"/>
      <c r="F10" s="3891"/>
      <c r="G10" s="3891"/>
      <c r="H10" s="3891"/>
      <c r="I10" s="3891"/>
      <c r="J10" s="3891"/>
      <c r="K10" s="3891"/>
      <c r="L10" s="3891"/>
      <c r="M10" s="3891"/>
      <c r="N10" s="3891"/>
      <c r="O10" s="3891"/>
      <c r="P10" s="3891"/>
      <c r="Q10" s="3891"/>
      <c r="R10" s="3891"/>
      <c r="S10" s="3892"/>
      <c r="U10" s="3026" t="s">
        <v>8962</v>
      </c>
      <c r="V10" s="3027"/>
      <c r="W10" s="3028"/>
      <c r="X10" s="1271"/>
      <c r="Y10" s="10"/>
      <c r="Z10" s="10"/>
      <c r="AA10" s="1270"/>
      <c r="AB10" s="3837" t="s">
        <v>1406</v>
      </c>
      <c r="AC10" s="3844" t="s">
        <v>9583</v>
      </c>
      <c r="AD10" s="3845"/>
      <c r="AE10" s="3830" t="s">
        <v>9584</v>
      </c>
      <c r="AF10" s="3831"/>
      <c r="AG10" s="650"/>
      <c r="AH10" s="3156" t="s">
        <v>1510</v>
      </c>
      <c r="AI10" s="3156"/>
      <c r="AJ10" s="3156"/>
      <c r="AK10" s="3156"/>
      <c r="AL10" s="3829" t="s">
        <v>1558</v>
      </c>
      <c r="AM10" s="3829"/>
      <c r="AN10" s="3829"/>
      <c r="AO10" s="3829"/>
      <c r="AP10" s="3829"/>
      <c r="AQ10" s="3829"/>
      <c r="AR10" s="1362"/>
      <c r="AS10" s="1308"/>
      <c r="AT10" s="2776"/>
      <c r="AU10" s="2776"/>
      <c r="AV10" s="1986"/>
      <c r="AW10" s="2777" t="s">
        <v>1569</v>
      </c>
      <c r="AX10" s="2776"/>
      <c r="AY10" s="2776">
        <f t="array" ref="AY10">IF(AY17&gt;LARGE(IF($AX$17:$AX$27="Natural",AY$17:AY$27,0),1),AY17+TRUNC(LARGE(IF($AX$17:$AX$27="Natural",AY$17:AY$27,0),1)/2),LARGE(IF($AX$17:$AX$27="Natural",AY$17:AY$27,0),1)+TRUNC(AY17/2))+TRUNC(LARGE(IF($AX$17:$AX$27="Natural",AY$17:AY$27,0),2)/2)</f>
        <v>0</v>
      </c>
      <c r="AZ10" s="2776">
        <f t="array" ref="AZ10">IF(AZ17&gt;LARGE(IF($AX$17:$AX$27="Natural",AZ$17:AZ$27,0),1),AZ17+TRUNC(LARGE(IF($AX$17:$AX$27="Natural",AZ$17:AZ$27,0),1)/2),LARGE(IF($AX$17:$AX$27="Natural",AZ$17:AZ$27,0),1)+TRUNC(AZ17/2))+TRUNC(LARGE(IF($AX$17:$AX$27="Natural",AZ$17:AZ$27,0),2)/2)</f>
        <v>0</v>
      </c>
      <c r="BA10" s="2776">
        <f t="array" ref="BA10">IF(BA17&gt;LARGE(IF($AX$17:$AX$27="Natural",BA$17:BA$27,0),1),BA17+TRUNC(LARGE(IF($AX$17:$AX$27="Natural",BA$17:BA$27,0),1)/2),LARGE(IF($AX$17:$AX$27="Natural",BA$17:BA$27,0),1)+TRUNC(BA17/2))+TRUNC(LARGE(IF($AX$17:$AX$27="Natural",BA$17:BA$27,0),2)/2)</f>
        <v>0</v>
      </c>
      <c r="BB10" s="2776">
        <f t="array" ref="BB10">IF(BB17&gt;LARGE(IF($AX$17:$AX$27="Natural",BB$17:BB$27,0),1),BB17+TRUNC(LARGE(IF($AX$17:$AX$27="Natural",BB$17:BB$27,0),1)/2),LARGE(IF($AX$17:$AX$27="Natural",BB$17:BB$27,0),1)+TRUNC(BB17/2))+TRUNC(LARGE(IF($AX$17:$AX$27="Natural",BB$17:BB$27,0),2)/2)</f>
        <v>0</v>
      </c>
      <c r="BC10" s="2776">
        <f t="array" ref="BC10">IF(BC17&gt;LARGE(IF($AX$17:$AX$27="Natural",BC$17:BC$27,0),1),BC17+TRUNC(LARGE(IF($AX$17:$AX$27="Natural",BC$17:BC$27,0),1)/2),LARGE(IF($AX$17:$AX$27="Natural",BC$17:BC$27,0),1)+TRUNC(BC17/2))+TRUNC(LARGE(IF($AX$17:$AX$27="Natural",BC$17:BC$27,0),2)/2)</f>
        <v>0</v>
      </c>
      <c r="BD10" s="2776">
        <f t="array" ref="BD10">IF(BD17&gt;LARGE(IF($AX$17:$AX$27="Natural",BD$17:BD$27,0),1),BD17+TRUNC(LARGE(IF($AX$17:$AX$27="Natural",BD$17:BD$27,0),1)/2),LARGE(IF($AX$17:$AX$27="Natural",BD$17:BD$27,0),1)+TRUNC(BD17/2))+TRUNC(LARGE(IF($AX$17:$AX$27="Natural",BD$17:BD$27,0),2)/2)</f>
        <v>0</v>
      </c>
      <c r="BE10" s="2776">
        <f t="array" ref="BE10">IF(BE17&gt;LARGE(IF($AX$17:$AX$27="Natural",BE$17:BE$27,0),1),BE17+TRUNC(LARGE(IF($AX$17:$AX$27="Natural",BE$17:BE$27,0),1)/2),LARGE(IF($AX$17:$AX$27="Natural",BE$17:BE$27,0),1)+TRUNC(BE17/2))+TRUNC(LARGE(IF($AX$17:$AX$27="Natural",BE$17:BE$27,0),2)/2)</f>
        <v>0</v>
      </c>
      <c r="BF10" s="1986"/>
      <c r="BG10" s="1986"/>
      <c r="BH10" s="1986"/>
      <c r="BI10" s="1986"/>
    </row>
    <row r="11" spans="1:61" ht="12" customHeight="1" thickBot="1" x14ac:dyDescent="0.25">
      <c r="A11" s="10"/>
      <c r="B11" s="1323"/>
      <c r="C11" s="3894" t="s">
        <v>1557</v>
      </c>
      <c r="D11" s="3895"/>
      <c r="E11" s="3895"/>
      <c r="F11" s="3896" t="s">
        <v>1336</v>
      </c>
      <c r="G11" s="3896"/>
      <c r="H11" s="2034" t="s">
        <v>1559</v>
      </c>
      <c r="I11" s="2035" t="s">
        <v>1560</v>
      </c>
      <c r="J11" s="2036" t="s">
        <v>1506</v>
      </c>
      <c r="K11" s="2036" t="s">
        <v>1561</v>
      </c>
      <c r="L11" s="2036" t="s">
        <v>1562</v>
      </c>
      <c r="M11" s="2036" t="s">
        <v>1563</v>
      </c>
      <c r="N11" s="2036" t="s">
        <v>1564</v>
      </c>
      <c r="O11" s="2036" t="s">
        <v>1565</v>
      </c>
      <c r="P11" s="2035" t="s">
        <v>1566</v>
      </c>
      <c r="Q11" s="2036" t="s">
        <v>1567</v>
      </c>
      <c r="R11" s="2037" t="s">
        <v>1568</v>
      </c>
      <c r="S11" s="2038" t="s">
        <v>7214</v>
      </c>
      <c r="U11" s="1649" t="s">
        <v>1575</v>
      </c>
      <c r="V11" s="1964" t="s">
        <v>1576</v>
      </c>
      <c r="W11" s="1710" t="s">
        <v>7544</v>
      </c>
      <c r="X11" s="652"/>
      <c r="Y11" s="10"/>
      <c r="Z11" s="10"/>
      <c r="AA11" s="1270"/>
      <c r="AB11" s="3838"/>
      <c r="AC11" s="3846"/>
      <c r="AD11" s="3847"/>
      <c r="AE11" s="3832"/>
      <c r="AF11" s="3833"/>
      <c r="AH11" s="3826" t="str">
        <f>IF(PDs!$E40=0,"",PDs!$E40)</f>
        <v>Tabla de armas arquetípicas</v>
      </c>
      <c r="AI11" s="3826"/>
      <c r="AJ11" s="3826"/>
      <c r="AK11" s="3826"/>
      <c r="AL11" s="3827" t="str">
        <f>IF(PDs!$AD40=0,"",PDs!$V40&amp;" ")&amp;IF(PDs!$AD40=0,"",IF(PDs!$Y40=0,"",PDs!$Y40))</f>
        <v>Tabla de profesión: Aborigen</v>
      </c>
      <c r="AM11" s="3827"/>
      <c r="AN11" s="3827"/>
      <c r="AO11" s="3827"/>
      <c r="AP11" s="3827"/>
      <c r="AQ11" s="3827"/>
      <c r="AR11" s="1362"/>
      <c r="AS11" s="1308"/>
      <c r="AT11" s="2776"/>
      <c r="AU11" s="2776"/>
      <c r="AV11" s="1986"/>
      <c r="AW11" s="1986"/>
      <c r="AX11" s="1986"/>
      <c r="AY11" s="1986"/>
      <c r="AZ11" s="1986"/>
      <c r="BA11" s="1986"/>
      <c r="BB11" s="1986"/>
      <c r="BC11" s="1986"/>
      <c r="BD11" s="1986"/>
      <c r="BE11" s="1986"/>
      <c r="BF11" s="1986"/>
      <c r="BG11" s="1986"/>
      <c r="BH11" s="1986"/>
      <c r="BI11" s="1986"/>
    </row>
    <row r="12" spans="1:61" ht="12" customHeight="1" thickBot="1" x14ac:dyDescent="0.25">
      <c r="A12" s="10"/>
      <c r="B12" s="1323"/>
      <c r="C12" s="3901"/>
      <c r="D12" s="3902"/>
      <c r="E12" s="3902"/>
      <c r="F12" s="3903" t="str">
        <f>IF(C12=0,"",VLOOKUP(C12,Tabla_Armaduras,7,FALSE))</f>
        <v/>
      </c>
      <c r="G12" s="3904"/>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7">
        <f>IF(C12=0,0,IF(Extensióndelauraalarma,10,0)+H12*2+VLOOKUP(C12,Tabla_Armaduras,5,FALSE))</f>
        <v>0</v>
      </c>
      <c r="Q12" s="1660">
        <f>IF(C12=0,0,H12*10+VLOOKUP(C12,Tabla_Armaduras,6,FALSE))</f>
        <v>0</v>
      </c>
      <c r="R12" s="1660">
        <f>IF(C12=0,0,MAX(VLOOKUP(C12,Tabla_Armaduras,4,FALSE)-H12/5,0))</f>
        <v>0</v>
      </c>
      <c r="S12" s="1713"/>
      <c r="U12" s="3893"/>
      <c r="V12" s="3883"/>
      <c r="W12" s="3862">
        <f>U12/100*V12</f>
        <v>0</v>
      </c>
      <c r="X12" s="652"/>
      <c r="Y12" s="10"/>
      <c r="Z12" s="10"/>
      <c r="AA12" s="1270"/>
      <c r="AB12" s="3838"/>
      <c r="AC12" s="3834" t="s">
        <v>9585</v>
      </c>
      <c r="AD12" s="3836"/>
      <c r="AE12" s="3834" t="s">
        <v>9586</v>
      </c>
      <c r="AF12" s="3835"/>
      <c r="AH12" s="3857" t="str">
        <f>IF(PDs!$E41=0,"",PDs!$E41)</f>
        <v/>
      </c>
      <c r="AI12" s="3857"/>
      <c r="AJ12" s="3857"/>
      <c r="AK12" s="3857"/>
      <c r="AL12" s="3828" t="str">
        <f>IF(PDs!$AD41=0,"",PDs!$V41&amp;" ")&amp;IF(PDs!$AD41=0,"",IF(PDs!$Y41=0,"",PDs!$Y41))</f>
        <v xml:space="preserve"> </v>
      </c>
      <c r="AM12" s="3828"/>
      <c r="AN12" s="3828"/>
      <c r="AO12" s="3828"/>
      <c r="AP12" s="3828"/>
      <c r="AQ12" s="3828"/>
      <c r="AR12" s="1362"/>
      <c r="AS12" s="1308"/>
      <c r="AT12" s="2776"/>
      <c r="AU12" s="2776"/>
      <c r="AV12" s="1986"/>
      <c r="AW12" s="2777" t="s">
        <v>9926</v>
      </c>
      <c r="AX12" s="2777"/>
      <c r="AY12" s="2776">
        <f t="array" ref="AY12">LARGE(IF($AX$18:$AX$27="Dura",AY$18:AY$27,0),1)</f>
        <v>0</v>
      </c>
      <c r="AZ12" s="2776">
        <f t="array" ref="AZ12">LARGE(IF($AX$18:$AX$27="Dura",AZ$18:AZ$27,0),1)</f>
        <v>0</v>
      </c>
      <c r="BA12" s="2776">
        <f t="array" ref="BA12">LARGE(IF($AX$18:$AX$27="Dura",BA$18:BA$27,0),1)</f>
        <v>0</v>
      </c>
      <c r="BB12" s="2776">
        <f t="array" ref="BB12">LARGE(IF($AX$18:$AX$27="Dura",BB$18:BB$27,0),1)</f>
        <v>0</v>
      </c>
      <c r="BC12" s="2776">
        <f t="array" ref="BC12">LARGE(IF($AX$18:$AX$27="Dura",BC$18:BC$27,0),1)</f>
        <v>0</v>
      </c>
      <c r="BD12" s="2776">
        <f t="array" ref="BD12">LARGE(IF($AX$18:$AX$27="Dura",BD$18:BD$27,0),1)</f>
        <v>0</v>
      </c>
      <c r="BE12" s="2776">
        <f t="array" ref="BE12">LARGE(IF($AX$18:$AX$27="Dura",BE$18:BE$27,0),1)</f>
        <v>0</v>
      </c>
      <c r="BF12" s="1986"/>
      <c r="BG12" s="1986"/>
      <c r="BH12" s="1986"/>
      <c r="BI12" s="1986"/>
    </row>
    <row r="13" spans="1:61" ht="12" customHeight="1" thickBot="1" x14ac:dyDescent="0.25">
      <c r="A13" s="10"/>
      <c r="B13" s="1323"/>
      <c r="C13" s="3897"/>
      <c r="D13" s="3898"/>
      <c r="E13" s="3898"/>
      <c r="F13" s="3899" t="str">
        <f>IF(C13=0,"",VLOOKUP(C13,Tabla_Armaduras,7,FALSE))</f>
        <v/>
      </c>
      <c r="G13" s="3900"/>
      <c r="H13" s="2588"/>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7">
        <f>IF(C13=0,0,IF(Extensióndelauraalarma,10,0)+H13*2+VLOOKUP(C13,Tabla_Armaduras,5,FALSE))</f>
        <v>0</v>
      </c>
      <c r="Q13" s="1660">
        <f>IF(C13=0,0,H13*10+VLOOKUP(C13,Tabla_Armaduras,6,FALSE))</f>
        <v>0</v>
      </c>
      <c r="R13" s="1660">
        <f>IF(C13=0,0,MAX(VLOOKUP(C13,Tabla_Armaduras,4,FALSE)-H13/5,0))</f>
        <v>0</v>
      </c>
      <c r="S13" s="1714"/>
      <c r="U13" s="3893"/>
      <c r="V13" s="3883"/>
      <c r="W13" s="3863"/>
      <c r="X13" s="652"/>
      <c r="Y13" s="10"/>
      <c r="Z13" s="10"/>
      <c r="AA13" s="1270"/>
      <c r="AB13" s="3838"/>
      <c r="AC13" s="3834"/>
      <c r="AD13" s="3836"/>
      <c r="AE13" s="3834"/>
      <c r="AF13" s="3835"/>
      <c r="AH13" s="3857" t="str">
        <f>IF(PDs!$E42=0,"",PDs!$E42)</f>
        <v/>
      </c>
      <c r="AI13" s="3857"/>
      <c r="AJ13" s="3857"/>
      <c r="AK13" s="3857"/>
      <c r="AL13" s="3828" t="str">
        <f>IF(PDs!$AD42=0,"",PDs!$V42&amp;" ")&amp;IF(PDs!$AD42=0,"",IF(PDs!$Y42=0,"",PDs!$Y42))</f>
        <v xml:space="preserve"> </v>
      </c>
      <c r="AM13" s="3828"/>
      <c r="AN13" s="3828"/>
      <c r="AO13" s="3828"/>
      <c r="AP13" s="3828"/>
      <c r="AQ13" s="3828"/>
      <c r="AR13" s="1362"/>
      <c r="AS13" s="1308"/>
      <c r="AT13" s="2776"/>
      <c r="AU13" s="2776"/>
      <c r="AV13" s="1986"/>
      <c r="AW13" s="2777" t="s">
        <v>9929</v>
      </c>
      <c r="AX13" s="2777"/>
      <c r="AY13" s="2776">
        <f t="array" ref="AY13">LARGE(IF($AX$18:$AX$27&lt;&gt;"Dura",AY$18:AY$27,0),1)</f>
        <v>0</v>
      </c>
      <c r="AZ13" s="2776">
        <f t="array" ref="AZ13">LARGE(IF($AX$18:$AX$27&lt;&gt;"Dura",AZ$18:AZ$27,0),1)</f>
        <v>0</v>
      </c>
      <c r="BA13" s="2776">
        <f t="array" ref="BA13">LARGE(IF($AX$18:$AX$27&lt;&gt;"Dura",BA$18:BA$27,0),1)</f>
        <v>0</v>
      </c>
      <c r="BB13" s="2776">
        <f t="array" ref="BB13">LARGE(IF($AX$18:$AX$27&lt;&gt;"Dura",BB$18:BB$27,0),1)</f>
        <v>0</v>
      </c>
      <c r="BC13" s="2776">
        <f t="array" ref="BC13">LARGE(IF($AX$18:$AX$27&lt;&gt;"Dura",BC$18:BC$27,0),1)</f>
        <v>0</v>
      </c>
      <c r="BD13" s="2776">
        <f t="array" ref="BD13">LARGE(IF($AX$18:$AX$27&lt;&gt;"Dura",BD$18:BD$27,0),1)</f>
        <v>0</v>
      </c>
      <c r="BE13" s="2776">
        <f t="array" ref="BE13">LARGE(IF($AX$18:$AX$27&lt;&gt;"Dura",BE$18:BE$27,0),1)</f>
        <v>0</v>
      </c>
      <c r="BF13" s="1986"/>
      <c r="BG13" s="1986"/>
      <c r="BH13" s="1986"/>
      <c r="BI13" s="1986"/>
    </row>
    <row r="14" spans="1:61" ht="12" customHeight="1" thickBot="1" x14ac:dyDescent="0.25">
      <c r="A14" s="10"/>
      <c r="B14" s="1323"/>
      <c r="C14" s="3944"/>
      <c r="D14" s="3945"/>
      <c r="E14" s="3945"/>
      <c r="F14" s="3936" t="str">
        <f>IF(C14=0,"",VLOOKUP(C14,Tabla_Armaduras,7,FALSE))</f>
        <v/>
      </c>
      <c r="G14" s="3936"/>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IF(C14=0,0,IF(Extensióndelauraalarma,10,0)+H14*2+VLOOKUP(C14,Tabla_Armaduras,5,FALSE))</f>
        <v>0</v>
      </c>
      <c r="Q14" s="1668">
        <f>IF(C14=0,0,H14*10+VLOOKUP(C14,Tabla_Armaduras,6,FALSE))</f>
        <v>0</v>
      </c>
      <c r="R14" s="1668">
        <f>IF(C14=0,0,MAX(VLOOKUP(C14,Tabla_Armaduras,4,FALSE)-H14/5,0))</f>
        <v>0</v>
      </c>
      <c r="S14" s="1715"/>
      <c r="U14" s="3893"/>
      <c r="V14" s="3883"/>
      <c r="W14" s="3862">
        <f>U14/100*V14</f>
        <v>0</v>
      </c>
      <c r="X14" s="652"/>
      <c r="Y14" s="10"/>
      <c r="Z14" s="10"/>
      <c r="AA14" s="1270"/>
      <c r="AB14" s="3838"/>
      <c r="AC14" s="2247" t="s">
        <v>1426</v>
      </c>
      <c r="AD14" s="2538"/>
      <c r="AE14" s="2247" t="s">
        <v>1426</v>
      </c>
      <c r="AF14" s="2660"/>
      <c r="AH14" s="3857" t="str">
        <f>IF(PDs!$E43=0,"",PDs!$E43)</f>
        <v/>
      </c>
      <c r="AI14" s="3857"/>
      <c r="AJ14" s="3857"/>
      <c r="AK14" s="3857"/>
      <c r="AL14" s="3828" t="str">
        <f>IF(PDs!$AD43=0,"",PDs!$V43&amp;" ")&amp;IF(PDs!$AD43=0,"",IF(PDs!$Y43=0,"",PDs!$Y43))</f>
        <v xml:space="preserve"> </v>
      </c>
      <c r="AM14" s="3828"/>
      <c r="AN14" s="3828"/>
      <c r="AO14" s="3828"/>
      <c r="AP14" s="3828"/>
      <c r="AQ14" s="3828"/>
      <c r="AR14" s="1362"/>
      <c r="AS14" s="1308"/>
      <c r="AT14" s="2776"/>
      <c r="AU14" s="2776"/>
      <c r="AV14" s="1986"/>
      <c r="AW14" s="2777" t="s">
        <v>9928</v>
      </c>
      <c r="AX14" s="2777"/>
      <c r="AY14" s="2776">
        <f t="array" ref="AY14">LARGE(IF($AX$18:$AX$27&lt;&gt;"Dura",AY$18:AY$27,0),2)</f>
        <v>0</v>
      </c>
      <c r="AZ14" s="2776">
        <f t="array" ref="AZ14">LARGE(IF($AX$18:$AX$27&lt;&gt;"Dura",AZ$18:AZ$27,0),2)</f>
        <v>0</v>
      </c>
      <c r="BA14" s="2776">
        <f t="array" ref="BA14">LARGE(IF($AX$18:$AX$27&lt;&gt;"Dura",BA$18:BA$27,0),2)</f>
        <v>0</v>
      </c>
      <c r="BB14" s="2776">
        <f t="array" ref="BB14">LARGE(IF($AX$18:$AX$27&lt;&gt;"Dura",BB$18:BB$27,0),2)</f>
        <v>0</v>
      </c>
      <c r="BC14" s="2776">
        <f t="array" ref="BC14">LARGE(IF($AX$18:$AX$27&lt;&gt;"Dura",BC$18:BC$27,0),2)</f>
        <v>0</v>
      </c>
      <c r="BD14" s="2776">
        <f t="array" ref="BD14">LARGE(IF($AX$18:$AX$27&lt;&gt;"Dura",BD$18:BD$27,0),2)</f>
        <v>0</v>
      </c>
      <c r="BE14" s="2776">
        <f t="array" ref="BE14">LARGE(IF($AX$18:$AX$27&lt;&gt;"Dura",BE$18:BE$27,0),2)</f>
        <v>0</v>
      </c>
      <c r="BF14" s="1986"/>
      <c r="BG14" s="1986"/>
      <c r="BH14" s="1986"/>
      <c r="BI14" s="1986"/>
    </row>
    <row r="15" spans="1:61" ht="12" customHeight="1" thickBot="1" x14ac:dyDescent="0.25">
      <c r="A15" s="10"/>
      <c r="B15" s="1323"/>
      <c r="C15" s="3939"/>
      <c r="D15" s="3940"/>
      <c r="E15" s="3941"/>
      <c r="F15" s="3913" t="s">
        <v>1569</v>
      </c>
      <c r="G15" s="3913"/>
      <c r="H15" s="2589"/>
      <c r="I15" s="1669">
        <f>AY10</f>
        <v>0</v>
      </c>
      <c r="J15" s="1669">
        <f t="shared" ref="J15:O15" si="1">AZ10</f>
        <v>0</v>
      </c>
      <c r="K15" s="1669">
        <f t="shared" si="1"/>
        <v>0</v>
      </c>
      <c r="L15" s="1669">
        <f t="shared" si="1"/>
        <v>0</v>
      </c>
      <c r="M15" s="1669">
        <f t="shared" si="1"/>
        <v>0</v>
      </c>
      <c r="N15" s="1669">
        <f t="shared" si="1"/>
        <v>0</v>
      </c>
      <c r="O15" s="1669">
        <f t="shared" si="1"/>
        <v>0</v>
      </c>
      <c r="P15" s="2016">
        <f>IF(C15=0,0,IF(Extensióndelauraalarma,10,0)+H15*2+VLOOKUP(C15,Tabla_Yelmos,4))</f>
        <v>0</v>
      </c>
      <c r="Q15" s="1669">
        <f>IF(C15=0,0,H15*10+VLOOKUP(C15,Tabla_Yelmos,5))</f>
        <v>0</v>
      </c>
      <c r="R15" s="1669" t="s">
        <v>1464</v>
      </c>
      <c r="S15" s="1716"/>
      <c r="U15" s="3893"/>
      <c r="V15" s="3883"/>
      <c r="W15" s="3863"/>
      <c r="X15" s="652"/>
      <c r="Y15" s="10"/>
      <c r="Z15" s="10"/>
      <c r="AA15" s="1270"/>
      <c r="AB15" s="3838"/>
      <c r="AC15" s="3842" t="s">
        <v>1357</v>
      </c>
      <c r="AD15" s="3860">
        <f>AW5+AD14+AY5</f>
        <v>0</v>
      </c>
      <c r="AE15" s="3842" t="s">
        <v>1357</v>
      </c>
      <c r="AF15" s="3840">
        <f>S16+AF14</f>
        <v>0</v>
      </c>
      <c r="AH15" s="3857" t="str">
        <f>IF(PDs!$E44=0,"",PDs!$E44)</f>
        <v/>
      </c>
      <c r="AI15" s="3857"/>
      <c r="AJ15" s="3857"/>
      <c r="AK15" s="3857"/>
      <c r="AL15" s="3828" t="str">
        <f>IF(PDs!$AD44=0,"",PDs!$V44&amp;" ")&amp;IF(PDs!$AD44=0,"",IF(PDs!$Y44=0,"",PDs!$Y44))</f>
        <v xml:space="preserve"> </v>
      </c>
      <c r="AM15" s="3828"/>
      <c r="AN15" s="3828"/>
      <c r="AO15" s="3828"/>
      <c r="AP15" s="3828"/>
      <c r="AQ15" s="3828"/>
      <c r="AR15" s="1362"/>
      <c r="AS15" s="1308"/>
      <c r="AT15" s="2776"/>
      <c r="AU15" s="2776"/>
      <c r="AV15" s="1986"/>
      <c r="AW15" s="2776" t="s">
        <v>7481</v>
      </c>
      <c r="AX15" s="2776"/>
      <c r="AY15" s="2776"/>
      <c r="AZ15" s="2776"/>
      <c r="BA15" s="2776"/>
      <c r="BB15" s="2776"/>
      <c r="BC15" s="2776"/>
      <c r="BD15" s="2776"/>
      <c r="BE15" s="2776"/>
      <c r="BF15" s="1986"/>
      <c r="BG15" s="1986"/>
      <c r="BH15" s="1986"/>
      <c r="BI15" s="1986"/>
    </row>
    <row r="16" spans="1:61" ht="12" customHeight="1" thickBot="1" x14ac:dyDescent="0.25">
      <c r="A16" s="10"/>
      <c r="B16" s="1323"/>
      <c r="C16" s="3914" t="s">
        <v>1570</v>
      </c>
      <c r="D16" s="3915"/>
      <c r="E16" s="3918">
        <f>MAX(0,R12+R13+R14-MAX(0,TRUNC((LlevarArmadura_final-H16)/50,0)))</f>
        <v>0</v>
      </c>
      <c r="F16" s="3920" t="s">
        <v>1571</v>
      </c>
      <c r="G16" s="3920"/>
      <c r="H16" s="2018">
        <f>IF(C12="",0,MAX(0,VLOOKUP(C12,Tabla_Armaduras,2,FALSE)-H12)+IF(C13="",0,VLOOKUP(C13,Tabla_Armaduras,2,FALSE)-H13)+IF(C14="",0,VLOOKUP(C14,Tabla_Armaduras,2,FALSE)-H14)+IF(C15="",0,MAX(VLOOKUP(C15,Tabla_Yelmos,2,FALSE)-H15,0)))</f>
        <v>0</v>
      </c>
      <c r="I16" s="3921">
        <f t="shared" ref="I16:O16" si="2">AY$9</f>
        <v>0</v>
      </c>
      <c r="J16" s="3908">
        <f t="shared" si="2"/>
        <v>0</v>
      </c>
      <c r="K16" s="3908">
        <f t="shared" si="2"/>
        <v>0</v>
      </c>
      <c r="L16" s="3908">
        <f t="shared" si="2"/>
        <v>0</v>
      </c>
      <c r="M16" s="3908">
        <f t="shared" si="2"/>
        <v>0</v>
      </c>
      <c r="N16" s="3908">
        <f t="shared" si="2"/>
        <v>0</v>
      </c>
      <c r="O16" s="3887">
        <f t="shared" si="2"/>
        <v>0</v>
      </c>
      <c r="P16" s="3910" t="s">
        <v>8636</v>
      </c>
      <c r="Q16" s="3911"/>
      <c r="R16" s="3911"/>
      <c r="S16" s="1325">
        <f>IF(H16=0,0,MIN(LlevarArmadura_final-H16,0))</f>
        <v>0</v>
      </c>
      <c r="U16" s="3893"/>
      <c r="V16" s="3883"/>
      <c r="W16" s="3862">
        <f>U16/100*V16</f>
        <v>0</v>
      </c>
      <c r="X16" s="652"/>
      <c r="Y16" s="10"/>
      <c r="Z16" s="10"/>
      <c r="AA16" s="1270"/>
      <c r="AB16" s="3839"/>
      <c r="AC16" s="3843"/>
      <c r="AD16" s="3861"/>
      <c r="AE16" s="3843"/>
      <c r="AF16" s="3841"/>
      <c r="AH16" s="3858" t="str">
        <f>IF(PDs!$E45=0,"",PDs!$E45)</f>
        <v/>
      </c>
      <c r="AI16" s="3858"/>
      <c r="AJ16" s="3858"/>
      <c r="AK16" s="3858"/>
      <c r="AL16" s="3859" t="str">
        <f>IF(PDs!$AD45=0,"",PDs!$V45&amp;" ")&amp;IF(PDs!$AD45=0,"",IF(PDs!$Y45=0,"",PDs!$Y45))</f>
        <v xml:space="preserve"> </v>
      </c>
      <c r="AM16" s="3859"/>
      <c r="AN16" s="3859"/>
      <c r="AO16" s="3859"/>
      <c r="AP16" s="3859"/>
      <c r="AQ16" s="3859"/>
      <c r="AR16" s="1362"/>
      <c r="AS16" s="1308"/>
      <c r="AT16" s="2776"/>
      <c r="AU16" s="2776"/>
      <c r="AV16" s="1986"/>
      <c r="AW16" s="2776"/>
      <c r="AX16" s="2776" t="s">
        <v>9927</v>
      </c>
      <c r="AY16" s="2776" t="str">
        <f t="shared" ref="AY16:BE16" si="3">I11</f>
        <v>FIL</v>
      </c>
      <c r="AZ16" s="2776" t="str">
        <f t="shared" si="3"/>
        <v>CON</v>
      </c>
      <c r="BA16" s="2776" t="str">
        <f t="shared" si="3"/>
        <v>PEN</v>
      </c>
      <c r="BB16" s="2776" t="str">
        <f t="shared" si="3"/>
        <v>CAL</v>
      </c>
      <c r="BC16" s="2776" t="str">
        <f t="shared" si="3"/>
        <v>ELE</v>
      </c>
      <c r="BD16" s="2776" t="str">
        <f t="shared" si="3"/>
        <v>FRI</v>
      </c>
      <c r="BE16" s="2776" t="str">
        <f t="shared" si="3"/>
        <v>ENE</v>
      </c>
      <c r="BF16" s="1986"/>
      <c r="BG16" s="1986"/>
      <c r="BH16" s="1986"/>
      <c r="BI16" s="1986"/>
    </row>
    <row r="17" spans="1:61" ht="12" customHeight="1" thickBot="1" x14ac:dyDescent="0.25">
      <c r="A17" s="10"/>
      <c r="B17" s="1497"/>
      <c r="C17" s="3916"/>
      <c r="D17" s="3917"/>
      <c r="E17" s="3919"/>
      <c r="F17" s="3943" t="s">
        <v>1572</v>
      </c>
      <c r="G17" s="3943"/>
      <c r="H17" s="505">
        <f>IF(C12="",0,MIN(VLOOKUP(C12,Tabla_Armaduras,3,FALSE)+H12,0))+IF(C13="",0,MIN(VLOOKUP(C13,Tabla_Armaduras,3,FALSE)+H13,0))+IF(C14="",0,MIN(VLOOKUP(C14,Tabla_Armaduras,3,FALSE)+H14,0))</f>
        <v>0</v>
      </c>
      <c r="I17" s="3922"/>
      <c r="J17" s="3743"/>
      <c r="K17" s="3743"/>
      <c r="L17" s="3743"/>
      <c r="M17" s="3743"/>
      <c r="N17" s="3743"/>
      <c r="O17" s="3909"/>
      <c r="P17" s="3942" t="s">
        <v>8630</v>
      </c>
      <c r="Q17" s="3096"/>
      <c r="R17" s="3096"/>
      <c r="S17" s="1486">
        <f>MIN(MAX(LlevarArmadura_final-H16,0)+H17,0)+MAX(MIN(-20*IF(OR(C12=0,AX18="Natural"),0,1)-20*IF(OR(C13=0,AX19="Natural"),0,1)-20*IF(OR(C14=0,AX20="Natural"),0,1)+20,0),-40)</f>
        <v>0</v>
      </c>
      <c r="U17" s="3937"/>
      <c r="V17" s="3938"/>
      <c r="W17" s="3863"/>
      <c r="X17" s="1271"/>
      <c r="Y17" s="10"/>
      <c r="Z17" s="10"/>
      <c r="AA17" s="1270"/>
      <c r="AM17" s="23"/>
      <c r="AN17" s="23"/>
      <c r="AO17" s="23"/>
      <c r="AP17" s="23"/>
      <c r="AQ17" s="23"/>
      <c r="AR17" s="1362"/>
      <c r="AS17" s="1308"/>
      <c r="AT17" s="2776" t="s">
        <v>9859</v>
      </c>
      <c r="AU17" s="2776"/>
      <c r="AV17" s="1986"/>
      <c r="AW17" s="1986" t="s">
        <v>9930</v>
      </c>
      <c r="AX17" s="1986" t="s">
        <v>9931</v>
      </c>
      <c r="AY17" s="2755">
        <f>IF($C15=0,0,$H15/5+VLOOKUP($C15,Tabla_Yelmos,Tablas!H$1,FALSE))</f>
        <v>0</v>
      </c>
      <c r="AZ17" s="2755">
        <f>IF($C15=0,0,$H15/5+VLOOKUP($C15,Tabla_Yelmos,Tablas!I$1,FALSE))</f>
        <v>0</v>
      </c>
      <c r="BA17" s="2755">
        <f>IF($C15=0,0,$H15/5+VLOOKUP($C15,Tabla_Yelmos,Tablas!J$1,FALSE))</f>
        <v>0</v>
      </c>
      <c r="BB17" s="2755">
        <f>IF($C15=0,0,$H15/5+VLOOKUP($C15,Tabla_Yelmos,Tablas!K$1,FALSE))</f>
        <v>0</v>
      </c>
      <c r="BC17" s="2755">
        <f>IF($C15=0,0,$H15/5+VLOOKUP($C15,Tabla_Yelmos,Tablas!L$1,FALSE))</f>
        <v>0</v>
      </c>
      <c r="BD17" s="2755">
        <f>IF($C15=0,0,$H15/5+VLOOKUP($C15,Tabla_Yelmos,Tablas!M$1,FALSE))</f>
        <v>0</v>
      </c>
      <c r="BE17" s="2755">
        <f>IF($C15=0,0,$H15/5+VLOOKUP($C15,Tabla_Yelmos,Tablas!N$1,FALSE))</f>
        <v>0</v>
      </c>
      <c r="BF17" s="1986"/>
      <c r="BG17" s="1986"/>
      <c r="BH17" s="1986"/>
      <c r="BI17" s="1986"/>
    </row>
    <row r="18" spans="1:61" ht="12" customHeight="1" thickBot="1" x14ac:dyDescent="0.25">
      <c r="A18" s="10"/>
      <c r="B18" s="1323"/>
      <c r="C18" s="3912" t="str">
        <f>IF(COUNTIF(AY21:BE27,"&gt;0")&gt;0,"Armaduras especiales aplicadas:","")</f>
        <v/>
      </c>
      <c r="D18" s="3912"/>
      <c r="E18" s="3912"/>
      <c r="F18" s="3912"/>
      <c r="G18" s="3912"/>
      <c r="H18" s="3884" t="str">
        <f>BF23&amp;BG23&amp;BF24&amp;BG24&amp;BF25&amp;BG25&amp;BF26&amp;BG26&amp;BF27</f>
        <v/>
      </c>
      <c r="I18" s="3884"/>
      <c r="J18" s="3884"/>
      <c r="K18" s="3884"/>
      <c r="L18" s="3884"/>
      <c r="M18" s="3884"/>
      <c r="N18" s="3884"/>
      <c r="O18" s="3884"/>
      <c r="P18" s="3884"/>
      <c r="Q18" s="3884"/>
      <c r="R18" s="3884"/>
      <c r="S18" s="3884"/>
      <c r="T18" s="38"/>
      <c r="X18" s="1271"/>
      <c r="Y18" s="10"/>
      <c r="Z18" s="10"/>
      <c r="AA18" s="1270"/>
      <c r="AB18" s="3156" t="s">
        <v>1511</v>
      </c>
      <c r="AC18" s="3156"/>
      <c r="AD18" s="3156"/>
      <c r="AE18" s="3156"/>
      <c r="AF18" s="3156"/>
      <c r="AG18" s="3156"/>
      <c r="AH18" s="3829" t="s">
        <v>1558</v>
      </c>
      <c r="AI18" s="3829"/>
      <c r="AJ18" s="3829"/>
      <c r="AK18" s="3829"/>
      <c r="AL18" s="3829"/>
      <c r="AM18" s="3829"/>
      <c r="AN18" s="3829"/>
      <c r="AO18" s="3829"/>
      <c r="AP18" s="3829"/>
      <c r="AQ18" s="3829"/>
      <c r="AR18" s="1362"/>
      <c r="AS18" s="1308"/>
      <c r="AT18" s="3820">
        <f>HA_final-PDs!$X$23-IF(C20="Desarmado",IF(C21="Conocida",0,60),0)+MIN(PDs!$X$23+F24,50)+BonoMaestro_HA-IF(Tablas!$H$519&lt;&gt;0,IF(Arma_Desarrollada="Desarmado",0,30),0)</f>
        <v>0</v>
      </c>
      <c r="AU18" s="3820"/>
      <c r="AV18" s="1986"/>
      <c r="AW18" s="2776" t="s">
        <v>7461</v>
      </c>
      <c r="AX18" s="2776">
        <f>IF(C12=0,0,VLOOKUP($C12,Tabla_Armaduras,8,FALSE))</f>
        <v>0</v>
      </c>
      <c r="AY18" s="2776">
        <f t="shared" ref="AY18:BE18" si="4">I$12</f>
        <v>0</v>
      </c>
      <c r="AZ18" s="2776">
        <f t="shared" si="4"/>
        <v>0</v>
      </c>
      <c r="BA18" s="2776">
        <f t="shared" si="4"/>
        <v>0</v>
      </c>
      <c r="BB18" s="2776">
        <f t="shared" si="4"/>
        <v>0</v>
      </c>
      <c r="BC18" s="2776">
        <f t="shared" si="4"/>
        <v>0</v>
      </c>
      <c r="BD18" s="2776">
        <f t="shared" si="4"/>
        <v>0</v>
      </c>
      <c r="BE18" s="2776">
        <f t="shared" si="4"/>
        <v>0</v>
      </c>
      <c r="BF18" s="1986"/>
      <c r="BG18" s="1986"/>
      <c r="BH18" s="1986"/>
      <c r="BI18" s="1986"/>
    </row>
    <row r="19" spans="1:61" ht="12" customHeight="1" thickBot="1" x14ac:dyDescent="0.25">
      <c r="A19" s="10"/>
      <c r="B19" s="1323"/>
      <c r="X19" s="652"/>
      <c r="Y19" s="10"/>
      <c r="Z19" s="10"/>
      <c r="AA19" s="1270"/>
      <c r="AB19" s="3819" t="str">
        <f>IF(PDs!$E46="","",PDs!$E46&amp;IF(AND(PDs!AD46=1,PDs!M46/PDs!L46+PDs!O46/PDs!N46+PDs!Q46/PDs!P46+PDs!S46/PDs!R46+PDs!U46/PDs!T46&gt;1)," ("&amp;PDs!M46/PDs!L46+PDs!O46/PDs!N46+PDs!Q46/PDs!P46+PDs!S46/PDs!R46+PDs!U46/PDs!T46&amp;")",""))</f>
        <v/>
      </c>
      <c r="AC19" s="3819"/>
      <c r="AD19" s="3819"/>
      <c r="AE19" s="3819"/>
      <c r="AF19" s="3819"/>
      <c r="AG19" s="3819"/>
      <c r="AH19" s="3823" t="str">
        <f>IF(PDs!$V46=0,"",PDs!$V46)</f>
        <v/>
      </c>
      <c r="AI19" s="3823"/>
      <c r="AJ19" s="3823"/>
      <c r="AK19" s="3823"/>
      <c r="AL19" s="3823"/>
      <c r="AM19" s="3823"/>
      <c r="AN19" s="3823"/>
      <c r="AO19" s="3823"/>
      <c r="AP19" s="3823"/>
      <c r="AQ19" s="3823"/>
      <c r="AR19" s="1362"/>
      <c r="AS19" s="1308"/>
      <c r="AT19" s="2776" t="s">
        <v>8573</v>
      </c>
      <c r="AU19" s="2776"/>
      <c r="AV19" s="1986"/>
      <c r="AW19" s="2776" t="s">
        <v>7462</v>
      </c>
      <c r="AX19" s="2776">
        <f>IF(C13=0,0,VLOOKUP($C13,Tabla_Armaduras,8,FALSE))</f>
        <v>0</v>
      </c>
      <c r="AY19" s="2776">
        <f t="shared" ref="AY19:BE19" si="5">I$13</f>
        <v>0</v>
      </c>
      <c r="AZ19" s="2776">
        <f t="shared" si="5"/>
        <v>0</v>
      </c>
      <c r="BA19" s="2776">
        <f t="shared" si="5"/>
        <v>0</v>
      </c>
      <c r="BB19" s="2776">
        <f t="shared" si="5"/>
        <v>0</v>
      </c>
      <c r="BC19" s="2776">
        <f t="shared" si="5"/>
        <v>0</v>
      </c>
      <c r="BD19" s="2776">
        <f t="shared" si="5"/>
        <v>0</v>
      </c>
      <c r="BE19" s="2776">
        <f t="shared" si="5"/>
        <v>0</v>
      </c>
      <c r="BF19" s="1986"/>
      <c r="BG19" s="1986"/>
      <c r="BH19" s="1986"/>
      <c r="BI19" s="1986"/>
    </row>
    <row r="20" spans="1:61" ht="12" customHeight="1" thickBot="1" x14ac:dyDescent="0.25">
      <c r="A20" s="10"/>
      <c r="B20" s="1323"/>
      <c r="C20" s="3923" t="str">
        <f>IF(COUNTA(PDs!$E$56:$E$74)&gt;0,"Artes Marciales","Desarmado")</f>
        <v>Desarmado</v>
      </c>
      <c r="D20" s="3924"/>
      <c r="E20" s="3925"/>
      <c r="F20" s="3925"/>
      <c r="G20" s="3925"/>
      <c r="H20" s="2039" t="s">
        <v>1401</v>
      </c>
      <c r="I20" s="2040" t="s">
        <v>1573</v>
      </c>
      <c r="J20" s="3878" t="s">
        <v>1574</v>
      </c>
      <c r="K20" s="3878"/>
      <c r="L20" s="2041" t="s">
        <v>1575</v>
      </c>
      <c r="N20" s="3848" t="s">
        <v>8935</v>
      </c>
      <c r="O20" s="3849"/>
      <c r="P20" s="3850"/>
      <c r="R20" s="2847" t="s">
        <v>8981</v>
      </c>
      <c r="S20" s="2848"/>
      <c r="T20" s="2848"/>
      <c r="U20" s="2848"/>
      <c r="V20" s="2848"/>
      <c r="W20" s="2849"/>
      <c r="X20" s="652"/>
      <c r="Y20" s="10"/>
      <c r="Z20" s="10"/>
      <c r="AA20" s="1270"/>
      <c r="AB20" s="3819" t="str">
        <f>IF(PDs!$E47="","",PDs!$E47&amp;IF(AND(PDs!AD47=1,PDs!M47/PDs!L47+PDs!O47/PDs!N47+PDs!Q47/PDs!P47+PDs!S47/PDs!R47+PDs!U47/PDs!T47&gt;1)," ("&amp;PDs!M47/PDs!L47+PDs!O47/PDs!N47+PDs!Q47/PDs!P47+PDs!S47/PDs!R47+PDs!U47/PDs!T47&amp;")",""))</f>
        <v/>
      </c>
      <c r="AC20" s="3824"/>
      <c r="AD20" s="3824"/>
      <c r="AE20" s="3824"/>
      <c r="AF20" s="3824"/>
      <c r="AG20" s="3825"/>
      <c r="AH20" s="3823" t="str">
        <f>IF(PDs!$V47=0,"",PDs!$V47)</f>
        <v/>
      </c>
      <c r="AI20" s="3823"/>
      <c r="AJ20" s="3823"/>
      <c r="AK20" s="3823"/>
      <c r="AL20" s="3823"/>
      <c r="AM20" s="3823"/>
      <c r="AN20" s="3823"/>
      <c r="AO20" s="3823"/>
      <c r="AP20" s="3823"/>
      <c r="AQ20" s="3823"/>
      <c r="AR20" s="1362"/>
      <c r="AS20" s="1308"/>
      <c r="AT20" s="3820">
        <f>HP_final-PDs!$X$23-IF(C20="Desarmado",IF(C21="Conocida",0,60),0)+MIN(PDs!$X$23+H24,50)+BonoMaestro_HD-IF(Tablas!$H$519&lt;&gt;0,IF(Arma_Desarrollada="Desarmado",0,30),0)</f>
        <v>0</v>
      </c>
      <c r="AU20" s="3820"/>
      <c r="AV20" s="1986"/>
      <c r="AW20" s="2776" t="s">
        <v>7463</v>
      </c>
      <c r="AX20" s="2776">
        <f>IF(C14=0,0,VLOOKUP($C14,Tabla_Armaduras,8,FALSE))</f>
        <v>0</v>
      </c>
      <c r="AY20" s="2776">
        <f t="shared" ref="AY20:BE20" si="6">I$14</f>
        <v>0</v>
      </c>
      <c r="AZ20" s="2776">
        <f t="shared" si="6"/>
        <v>0</v>
      </c>
      <c r="BA20" s="2776">
        <f t="shared" si="6"/>
        <v>0</v>
      </c>
      <c r="BB20" s="2776">
        <f t="shared" si="6"/>
        <v>0</v>
      </c>
      <c r="BC20" s="2776">
        <f t="shared" si="6"/>
        <v>0</v>
      </c>
      <c r="BD20" s="2776">
        <f t="shared" si="6"/>
        <v>0</v>
      </c>
      <c r="BE20" s="2776">
        <f t="shared" si="6"/>
        <v>0</v>
      </c>
      <c r="BF20" s="1986"/>
      <c r="BG20" s="1986"/>
      <c r="BH20" s="1986"/>
      <c r="BI20" s="1986"/>
    </row>
    <row r="21" spans="1:61" ht="12" customHeight="1" x14ac:dyDescent="0.2">
      <c r="A21" s="10"/>
      <c r="B21" s="1323"/>
      <c r="C21" s="3906" t="str">
        <f>IF(C20="Artes Marciales","Conocida",VLOOKUP(C20,Tabla_ArmasyEscudos,9,FALSE))</f>
        <v>Conocida</v>
      </c>
      <c r="D21" s="3907"/>
      <c r="E21" s="3927"/>
      <c r="F21" s="3928"/>
      <c r="G21" s="3929"/>
      <c r="H21" s="3130">
        <f>Turno_Nat_final+Combate!D24+Personalización!Y7+IFERROR(VLOOKUP(E20,Tabla_EquipoArtesMarciales,3,FALSE),0)+MIN(0,I23)</f>
        <v>60</v>
      </c>
      <c r="I21" s="3926">
        <f>MAX(HA_SinArmas+Personalización!Y8+IFERROR(VLOOKUP(E20,Tabla_EquipoArtesMarciales,4,FALSE),0))</f>
        <v>0</v>
      </c>
      <c r="J21" s="3882">
        <f>MAX(HP_SinArmas,HE_SinArmas)+Personalización!Y9+IFERROR(VLOOKUP(E20,Tabla_EquipoArtesMarciales,4,FALSE),0)</f>
        <v>15</v>
      </c>
      <c r="K21" s="3887" t="str">
        <f>IF(HP_SinArmas&gt;=HE_SinArmas,"Par","Esq")</f>
        <v>Esq</v>
      </c>
      <c r="L21" s="3888">
        <f>MAX(0,IF(C20="Desarmado",VLOOKUP(Tamaño,Tabla_CreaciónSeres,7,TRUE)+Bono_Fue,ArtesM_Daño)+L24+Personalización!Y10)</f>
        <v>10</v>
      </c>
      <c r="N21" s="3864" t="str">
        <f>IF(AU63,AU62,"")&amp;IF(AV64,", ","")&amp;IF(AV63,AV62,"")&amp;IF(AW64,", ","")&amp;IF(AW63,AW62,"")&amp;IF(AX64,", ","")&amp;IF(AX63,AX62,"")&amp;IF(AY64,", ","")&amp;IF(AY63,AY62,"")&amp;IF(AZ64,", ","")&amp;IF(AZ63,AZ62,"")</f>
        <v/>
      </c>
      <c r="O21" s="3865"/>
      <c r="P21" s="3866"/>
      <c r="R21" s="3933" t="s">
        <v>8982</v>
      </c>
      <c r="S21" s="3885"/>
      <c r="T21" s="3885"/>
      <c r="U21" s="3885" t="s">
        <v>8983</v>
      </c>
      <c r="V21" s="3885"/>
      <c r="W21" s="3886"/>
      <c r="X21" s="652"/>
      <c r="Y21" s="10"/>
      <c r="Z21" s="10"/>
      <c r="AA21" s="1270"/>
      <c r="AB21" s="3819" t="str">
        <f>IF(PDs!$E48="","",PDs!$E48&amp;IF(AND(PDs!AD48=1,PDs!M48/PDs!L48+PDs!O48/PDs!N48+PDs!Q48/PDs!P48+PDs!S48/PDs!R48+PDs!U48/PDs!T48&gt;1)," ("&amp;PDs!M48/PDs!L48+PDs!O48/PDs!N48+PDs!Q48/PDs!P48+PDs!S48/PDs!R48+PDs!U48/PDs!T48&amp;")",""))</f>
        <v/>
      </c>
      <c r="AC21" s="3824"/>
      <c r="AD21" s="3824"/>
      <c r="AE21" s="3824"/>
      <c r="AF21" s="3824"/>
      <c r="AG21" s="3825"/>
      <c r="AH21" s="3823" t="str">
        <f>IF(PDs!$V48=0,"",PDs!$V48)</f>
        <v/>
      </c>
      <c r="AI21" s="3823"/>
      <c r="AJ21" s="3823"/>
      <c r="AK21" s="3823"/>
      <c r="AL21" s="3823"/>
      <c r="AM21" s="3823"/>
      <c r="AN21" s="3823"/>
      <c r="AO21" s="3823"/>
      <c r="AP21" s="3823"/>
      <c r="AQ21" s="3823"/>
      <c r="AR21" s="1362"/>
      <c r="AS21" s="1308"/>
      <c r="AT21" s="2776" t="s">
        <v>8574</v>
      </c>
      <c r="AU21" s="2776"/>
      <c r="AV21" s="1986"/>
      <c r="AW21" s="2776" t="s">
        <v>7464</v>
      </c>
      <c r="AX21" s="2776" t="s">
        <v>1984</v>
      </c>
      <c r="AY21" s="2776">
        <f>2*Tablas!$G$322</f>
        <v>0</v>
      </c>
      <c r="AZ21" s="2776">
        <f>2*Tablas!$G$322</f>
        <v>0</v>
      </c>
      <c r="BA21" s="2776">
        <f>2*Tablas!$G$322</f>
        <v>0</v>
      </c>
      <c r="BB21" s="2776">
        <f>2*Tablas!$G$322</f>
        <v>0</v>
      </c>
      <c r="BC21" s="2776">
        <f>2*Tablas!$G$322</f>
        <v>0</v>
      </c>
      <c r="BD21" s="2776">
        <f>2*Tablas!$G$322</f>
        <v>0</v>
      </c>
      <c r="BE21" s="2776">
        <f>4*Tablas!G323</f>
        <v>0</v>
      </c>
      <c r="BF21" s="1986"/>
      <c r="BG21" s="1986"/>
      <c r="BH21" s="1986"/>
      <c r="BI21" s="1986">
        <f>COUNTIF(BF23:BF27,"?*")</f>
        <v>0</v>
      </c>
    </row>
    <row r="22" spans="1:61" ht="12" customHeight="1" thickBot="1" x14ac:dyDescent="0.25">
      <c r="A22" s="10"/>
      <c r="B22" s="1323"/>
      <c r="C22" s="504" t="s">
        <v>1577</v>
      </c>
      <c r="D22" s="79" t="s">
        <v>1578</v>
      </c>
      <c r="E22" s="82" t="s">
        <v>1566</v>
      </c>
      <c r="F22" s="82" t="s">
        <v>1579</v>
      </c>
      <c r="G22" s="82" t="s">
        <v>1567</v>
      </c>
      <c r="H22" s="3879"/>
      <c r="I22" s="3879"/>
      <c r="J22" s="3882"/>
      <c r="K22" s="3887"/>
      <c r="L22" s="3889"/>
      <c r="N22" s="3867"/>
      <c r="O22" s="3868"/>
      <c r="P22" s="3869"/>
      <c r="R22" s="3934"/>
      <c r="S22" s="3935"/>
      <c r="T22" s="3935"/>
      <c r="U22" s="3930"/>
      <c r="V22" s="3931"/>
      <c r="W22" s="3932"/>
      <c r="X22" s="652"/>
      <c r="Y22" s="10"/>
      <c r="Z22" s="10"/>
      <c r="AA22" s="1270"/>
      <c r="AB22" s="3819" t="str">
        <f>IF(PDs!$E49="","",PDs!$E49&amp;IF(AND(PDs!AD49=1,PDs!M49/PDs!L49+PDs!O49/PDs!N49+PDs!Q49/PDs!P49+PDs!S49/PDs!R49+PDs!U49/PDs!T49&gt;1)," ("&amp;PDs!M49/PDs!L49+PDs!O49/PDs!N49+PDs!Q49/PDs!P49+PDs!S49/PDs!R49+PDs!U49/PDs!T49&amp;")",""))</f>
        <v/>
      </c>
      <c r="AC22" s="3824"/>
      <c r="AD22" s="3824"/>
      <c r="AE22" s="3824"/>
      <c r="AF22" s="3824"/>
      <c r="AG22" s="3825"/>
      <c r="AH22" s="3823" t="str">
        <f>IF(PDs!$V49=0,"",PDs!$V49)</f>
        <v/>
      </c>
      <c r="AI22" s="3823"/>
      <c r="AJ22" s="3823"/>
      <c r="AK22" s="3823"/>
      <c r="AL22" s="3823"/>
      <c r="AM22" s="3823"/>
      <c r="AN22" s="3823"/>
      <c r="AO22" s="3823"/>
      <c r="AP22" s="3823"/>
      <c r="AQ22" s="3823"/>
      <c r="AR22" s="1362"/>
      <c r="AS22" s="1308"/>
      <c r="AT22" s="3820">
        <f>HE_final-PDs!$X$24+MIN(PDs!$X$24+J24,50)+BonoMaestro_HD</f>
        <v>15</v>
      </c>
      <c r="AU22" s="3820"/>
      <c r="AV22" s="1986"/>
      <c r="AW22" s="2776" t="s">
        <v>7465</v>
      </c>
      <c r="AX22" s="2776" t="s">
        <v>1984</v>
      </c>
      <c r="AY22" s="2776">
        <f>Tablas!S$1465</f>
        <v>0</v>
      </c>
      <c r="AZ22" s="2776">
        <f>Tablas!S$1466</f>
        <v>0</v>
      </c>
      <c r="BA22" s="2776">
        <f>Tablas!S$1467</f>
        <v>0</v>
      </c>
      <c r="BB22" s="2776">
        <f>Tablas!S$1468</f>
        <v>0</v>
      </c>
      <c r="BC22" s="2776">
        <f>Tablas!S$1469</f>
        <v>0</v>
      </c>
      <c r="BD22" s="2776">
        <f>Tablas!S$1470</f>
        <v>0</v>
      </c>
      <c r="BE22" s="2776">
        <f>Tablas!S$1471</f>
        <v>0</v>
      </c>
      <c r="BF22" s="1986"/>
      <c r="BG22" s="1986"/>
      <c r="BH22" s="1986"/>
      <c r="BI22" s="1986"/>
    </row>
    <row r="23" spans="1:61" ht="12" customHeight="1" thickBot="1" x14ac:dyDescent="0.25">
      <c r="A23" s="10"/>
      <c r="B23" s="1323"/>
      <c r="C23" s="1196" t="s">
        <v>1506</v>
      </c>
      <c r="D23" s="1660" t="s">
        <v>1464</v>
      </c>
      <c r="E23" s="1660">
        <f>MAX(0,MAX(CON,DES)+IF(Extensióndelauraalarma,10,0)+IF($E$20="Armas Naturales",VLOOKUP(Tamaño,Tabla_CreaciónSeres,10),0))</f>
        <v>5</v>
      </c>
      <c r="F23" s="1660">
        <f>IF(FUE=0,0,-2+MAX(0,VLOOKUP(FUE,Tabla_Fuerza,2))+IF(Extensióndelauraalarma,5,0)+IF($E$20="Armas Naturales",VLOOKUP(Tamaño,Tabla_CreaciónSeres,9),0))</f>
        <v>-2</v>
      </c>
      <c r="G23" s="1660">
        <f>Presencia_final*IF(OR(Extrusióndepresencia,Extrusióndevacío),2,1)</f>
        <v>30</v>
      </c>
      <c r="H23" s="1498" t="str">
        <f>IF(AND(E20&lt;&gt;"Sin equipo",E20&lt;&gt;""),"Calidad:","")</f>
        <v/>
      </c>
      <c r="I23" s="1952"/>
      <c r="J23" s="3949" t="str">
        <f>IF(OR(I23=0,E20=""),"","TA defensor:")</f>
        <v/>
      </c>
      <c r="K23" s="3949"/>
      <c r="L23" s="1671" t="str">
        <f>IF(J23="TA defensor:",I23/(-5),"")</f>
        <v/>
      </c>
      <c r="N23" s="3026" t="s">
        <v>8785</v>
      </c>
      <c r="O23" s="3027"/>
      <c r="P23" s="3028"/>
      <c r="R23" s="3970"/>
      <c r="S23" s="3963"/>
      <c r="T23" s="3963"/>
      <c r="U23" s="3962"/>
      <c r="V23" s="3963"/>
      <c r="W23" s="3964"/>
      <c r="X23" s="652"/>
      <c r="Y23" s="10"/>
      <c r="Z23" s="10"/>
      <c r="AA23" s="1270"/>
      <c r="AB23" s="3819" t="str">
        <f>IF(PDs!$E50="","",PDs!$E50&amp;IF(AND(PDs!AD50=1,PDs!M50/PDs!L50+PDs!O50/PDs!N50+PDs!Q50/PDs!P50+PDs!S50/PDs!R50+PDs!U50/PDs!T50&gt;1)," ("&amp;PDs!M50/PDs!L50+PDs!O50/PDs!N50+PDs!Q50/PDs!P50+PDs!S50/PDs!R50+PDs!U50/PDs!T50&amp;")",""))</f>
        <v/>
      </c>
      <c r="AC23" s="3824"/>
      <c r="AD23" s="3824"/>
      <c r="AE23" s="3824"/>
      <c r="AF23" s="3824"/>
      <c r="AG23" s="3825"/>
      <c r="AH23" s="3823" t="str">
        <f>IF(PDs!$V50=0,"",PDs!$V50)</f>
        <v/>
      </c>
      <c r="AI23" s="3823"/>
      <c r="AJ23" s="3823"/>
      <c r="AK23" s="3823"/>
      <c r="AL23" s="3823"/>
      <c r="AM23" s="3823"/>
      <c r="AN23" s="3823"/>
      <c r="AO23" s="3823"/>
      <c r="AP23" s="3823"/>
      <c r="AQ23" s="3823"/>
      <c r="AR23" s="1362"/>
      <c r="AS23" s="1308"/>
      <c r="AT23" s="2776" t="s">
        <v>9860</v>
      </c>
      <c r="AU23" s="2776"/>
      <c r="AV23" s="1986"/>
      <c r="AW23" s="2776" t="s">
        <v>7467</v>
      </c>
      <c r="AX23" s="2776" t="s">
        <v>1984</v>
      </c>
      <c r="AY23" s="2776">
        <f t="shared" ref="AY23:BE23" si="7">IF(Acumulacion="Si",VLOOKUP(Tamaño,Tabla_CreaciónSeres,6),0)</f>
        <v>0</v>
      </c>
      <c r="AZ23" s="2776">
        <f t="shared" si="7"/>
        <v>0</v>
      </c>
      <c r="BA23" s="2776">
        <f t="shared" si="7"/>
        <v>0</v>
      </c>
      <c r="BB23" s="2776">
        <f t="shared" si="7"/>
        <v>0</v>
      </c>
      <c r="BC23" s="2776">
        <f t="shared" si="7"/>
        <v>0</v>
      </c>
      <c r="BD23" s="2776">
        <f t="shared" si="7"/>
        <v>0</v>
      </c>
      <c r="BE23" s="2776">
        <f t="shared" si="7"/>
        <v>0</v>
      </c>
      <c r="BF23" s="1986" t="str">
        <f>IF(COUNTIF(AY21:BE23,"&gt;0")&gt;0,"Armadura natural","")</f>
        <v/>
      </c>
      <c r="BG23" s="1986" t="str">
        <f>IF(AND(BF23&lt;&gt;"",COUNTIF(BF24:BF27,"?*")&gt;0),", ","")</f>
        <v/>
      </c>
      <c r="BH23" s="1986"/>
      <c r="BI23" s="1986"/>
    </row>
    <row r="24" spans="1:61" ht="12" customHeight="1" thickBot="1" x14ac:dyDescent="0.25">
      <c r="A24" s="10"/>
      <c r="B24" s="1323"/>
      <c r="C24" s="3070" t="s">
        <v>1580</v>
      </c>
      <c r="D24" s="3952">
        <f>Tablas!$K$906</f>
        <v>0</v>
      </c>
      <c r="E24" s="3954" t="s">
        <v>1581</v>
      </c>
      <c r="F24" s="3952">
        <f>MIN(Tablas!$H$906,50)</f>
        <v>0</v>
      </c>
      <c r="G24" s="3954" t="s">
        <v>1582</v>
      </c>
      <c r="H24" s="3958">
        <f>MIN(Tablas!$J$906,50)</f>
        <v>0</v>
      </c>
      <c r="I24" s="3950" t="s">
        <v>1583</v>
      </c>
      <c r="J24" s="3958">
        <f>MIN(Tablas!$I$906,50)</f>
        <v>0</v>
      </c>
      <c r="K24" s="3950" t="s">
        <v>1584</v>
      </c>
      <c r="L24" s="3956">
        <f>IF(Extensióndelauraalarma,10,0)+IF(DañoIncrementado,10,0)+IF($C$20="Artes Marciales",Tablas!F906,0)+Tablas!$K$1736+IFERROR(VLOOKUP(E20,Tabla_EquipoArtesMarciales,2,FALSE)+I23*2,0)</f>
        <v>0</v>
      </c>
      <c r="N24" s="3864" t="str">
        <f>IF(AU58,AU57,"")&amp;IF(AV59,", ","")&amp;IF(AV58,AV57,"")&amp;IF(AW59,", ","")&amp;IF(AW58,AW57,"")&amp;IF(AX59,", ","")&amp;IF(AX58,AX57,"")&amp;IF(AX57="CON"," (+10 Daño armas CON)","")</f>
        <v/>
      </c>
      <c r="O24" s="3865"/>
      <c r="P24" s="3866"/>
      <c r="R24" s="3934"/>
      <c r="S24" s="3935"/>
      <c r="T24" s="3935"/>
      <c r="U24" s="3965"/>
      <c r="V24" s="3935"/>
      <c r="W24" s="3966"/>
      <c r="X24" s="652"/>
      <c r="Y24" s="10"/>
      <c r="Z24" s="10"/>
      <c r="AA24" s="1270"/>
      <c r="AB24" s="3819" t="str">
        <f>IF(PDs!$E51="","",PDs!$E51&amp;IF(AND(PDs!AD51=1,PDs!M51/PDs!L51+PDs!O51/PDs!N51+PDs!Q51/PDs!P51+PDs!S51/PDs!R51+PDs!U51/PDs!T51&gt;1)," ("&amp;PDs!M51/PDs!L51+PDs!O51/PDs!N51+PDs!Q51/PDs!P51+PDs!S51/PDs!R51+PDs!U51/PDs!T51&amp;")",""))</f>
        <v/>
      </c>
      <c r="AC24" s="3824"/>
      <c r="AD24" s="3824"/>
      <c r="AE24" s="3824"/>
      <c r="AF24" s="3824"/>
      <c r="AG24" s="3825"/>
      <c r="AH24" s="3823" t="str">
        <f>IF(PDs!$V51=0,"",PDs!$V51)</f>
        <v/>
      </c>
      <c r="AI24" s="3823"/>
      <c r="AJ24" s="3823"/>
      <c r="AK24" s="3823"/>
      <c r="AL24" s="3823"/>
      <c r="AM24" s="3823"/>
      <c r="AN24" s="3823"/>
      <c r="AO24" s="3823"/>
      <c r="AP24" s="3823"/>
      <c r="AQ24" s="3823"/>
      <c r="AR24" s="1362"/>
      <c r="AS24" s="1308"/>
      <c r="AT24" s="3820">
        <f>MAX(HP_SinArmas,HE_SinArmas)</f>
        <v>15</v>
      </c>
      <c r="AU24" s="3820"/>
      <c r="AV24" s="1986"/>
      <c r="AW24" s="2776" t="s">
        <v>7466</v>
      </c>
      <c r="AX24" s="2776" t="s">
        <v>1984</v>
      </c>
      <c r="AY24" s="2776">
        <f>MAX(3*Tablas!$Y$894,6*Tablas!$Y$895)</f>
        <v>0</v>
      </c>
      <c r="AZ24" s="2776">
        <f>MAX(3*Tablas!$Y$894,6*Tablas!$Y$895)</f>
        <v>0</v>
      </c>
      <c r="BA24" s="2776">
        <f>MAX(3*Tablas!$Y$894,6*Tablas!$Y$895)</f>
        <v>0</v>
      </c>
      <c r="BB24" s="2776">
        <f>MAX(3*Tablas!$Y$894,6*Tablas!$Y$895)</f>
        <v>0</v>
      </c>
      <c r="BC24" s="2776">
        <f>MAX(3*Tablas!$Y$894,6*Tablas!$Y$895)</f>
        <v>0</v>
      </c>
      <c r="BD24" s="2776">
        <f>MAX(3*Tablas!$Y$894,6*Tablas!$Y$895)</f>
        <v>0</v>
      </c>
      <c r="BE24" s="2776">
        <f>MAX(3*Tablas!$Y$894,6*Tablas!$Y$895)</f>
        <v>0</v>
      </c>
      <c r="BF24" s="1986" t="str">
        <f>IF(COUNTIF(AY24:BE24,"&gt;0")&gt;0,"Rex frame","")</f>
        <v/>
      </c>
      <c r="BG24" s="1986" t="str">
        <f>IF(AND(BF24&lt;&gt;"",COUNTIF(BF25:BF27,"?*")&gt;0),", ","")</f>
        <v/>
      </c>
      <c r="BH24" s="1986"/>
      <c r="BI24" s="1986"/>
    </row>
    <row r="25" spans="1:61" ht="12" customHeight="1" thickBot="1" x14ac:dyDescent="0.25">
      <c r="A25" s="10"/>
      <c r="B25" s="1323"/>
      <c r="C25" s="3071"/>
      <c r="D25" s="3953"/>
      <c r="E25" s="3951"/>
      <c r="F25" s="3953"/>
      <c r="G25" s="3951"/>
      <c r="H25" s="3953"/>
      <c r="I25" s="3951"/>
      <c r="J25" s="3959"/>
      <c r="K25" s="3955"/>
      <c r="L25" s="3957"/>
      <c r="M25" s="38"/>
      <c r="N25" s="3867"/>
      <c r="O25" s="3868"/>
      <c r="P25" s="3869"/>
      <c r="R25" s="3971"/>
      <c r="S25" s="3968"/>
      <c r="T25" s="3968"/>
      <c r="U25" s="3967"/>
      <c r="V25" s="3968"/>
      <c r="W25" s="3969"/>
      <c r="X25" s="1271"/>
      <c r="Y25" s="10"/>
      <c r="Z25" s="10"/>
      <c r="AA25" s="1270"/>
      <c r="AB25" s="3819" t="str">
        <f>IF(PDs!$E52="","",PDs!$E52&amp;IF(AND(PDs!AD52=1,PDs!M52/PDs!L52+PDs!O52/PDs!N52+PDs!Q52/PDs!P52+PDs!S52/PDs!R52+PDs!U52/PDs!T52&gt;1)," ("&amp;PDs!M52/PDs!L52+PDs!O52/PDs!N52+PDs!Q52/PDs!P52+PDs!S52/PDs!R52+PDs!U52/PDs!T52&amp;")",""))</f>
        <v/>
      </c>
      <c r="AC25" s="3824"/>
      <c r="AD25" s="3824"/>
      <c r="AE25" s="3824"/>
      <c r="AF25" s="3824"/>
      <c r="AG25" s="3825"/>
      <c r="AH25" s="3823" t="str">
        <f>IF(PDs!$V52=0,"",PDs!$V52)</f>
        <v/>
      </c>
      <c r="AI25" s="3823"/>
      <c r="AJ25" s="3823"/>
      <c r="AK25" s="3823"/>
      <c r="AL25" s="3823"/>
      <c r="AM25" s="3823"/>
      <c r="AN25" s="3823"/>
      <c r="AO25" s="3823"/>
      <c r="AP25" s="3823"/>
      <c r="AQ25" s="3823"/>
      <c r="AR25" s="1362"/>
      <c r="AS25" s="1308"/>
      <c r="AT25" s="2776"/>
      <c r="AU25" s="2776"/>
      <c r="AV25" s="1986"/>
      <c r="AW25" s="2776" t="s">
        <v>7456</v>
      </c>
      <c r="AX25" s="2776" t="s">
        <v>1984</v>
      </c>
      <c r="AY25" s="2778">
        <f>'Tablas psiquica'!$AH$23</f>
        <v>0</v>
      </c>
      <c r="AZ25" s="2778">
        <f>'Tablas psiquica'!$AH$23</f>
        <v>0</v>
      </c>
      <c r="BA25" s="2778">
        <f>'Tablas psiquica'!$AH$23</f>
        <v>0</v>
      </c>
      <c r="BB25" s="2778">
        <f>'Tablas psiquica'!$AH$23</f>
        <v>0</v>
      </c>
      <c r="BC25" s="2778">
        <f>'Tablas psiquica'!$AH$23</f>
        <v>0</v>
      </c>
      <c r="BD25" s="2778">
        <f>'Tablas psiquica'!$AH$23</f>
        <v>0</v>
      </c>
      <c r="BE25" s="2778">
        <v>0</v>
      </c>
      <c r="BF25" s="1986" t="str">
        <f>IF(COUNTIF(AY25:BE25,"&gt;0")&gt;0,"Armadura telequinética","")</f>
        <v/>
      </c>
      <c r="BG25" s="1986" t="str">
        <f>IF(AND(BF25&lt;&gt;"",COUNTIF(BF26:BF27,"?*")&gt;0),", ","")</f>
        <v/>
      </c>
      <c r="BH25" s="1986"/>
      <c r="BI25" s="1986"/>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819" t="str">
        <f>IF(PDs!$E53="","",PDs!$E53&amp;IF(AND(PDs!AD53=1,PDs!M53/PDs!L53+PDs!O53/PDs!N53+PDs!Q53/PDs!P53+PDs!S53/PDs!R53+PDs!U53/PDs!T53&gt;1)," ("&amp;PDs!M53/PDs!L53+PDs!O53/PDs!N53+PDs!Q53/PDs!P53+PDs!S53/PDs!R53+PDs!U53/PDs!T53&amp;")",""))</f>
        <v/>
      </c>
      <c r="AC26" s="3824"/>
      <c r="AD26" s="3824"/>
      <c r="AE26" s="3824"/>
      <c r="AF26" s="3824"/>
      <c r="AG26" s="3825"/>
      <c r="AH26" s="3823" t="str">
        <f>IF(PDs!$V53=0,"",PDs!$V53)</f>
        <v/>
      </c>
      <c r="AI26" s="3823"/>
      <c r="AJ26" s="3823"/>
      <c r="AK26" s="3823"/>
      <c r="AL26" s="3823"/>
      <c r="AM26" s="3823"/>
      <c r="AN26" s="3823"/>
      <c r="AO26" s="3823"/>
      <c r="AP26" s="3823"/>
      <c r="AQ26" s="3823"/>
      <c r="AR26" s="1362"/>
      <c r="AS26" s="1308"/>
      <c r="AT26" s="2776"/>
      <c r="AU26" s="2776"/>
      <c r="AV26" s="1986"/>
      <c r="AW26" s="2777" t="s">
        <v>1461</v>
      </c>
      <c r="AX26" s="2776" t="s">
        <v>1984</v>
      </c>
      <c r="AY26" s="2777">
        <f>IF(Nephilim="Nephilim Turak",1)+IF(Raza="Turak",IF(COUNTIF(Cercanía_Dragón,"Escamas de metal")&gt;0,3,2),0)</f>
        <v>0</v>
      </c>
      <c r="AZ26" s="2777">
        <f>IF(Nephilim="Nephilim Turak",1)+IF(Raza="Turak",IF(COUNTIF(Cercanía_Dragón,"Escamas de metal")&gt;0,3,2),0)</f>
        <v>0</v>
      </c>
      <c r="BA26" s="2777">
        <f>IF(Nephilim="Nephilim Turak",1)+IF(Raza="Turak",IF(COUNTIF(Cercanía_Dragón,"Escamas de metal")&gt;0,3,2),0)</f>
        <v>0</v>
      </c>
      <c r="BB26" s="2777">
        <f>IF(Nephilim="Nephilim Turak",1)+IF(Raza="Turak",IF(COUNTIF(Cercanía_Dragón,"Escamas de metal")&gt;0,3,2),0)</f>
        <v>0</v>
      </c>
      <c r="BC26" s="2777">
        <v>0</v>
      </c>
      <c r="BD26" s="2777">
        <v>0</v>
      </c>
      <c r="BE26" s="2777">
        <v>0</v>
      </c>
      <c r="BF26" s="1986" t="str">
        <f>IF(COUNTIF(AY26:BE26,"&gt;0")&gt;0,"Armadura Turak","")</f>
        <v/>
      </c>
      <c r="BG26" s="1986" t="str">
        <f>IF(AND(BF26&lt;&gt;"",COUNTIF(BF27,"?*")&gt;0),", ","")</f>
        <v/>
      </c>
      <c r="BH26" s="1986"/>
      <c r="BI26" s="1986"/>
    </row>
    <row r="27" spans="1:61" ht="12" customHeight="1" thickBot="1" x14ac:dyDescent="0.25">
      <c r="A27" s="10"/>
      <c r="B27" s="1323"/>
      <c r="C27" s="1670" t="s">
        <v>8965</v>
      </c>
      <c r="D27" s="1665" t="str">
        <f>E28&amp;IF(COUNTIF($R$22:$T$25,C27&amp;" "&amp;E28)&gt;0,IFERROR(" y"&amp;MID(VLOOKUP(C27&amp;" "&amp;E28,$R$22:$W$25,4,FALSE),SEARCH(".",VLOOKUP(C27&amp;" "&amp;E28,$R$22:$W$25,4,FALSE))+1,100),""),"")</f>
        <v>Arpón</v>
      </c>
      <c r="E27" s="1665"/>
      <c r="F27" s="1665"/>
      <c r="G27" s="1665"/>
      <c r="H27" s="1665"/>
      <c r="I27" s="1665"/>
      <c r="J27" s="1665"/>
      <c r="K27" s="1665"/>
      <c r="L27" s="1706" t="s">
        <v>8979</v>
      </c>
      <c r="M27" s="838"/>
      <c r="N27" s="1670" t="s">
        <v>8964</v>
      </c>
      <c r="O27" s="1665" t="str">
        <f>P28&amp;IF(COUNTIF($R$22:$T$25,N27&amp;" "&amp;P28)&gt;0,IFERROR(" y"&amp;MID(VLOOKUP(N27&amp;" "&amp;P28,$R$22:$W$25,4,FALSE),SEARCH(".",VLOOKUP(N27&amp;" "&amp;P28,$R$22:$W$25,4,FALSE))+1,100),""),"")</f>
        <v/>
      </c>
      <c r="P27" s="1665"/>
      <c r="Q27" s="1665"/>
      <c r="R27" s="1665"/>
      <c r="S27" s="1665"/>
      <c r="T27" s="1665"/>
      <c r="U27" s="1665"/>
      <c r="V27" s="1665"/>
      <c r="W27" s="1706" t="s">
        <v>8979</v>
      </c>
      <c r="X27" s="652"/>
      <c r="Y27" s="10"/>
      <c r="Z27" s="10"/>
      <c r="AA27" s="1270"/>
      <c r="AB27" s="3819" t="str">
        <f>IF(PDs!$E54="","",PDs!$E54&amp;IF(AND(PDs!AD54=1,PDs!M54/PDs!L54+PDs!O54/PDs!N54+PDs!Q54/PDs!P54+PDs!S54/PDs!R54+PDs!U54/PDs!T54&gt;1)," ("&amp;PDs!M54/PDs!L54+PDs!O54/PDs!N54+PDs!Q54/PDs!P54+PDs!S54/PDs!R54+PDs!U54/PDs!T54&amp;")",""))</f>
        <v/>
      </c>
      <c r="AC27" s="3824"/>
      <c r="AD27" s="3824"/>
      <c r="AE27" s="3824"/>
      <c r="AF27" s="3824"/>
      <c r="AG27" s="3825"/>
      <c r="AH27" s="3823" t="str">
        <f>IF(PDs!$V54=0,"",PDs!$V54)</f>
        <v/>
      </c>
      <c r="AI27" s="3823"/>
      <c r="AJ27" s="3823"/>
      <c r="AK27" s="3823"/>
      <c r="AL27" s="3823"/>
      <c r="AM27" s="3823"/>
      <c r="AN27" s="3823"/>
      <c r="AO27" s="3823"/>
      <c r="AP27" s="3823"/>
      <c r="AQ27" s="3823"/>
      <c r="AR27" s="1362"/>
      <c r="AS27" s="1308"/>
      <c r="AT27" s="2776"/>
      <c r="AU27" s="2776"/>
      <c r="AV27" s="1986"/>
      <c r="AW27" s="2777" t="s">
        <v>2908</v>
      </c>
      <c r="AX27" s="2776" t="s">
        <v>1984</v>
      </c>
      <c r="AY27" s="2777">
        <v>0</v>
      </c>
      <c r="AZ27" s="2776">
        <v>0</v>
      </c>
      <c r="BA27" s="2776">
        <v>0</v>
      </c>
      <c r="BB27" s="2776">
        <v>0</v>
      </c>
      <c r="BC27" s="2776">
        <v>0</v>
      </c>
      <c r="BD27" s="2776">
        <v>0</v>
      </c>
      <c r="BE27" s="2776">
        <f>MAX(IF(ArmaduradeEnergia,2,0),IF(ArmaduraArcana,4,0))</f>
        <v>0</v>
      </c>
      <c r="BF27" s="1986" t="str">
        <f>IF(BE27&gt;0,"Armadura de Energía por Ki","")</f>
        <v/>
      </c>
      <c r="BG27" s="1986"/>
      <c r="BH27" s="1986"/>
      <c r="BI27" s="1986"/>
    </row>
    <row r="28" spans="1:61" ht="12" customHeight="1" thickBot="1" x14ac:dyDescent="0.25">
      <c r="A28" s="10"/>
      <c r="B28" s="1323"/>
      <c r="C28" s="3872" t="s">
        <v>8953</v>
      </c>
      <c r="D28" s="3873"/>
      <c r="E28" s="3875" t="s">
        <v>2147</v>
      </c>
      <c r="F28" s="3876"/>
      <c r="G28" s="3877"/>
      <c r="H28" s="2039" t="s">
        <v>1401</v>
      </c>
      <c r="I28" s="2040" t="s">
        <v>1573</v>
      </c>
      <c r="J28" s="3878" t="s">
        <v>1574</v>
      </c>
      <c r="K28" s="3878"/>
      <c r="L28" s="2041" t="s">
        <v>1575</v>
      </c>
      <c r="M28" s="1705" t="str">
        <f>IF(C28=INDEX(Lista_ManosArma,2),Lista_A2Manos,Lista_A1Mano)</f>
        <v>Tablas!$AB$632:$AB$744</v>
      </c>
      <c r="N28" s="3872" t="s">
        <v>8953</v>
      </c>
      <c r="O28" s="3873"/>
      <c r="P28" s="3875"/>
      <c r="Q28" s="3876"/>
      <c r="R28" s="3877"/>
      <c r="S28" s="2039" t="s">
        <v>1401</v>
      </c>
      <c r="T28" s="2040" t="s">
        <v>1573</v>
      </c>
      <c r="U28" s="3878" t="s">
        <v>1574</v>
      </c>
      <c r="V28" s="3878"/>
      <c r="W28" s="2041" t="s">
        <v>1575</v>
      </c>
      <c r="X28" s="1705" t="str">
        <f>IF(N28=INDEX(Lista_ManosArma,2),Lista_A2Manos,Lista_A1Mano)</f>
        <v>Tablas!$AB$632:$AB$744</v>
      </c>
      <c r="Y28" s="10"/>
      <c r="Z28" s="10"/>
      <c r="AA28" s="1270"/>
      <c r="AB28" s="3972" t="str">
        <f>IF(PDs!$E55="","",PDs!$E55&amp;IF(AND(PDs!AD55=1,PDs!M55/PDs!L55+PDs!O55/PDs!N55+PDs!Q55/PDs!P55+PDs!S55/PDs!R55+PDs!U55/PDs!T55&gt;1)," ("&amp;PDs!M55/PDs!L55+PDs!O55/PDs!N55+PDs!Q55/PDs!P55+PDs!S55/PDs!R55+PDs!U55/PDs!T55&amp;")",""))</f>
        <v/>
      </c>
      <c r="AC28" s="3973"/>
      <c r="AD28" s="3973"/>
      <c r="AE28" s="3973"/>
      <c r="AF28" s="3973"/>
      <c r="AG28" s="3974"/>
      <c r="AH28" s="3874" t="str">
        <f>IF(PDs!$V55=0,"",PDs!$V55)</f>
        <v/>
      </c>
      <c r="AI28" s="3874"/>
      <c r="AJ28" s="3874"/>
      <c r="AK28" s="3874"/>
      <c r="AL28" s="3874"/>
      <c r="AM28" s="3874"/>
      <c r="AN28" s="3874"/>
      <c r="AO28" s="3874"/>
      <c r="AP28" s="3874"/>
      <c r="AQ28" s="3874"/>
      <c r="AR28" s="1362"/>
      <c r="AS28" s="1308"/>
      <c r="AT28" s="1986"/>
      <c r="AU28" s="1986"/>
      <c r="AV28" s="1986"/>
      <c r="AW28" s="1986"/>
      <c r="AX28" s="1986"/>
      <c r="AY28" s="1986"/>
      <c r="AZ28" s="1986"/>
      <c r="BA28" s="1986"/>
      <c r="BB28" s="1986"/>
      <c r="BC28" s="1986"/>
      <c r="BD28" s="1986"/>
      <c r="BE28" s="1986"/>
      <c r="BF28" s="1986"/>
      <c r="BG28" s="1986"/>
      <c r="BH28" s="1986"/>
      <c r="BI28" s="1986"/>
    </row>
    <row r="29" spans="1:61" ht="12" customHeight="1" thickBot="1" x14ac:dyDescent="0.25">
      <c r="A29" s="10"/>
      <c r="B29" s="1323"/>
      <c r="C29" s="3870" t="str">
        <f>IF(E28=0,"",VLOOKUP(E28,Tabla_ArmasyEscudos,9,FALSE))</f>
        <v>Similar</v>
      </c>
      <c r="D29" s="3871"/>
      <c r="E29" s="2042" t="s">
        <v>1585</v>
      </c>
      <c r="F29" s="3946" t="s">
        <v>1586</v>
      </c>
      <c r="G29" s="3947"/>
      <c r="H29" s="3948">
        <f>IFERROR(INDEX(Tabla_Combate,$AT$41,LEFT(C27,LEN(C27)-1)),0)</f>
        <v>35</v>
      </c>
      <c r="I29" s="3879">
        <f>IFERROR(INDEX(Tabla_Combate,$AT$42,LEFT(C27,LEN(C27)-1)),0)</f>
        <v>-20</v>
      </c>
      <c r="J29" s="3881">
        <f>IF(K29="-",0,IF(K29="Par",INDEX(Tabla_Combate,$AT$43,LEFT(C27,LEN(C27)-1)),INDEX(Tabla_Combate,$AT$44,LEFT(C27,LEN(C27)-1))))</f>
        <v>15</v>
      </c>
      <c r="K29" s="3130" t="str">
        <f>IFERROR(IF(INDEX(Tabla_Combate,$AT$43,LEFT(C27,LEN(C27)-1))&gt;INDEX(Tabla_Combate,$AT$44,LEFT(C27,LEN(C27)-1)),"Par","Esq"),"-")</f>
        <v>Esq</v>
      </c>
      <c r="L29" s="3888">
        <f>IFERROR(INDEX(Tabla_Combate,$AT$45,LEFT(C27,LEN(C27)-1)),0)</f>
        <v>35</v>
      </c>
      <c r="M29" s="838"/>
      <c r="N29" s="3870" t="str">
        <f>IF(P28=0,"",VLOOKUP(P28,Tabla_ArmasyEscudos,9,FALSE))</f>
        <v/>
      </c>
      <c r="O29" s="3871"/>
      <c r="P29" s="2042" t="s">
        <v>1585</v>
      </c>
      <c r="Q29" s="3946" t="s">
        <v>1586</v>
      </c>
      <c r="R29" s="3947"/>
      <c r="S29" s="3948">
        <f>IFERROR(INDEX(Tabla_Combate,$AT$41,LEFT(N27,LEN(N27)-1)),0)</f>
        <v>0</v>
      </c>
      <c r="T29" s="3879">
        <f>IFERROR(INDEX(Tabla_Combate,$AT$42,LEFT(N27,LEN(N27)-1)),0)</f>
        <v>0</v>
      </c>
      <c r="U29" s="3881">
        <f>IF(V29="-",0,IF(V29="Par",INDEX(Tabla_Combate,$AT$43,LEFT(N27,LEN(N27)-1)),INDEX(Tabla_Combate,$AT$44,LEFT(N27,LEN(N27)-1))))</f>
        <v>0</v>
      </c>
      <c r="V29" s="3130" t="str">
        <f>IFERROR(IF(INDEX(Tabla_Combate,$AT$43,LEFT(N27,LEN(N27)-1))&gt;INDEX(Tabla_Combate,$AT$44,LEFT(N27,LEN(N27)-1)),"Par","Esq"),"-")</f>
        <v>-</v>
      </c>
      <c r="W29" s="3888">
        <f>IFERROR(INDEX(Tabla_Combate,$AT$45,LEFT(N27,LEN(N27)-1)),0)</f>
        <v>0</v>
      </c>
      <c r="X29" s="838"/>
      <c r="Y29" s="10"/>
      <c r="Z29" s="10"/>
      <c r="AA29" s="1270"/>
      <c r="AM29" s="23"/>
      <c r="AN29" s="23"/>
      <c r="AO29" s="23"/>
      <c r="AP29" s="23"/>
      <c r="AQ29" s="23"/>
      <c r="AR29" s="1362"/>
      <c r="AS29" s="1308"/>
      <c r="AT29" s="1986"/>
      <c r="AU29" s="1986"/>
      <c r="AV29" s="2755" t="s">
        <v>2142</v>
      </c>
      <c r="AW29" s="2755">
        <v>1</v>
      </c>
      <c r="AX29" s="2755">
        <v>2</v>
      </c>
      <c r="AY29" s="2755">
        <v>3</v>
      </c>
      <c r="AZ29" s="2755">
        <v>4</v>
      </c>
      <c r="BA29" s="2755">
        <v>5</v>
      </c>
      <c r="BB29" s="2755">
        <v>6</v>
      </c>
      <c r="BC29" s="2755">
        <v>7</v>
      </c>
      <c r="BD29" s="2755">
        <v>8</v>
      </c>
      <c r="BE29" s="2755">
        <v>9</v>
      </c>
      <c r="BF29" s="2755">
        <v>10</v>
      </c>
      <c r="BG29" s="1986"/>
      <c r="BH29" s="1986"/>
      <c r="BI29" s="1986"/>
    </row>
    <row r="30" spans="1:61" ht="12" customHeight="1" thickBot="1" x14ac:dyDescent="0.25">
      <c r="A30" s="10"/>
      <c r="B30" s="1323"/>
      <c r="C30" s="1195" t="s">
        <v>1577</v>
      </c>
      <c r="D30" s="82" t="s">
        <v>1578</v>
      </c>
      <c r="E30" s="82" t="s">
        <v>1566</v>
      </c>
      <c r="F30" s="82" t="s">
        <v>1579</v>
      </c>
      <c r="G30" s="82" t="s">
        <v>1567</v>
      </c>
      <c r="H30" s="3948"/>
      <c r="I30" s="3880"/>
      <c r="J30" s="3882"/>
      <c r="K30" s="3887"/>
      <c r="L30" s="3889"/>
      <c r="M30" s="838"/>
      <c r="N30" s="1195" t="s">
        <v>1577</v>
      </c>
      <c r="O30" s="82" t="s">
        <v>1578</v>
      </c>
      <c r="P30" s="82" t="s">
        <v>1566</v>
      </c>
      <c r="Q30" s="82" t="s">
        <v>1579</v>
      </c>
      <c r="R30" s="82" t="s">
        <v>1567</v>
      </c>
      <c r="S30" s="3948"/>
      <c r="T30" s="3880"/>
      <c r="U30" s="3882"/>
      <c r="V30" s="3887"/>
      <c r="W30" s="3889"/>
      <c r="X30" s="838"/>
      <c r="Y30" s="10"/>
      <c r="Z30" s="10"/>
      <c r="AA30" s="1270"/>
      <c r="AB30" s="3851" t="s">
        <v>1512</v>
      </c>
      <c r="AC30" s="3852"/>
      <c r="AD30" s="3852"/>
      <c r="AE30" s="3853"/>
      <c r="AF30" s="3854" t="s">
        <v>1558</v>
      </c>
      <c r="AG30" s="3855"/>
      <c r="AH30" s="3855"/>
      <c r="AI30" s="3855"/>
      <c r="AJ30" s="3855"/>
      <c r="AK30" s="3855"/>
      <c r="AL30" s="3855"/>
      <c r="AM30" s="3855"/>
      <c r="AN30" s="3855"/>
      <c r="AO30" s="3855"/>
      <c r="AP30" s="3856"/>
      <c r="AQ30" s="1648" t="s">
        <v>1508</v>
      </c>
      <c r="AR30" s="1362"/>
      <c r="AS30" s="1308"/>
      <c r="AT30" s="2759">
        <v>1</v>
      </c>
      <c r="AU30" s="2759" t="s">
        <v>1423</v>
      </c>
      <c r="AV30" s="2755"/>
      <c r="AW30" s="2755" t="str">
        <f>E28</f>
        <v>Arpón</v>
      </c>
      <c r="AX30" s="2755">
        <f>P28</f>
        <v>0</v>
      </c>
      <c r="AY30" s="2755">
        <f>E35</f>
        <v>0</v>
      </c>
      <c r="AZ30" s="2755">
        <f>P35</f>
        <v>0</v>
      </c>
      <c r="BA30" s="2755">
        <f>E42</f>
        <v>0</v>
      </c>
      <c r="BB30" s="2755">
        <f>P42</f>
        <v>0</v>
      </c>
      <c r="BC30" s="2755">
        <f>E49</f>
        <v>0</v>
      </c>
      <c r="BD30" s="2755">
        <f>P49</f>
        <v>0</v>
      </c>
      <c r="BE30" s="2755">
        <f>E58</f>
        <v>0</v>
      </c>
      <c r="BF30" s="2755">
        <f>P58</f>
        <v>0</v>
      </c>
      <c r="BG30" s="1986"/>
      <c r="BH30" s="1986"/>
      <c r="BI30" s="1986"/>
    </row>
    <row r="31" spans="1:61" ht="12" customHeight="1" x14ac:dyDescent="0.2">
      <c r="A31" s="10"/>
      <c r="B31" s="1323"/>
      <c r="C31" s="1196" t="str">
        <f>IF(E28=0,"",VLOOKUP(E28,Tabla_ArmasyEscudos,6,FALSE))</f>
        <v>PEN</v>
      </c>
      <c r="D31" s="1660" t="str">
        <f>IF(E28=0,"",VLOOKUP(E28,Tabla_ArmasyEscudos,7,FALSE))</f>
        <v>-</v>
      </c>
      <c r="E31" s="1660">
        <f>IF(E28=0,"",MAX(0,IF(Extensióndelauraalarma,10,0)+J31*2+VLOOKUP(E28,Tabla_ArmasyEscudos,10,FALSE)+IF(F29=0,0,VLOOKUP(F29,Tabla_ArmasEnormes,6,FALSE))))</f>
        <v>11</v>
      </c>
      <c r="F31" s="1660">
        <f>IF(E28=0,"",MAX(0,IF(Extensióndelauraalarma,5,0)+J31*2/5+VLOOKUP(E28,Tabla_ArmasyEscudos,11,FALSE)+IF(F29=0,0,VLOOKUP(F29,Tabla_ArmasEnormes,7,FALSE))+IF(FUE=0,0,VLOOKUP(FUE,Tabla_Fuerza,2))))</f>
        <v>0</v>
      </c>
      <c r="G31" s="1280">
        <f>IF(E28=0,0,MAX(J31*10,0)+VLOOKUP(E28,Tabla_ArmasyEscudos,12,FALSE))</f>
        <v>15</v>
      </c>
      <c r="H31" s="3975" t="s">
        <v>8955</v>
      </c>
      <c r="I31" s="3976"/>
      <c r="J31" s="1712"/>
      <c r="K31" s="3977" t="s">
        <v>8607</v>
      </c>
      <c r="L31" s="3978"/>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IF(P28=0,"",MAX(0,IF(Extensióndelauraalarma,5,0)+U31*2/5+VLOOKUP(P28,Tabla_ArmasyEscudos,11,FALSE)+IF(Q29=0,0,VLOOKUP(Q29,Tabla_ArmasEnormes,7,FALSE))+IF(FUE=0,0,VLOOKUP(FUE,Tabla_Fuerza,2))))</f>
        <v/>
      </c>
      <c r="R31" s="1280">
        <f>IF(P28=0,0,MAX(U31*10,0)+VLOOKUP(P28,Tabla_ArmasyEscudos,12,FALSE))</f>
        <v>0</v>
      </c>
      <c r="S31" s="3975" t="s">
        <v>8955</v>
      </c>
      <c r="T31" s="3976"/>
      <c r="U31" s="1712"/>
      <c r="V31" s="3977" t="s">
        <v>8607</v>
      </c>
      <c r="W31" s="3978"/>
      <c r="X31" s="838"/>
      <c r="Y31" s="10"/>
      <c r="Z31" s="10"/>
      <c r="AA31" s="1270"/>
      <c r="AB31" s="3960" t="str">
        <f>IF(PDs!$AD56=0,"",PDs!$AD56)</f>
        <v/>
      </c>
      <c r="AC31" s="3961"/>
      <c r="AD31" s="3961"/>
      <c r="AE31" s="3961"/>
      <c r="AF31" s="3821" t="str">
        <f t="shared" ref="AF31:AF49" si="8">IFERROR(VLOOKUP(AB31,Tabla_ArtesMarciales,9,FALSE),"")</f>
        <v/>
      </c>
      <c r="AG31" s="3818"/>
      <c r="AH31" s="3818"/>
      <c r="AI31" s="3818"/>
      <c r="AJ31" s="3818"/>
      <c r="AK31" s="3818"/>
      <c r="AL31" s="3818"/>
      <c r="AM31" s="3818"/>
      <c r="AN31" s="3818"/>
      <c r="AO31" s="3818"/>
      <c r="AP31" s="3822"/>
      <c r="AQ31" s="1708">
        <f>IF(AB31="",0,VLOOKUP(AB31,Tablas!$D$816:$G$905,4,FALSE))</f>
        <v>0</v>
      </c>
      <c r="AR31" s="1362"/>
      <c r="AS31" s="1308"/>
      <c r="AT31" s="2759">
        <v>2</v>
      </c>
      <c r="AU31" s="2759" t="s">
        <v>1559</v>
      </c>
      <c r="AV31" s="2755"/>
      <c r="AW31" s="2755">
        <f>J31</f>
        <v>0</v>
      </c>
      <c r="AX31" s="2755">
        <f>U31</f>
        <v>0</v>
      </c>
      <c r="AY31" s="2755">
        <f>J38</f>
        <v>0</v>
      </c>
      <c r="AZ31" s="2755">
        <f>U38</f>
        <v>0</v>
      </c>
      <c r="BA31" s="2755">
        <f>J45</f>
        <v>0</v>
      </c>
      <c r="BB31" s="2755">
        <f>U45</f>
        <v>0</v>
      </c>
      <c r="BC31" s="2755">
        <f>J52</f>
        <v>0</v>
      </c>
      <c r="BD31" s="2755">
        <f>U52</f>
        <v>0</v>
      </c>
      <c r="BE31" s="2755">
        <f>J61</f>
        <v>0</v>
      </c>
      <c r="BF31" s="2755">
        <f>U61</f>
        <v>0</v>
      </c>
      <c r="BG31" s="2759"/>
      <c r="BH31" s="1986"/>
      <c r="BI31" s="1986"/>
    </row>
    <row r="32" spans="1:61" ht="12" customHeight="1" thickBot="1" x14ac:dyDescent="0.25">
      <c r="A32" s="10"/>
      <c r="B32" s="1323"/>
      <c r="C32" s="3979" t="str">
        <f>IF(E28=0,"",IF(VLOOKUP(E28,Tabla_ArmasyEscudos,17,FALSE)&lt;&gt;"-",D33,C33))</f>
        <v>A 1 o 2 manos, Lanzable (100/20m)</v>
      </c>
      <c r="D32" s="3980"/>
      <c r="E32" s="3980"/>
      <c r="F32" s="3980"/>
      <c r="G32" s="3980"/>
      <c r="H32" s="3980"/>
      <c r="I32" s="1666"/>
      <c r="J32" s="1667" t="str">
        <f>IF(F29=0,IF(J31&lt;=0,"","TA defensor: -"&amp;J31/5),IF(Tamaño&lt;VLOOKUP(F29,Tabla_ArmasEnormes,2,FALSE),"Tam. excesivo",IF(J31&lt;=0,"","TA defensor: -"&amp;J31/5)))</f>
        <v/>
      </c>
      <c r="K32" s="3981" t="s">
        <v>1389</v>
      </c>
      <c r="L32" s="3982"/>
      <c r="M32" s="838"/>
      <c r="N32" s="3979" t="str">
        <f>IF(P28=0,"",IF(VLOOKUP(P28,Tabla_ArmasyEscudos,17,FALSE)&lt;&gt;"-",O33,N33))</f>
        <v/>
      </c>
      <c r="O32" s="3980"/>
      <c r="P32" s="3980"/>
      <c r="Q32" s="3980"/>
      <c r="R32" s="3980"/>
      <c r="S32" s="3980"/>
      <c r="T32" s="1666"/>
      <c r="U32" s="1667" t="str">
        <f>IF(Q29=0,IF(U31&lt;=0,"","TA defensor: -"&amp;U31/5),IF(Tamaño&lt;VLOOKUP(Q29,Tabla_ArmasEnormes,2,FALSE),"Tam. excesivo",IF(U31&lt;=0,"","TA defensor: -"&amp;U31/5)))</f>
        <v/>
      </c>
      <c r="V32" s="3981" t="s">
        <v>1389</v>
      </c>
      <c r="W32" s="3982"/>
      <c r="X32" s="838"/>
      <c r="Y32" s="10"/>
      <c r="Z32" s="10"/>
      <c r="AA32" s="1270"/>
      <c r="AB32" s="3817" t="str">
        <f>IF(PDs!$AD57=0,"",PDs!$AD57)</f>
        <v/>
      </c>
      <c r="AC32" s="3818"/>
      <c r="AD32" s="3818"/>
      <c r="AE32" s="3818"/>
      <c r="AF32" s="3821" t="str">
        <f t="shared" si="8"/>
        <v/>
      </c>
      <c r="AG32" s="3818"/>
      <c r="AH32" s="3818"/>
      <c r="AI32" s="3818"/>
      <c r="AJ32" s="3818"/>
      <c r="AK32" s="3818"/>
      <c r="AL32" s="3818"/>
      <c r="AM32" s="3818"/>
      <c r="AN32" s="3818"/>
      <c r="AO32" s="3818"/>
      <c r="AP32" s="3822"/>
      <c r="AQ32" s="1709">
        <f>IF(AB32="",0,VLOOKUP(AB32,Tablas!$D$816:$G$905,4,FALSE))</f>
        <v>0</v>
      </c>
      <c r="AR32" s="1362"/>
      <c r="AS32" s="1308"/>
      <c r="AT32" s="2759">
        <v>3</v>
      </c>
      <c r="AU32" s="2759" t="s">
        <v>8984</v>
      </c>
      <c r="AV32" s="2755"/>
      <c r="AW32" s="2755" t="str">
        <f>C29</f>
        <v>Similar</v>
      </c>
      <c r="AX32" s="2755" t="str">
        <f>N29</f>
        <v/>
      </c>
      <c r="AY32" s="2755" t="str">
        <f>C36</f>
        <v/>
      </c>
      <c r="AZ32" s="2755" t="str">
        <f>N36</f>
        <v/>
      </c>
      <c r="BA32" s="2755" t="str">
        <f>C43</f>
        <v/>
      </c>
      <c r="BB32" s="2755" t="str">
        <f>N43</f>
        <v/>
      </c>
      <c r="BC32" s="2755" t="str">
        <f>C51</f>
        <v/>
      </c>
      <c r="BD32" s="2755" t="str">
        <f>N51</f>
        <v/>
      </c>
      <c r="BE32" s="2755" t="str">
        <f>C60</f>
        <v/>
      </c>
      <c r="BF32" s="2755" t="str">
        <f>N60</f>
        <v/>
      </c>
      <c r="BG32" s="2759"/>
      <c r="BH32" s="1986"/>
      <c r="BI32" s="1986"/>
    </row>
    <row r="33" spans="1:61" ht="12" customHeight="1" thickBot="1" x14ac:dyDescent="0.25">
      <c r="A33" s="10"/>
      <c r="B33" s="1323"/>
      <c r="C33" s="650" t="str">
        <f>VLOOKUP(E28,Tabla_ArmasyEscudos,19,FALSE)</f>
        <v>A 1 o 2 manos, Lanzable (100/XXXm)</v>
      </c>
      <c r="D33" s="650" t="str">
        <f>IF(ISNUMBER(SEARCH("XXX",C33)),SUBSTITUTE(C33,"XXX",MAX(0,VLOOKUP(E28,Tabla_ArmasyEscudos,17,FALSE)+IF(FUE&lt;3,-30,VLOOKUP(FUE,Tabla_AlcanceFUE,2)))),SUBSTITUTE(SUBSTITUTE(C33,"Arma natural a distancia disparada",F33),"Arma natural a distancia",F33))</f>
        <v>A 1 o 2 manos, Lanzable (100/20m)</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817" t="str">
        <f>IF(PDs!$AD58=0,"",PDs!$AD58)</f>
        <v/>
      </c>
      <c r="AC33" s="3818"/>
      <c r="AD33" s="3818"/>
      <c r="AE33" s="3818"/>
      <c r="AF33" s="3821" t="str">
        <f t="shared" si="8"/>
        <v/>
      </c>
      <c r="AG33" s="3818"/>
      <c r="AH33" s="3818"/>
      <c r="AI33" s="3818"/>
      <c r="AJ33" s="3818"/>
      <c r="AK33" s="3818"/>
      <c r="AL33" s="3818"/>
      <c r="AM33" s="3818"/>
      <c r="AN33" s="3818"/>
      <c r="AO33" s="3818"/>
      <c r="AP33" s="3822"/>
      <c r="AQ33" s="1709">
        <f>IF(AB33="",0,VLOOKUP(AB33,Tablas!$D$816:$G$905,4,FALSE))</f>
        <v>0</v>
      </c>
      <c r="AR33" s="1362"/>
      <c r="AS33" s="1308"/>
      <c r="AT33" s="2759">
        <v>4</v>
      </c>
      <c r="AU33" s="2759" t="s">
        <v>1913</v>
      </c>
      <c r="AV33" s="2755"/>
      <c r="AW33" s="2755" t="str">
        <f>F29</f>
        <v>Normal</v>
      </c>
      <c r="AX33" s="2755" t="str">
        <f>Q29</f>
        <v>Normal</v>
      </c>
      <c r="AY33" s="2755" t="str">
        <f>F36</f>
        <v>Normal</v>
      </c>
      <c r="AZ33" s="2755" t="str">
        <f>Q36</f>
        <v>Normal</v>
      </c>
      <c r="BA33" s="2755" t="str">
        <f>F43</f>
        <v>Normal</v>
      </c>
      <c r="BB33" s="2755" t="str">
        <f>Q43</f>
        <v>Normal</v>
      </c>
      <c r="BC33" s="2755" t="str">
        <f>F51</f>
        <v>Normal</v>
      </c>
      <c r="BD33" s="2755">
        <f>Q51</f>
        <v>0</v>
      </c>
      <c r="BE33" s="2755" t="str">
        <f>F60</f>
        <v>Normal</v>
      </c>
      <c r="BF33" s="2755" t="str">
        <f>Q60</f>
        <v>Normal</v>
      </c>
      <c r="BG33" s="2759"/>
      <c r="BH33" s="1986"/>
      <c r="BI33" s="1986"/>
    </row>
    <row r="34" spans="1:61" ht="12" customHeight="1" thickBot="1" x14ac:dyDescent="0.25">
      <c r="A34" s="10"/>
      <c r="B34" s="1323"/>
      <c r="C34" s="1670" t="s">
        <v>8963</v>
      </c>
      <c r="D34" s="1665" t="str">
        <f>E35&amp;IF(COUNTIF($R$22:$T$25,C34&amp;" "&amp;E35)&gt;0,IFERROR(" y"&amp;MID(VLOOKUP(C34&amp;" "&amp;E35,$R$22:$W$25,4,FALSE),SEARCH(".",VLOOKUP(C34&amp;" "&amp;E35,$R$22:$W$25,4,FALSE))+1,100),""),"")</f>
        <v/>
      </c>
      <c r="E34" s="1665"/>
      <c r="F34" s="1665"/>
      <c r="G34" s="1665"/>
      <c r="H34" s="1665"/>
      <c r="I34" s="1665"/>
      <c r="J34" s="1665"/>
      <c r="K34" s="1665"/>
      <c r="L34" s="1706" t="s">
        <v>8979</v>
      </c>
      <c r="M34" s="838"/>
      <c r="N34" s="1670" t="s">
        <v>8960</v>
      </c>
      <c r="O34" s="1665" t="str">
        <f>P35&amp;IF(COUNTIF($R$22:$T$25,N34&amp;" "&amp;P35)&gt;0,IFERROR(" y"&amp;MID(VLOOKUP(N34&amp;" "&amp;P35,$R$22:$W$25,4,FALSE),SEARCH(".",VLOOKUP(N34&amp;" "&amp;P35,$R$22:$W$25,4,FALSE))+1,100),""),"")</f>
        <v/>
      </c>
      <c r="P34" s="1665"/>
      <c r="Q34" s="1665"/>
      <c r="R34" s="1665"/>
      <c r="S34" s="1665"/>
      <c r="T34" s="1665"/>
      <c r="U34" s="1665"/>
      <c r="V34" s="1665"/>
      <c r="W34" s="1706" t="s">
        <v>8979</v>
      </c>
      <c r="X34" s="838"/>
      <c r="Y34" s="10"/>
      <c r="Z34" s="10"/>
      <c r="AA34" s="1270"/>
      <c r="AB34" s="3817" t="str">
        <f>IF(PDs!$AD59=0,"",PDs!$AD59)</f>
        <v/>
      </c>
      <c r="AC34" s="3818"/>
      <c r="AD34" s="3818"/>
      <c r="AE34" s="3818"/>
      <c r="AF34" s="3821" t="str">
        <f t="shared" si="8"/>
        <v/>
      </c>
      <c r="AG34" s="3818"/>
      <c r="AH34" s="3818"/>
      <c r="AI34" s="3818"/>
      <c r="AJ34" s="3818"/>
      <c r="AK34" s="3818"/>
      <c r="AL34" s="3818"/>
      <c r="AM34" s="3818"/>
      <c r="AN34" s="3818"/>
      <c r="AO34" s="3818"/>
      <c r="AP34" s="3822"/>
      <c r="AQ34" s="1709">
        <f>IF(AB34="",0,VLOOKUP(AB34,Tablas!$D$816:$G$905,4,FALSE))</f>
        <v>0</v>
      </c>
      <c r="AR34" s="1362"/>
      <c r="AS34" s="1308"/>
      <c r="AT34" s="2759">
        <v>5</v>
      </c>
      <c r="AU34" s="2759" t="s">
        <v>1589</v>
      </c>
      <c r="AV34" s="1986"/>
      <c r="AW34" s="1986" t="s">
        <v>1464</v>
      </c>
      <c r="AX34" s="1986" t="s">
        <v>1464</v>
      </c>
      <c r="AY34" s="1986" t="s">
        <v>1464</v>
      </c>
      <c r="AZ34" s="1986" t="s">
        <v>1464</v>
      </c>
      <c r="BA34" s="1986" t="s">
        <v>1464</v>
      </c>
      <c r="BB34" s="1986" t="s">
        <v>1464</v>
      </c>
      <c r="BC34" s="2755">
        <f>E50</f>
        <v>0</v>
      </c>
      <c r="BD34" s="2755">
        <f>P50</f>
        <v>0</v>
      </c>
      <c r="BE34" s="2755">
        <f>E59</f>
        <v>0</v>
      </c>
      <c r="BF34" s="2755">
        <f>P59</f>
        <v>0</v>
      </c>
      <c r="BG34" s="2759"/>
      <c r="BH34" s="1986"/>
      <c r="BI34" s="1986"/>
    </row>
    <row r="35" spans="1:61" ht="12" customHeight="1" x14ac:dyDescent="0.2">
      <c r="A35" s="10"/>
      <c r="B35" s="1323"/>
      <c r="C35" s="3872" t="s">
        <v>8953</v>
      </c>
      <c r="D35" s="3873"/>
      <c r="E35" s="3875"/>
      <c r="F35" s="3876"/>
      <c r="G35" s="3877"/>
      <c r="H35" s="2039" t="s">
        <v>1401</v>
      </c>
      <c r="I35" s="2040" t="s">
        <v>1573</v>
      </c>
      <c r="J35" s="3878" t="s">
        <v>1574</v>
      </c>
      <c r="K35" s="3878"/>
      <c r="L35" s="2041" t="s">
        <v>1575</v>
      </c>
      <c r="M35" s="1705" t="str">
        <f>IF(C35=INDEX(Lista_ManosArma,2),Lista_A2Manos,Lista_A1Mano)</f>
        <v>Tablas!$AB$632:$AB$744</v>
      </c>
      <c r="N35" s="3872" t="s">
        <v>8953</v>
      </c>
      <c r="O35" s="3873"/>
      <c r="P35" s="3875"/>
      <c r="Q35" s="3876"/>
      <c r="R35" s="3877"/>
      <c r="S35" s="2039" t="s">
        <v>1401</v>
      </c>
      <c r="T35" s="2040" t="s">
        <v>1573</v>
      </c>
      <c r="U35" s="3878" t="s">
        <v>1574</v>
      </c>
      <c r="V35" s="3878"/>
      <c r="W35" s="2041" t="s">
        <v>1575</v>
      </c>
      <c r="X35" s="1705" t="str">
        <f>IF(N35=INDEX(Lista_ManosArma,2),Lista_A2Manos,Lista_A1Mano)</f>
        <v>Tablas!$AB$632:$AB$744</v>
      </c>
      <c r="Y35" s="10"/>
      <c r="Z35" s="10"/>
      <c r="AA35" s="1270"/>
      <c r="AB35" s="3817" t="str">
        <f>IF(PDs!$AD60=0,"",PDs!$AD60)</f>
        <v/>
      </c>
      <c r="AC35" s="3818"/>
      <c r="AD35" s="3818"/>
      <c r="AE35" s="3818"/>
      <c r="AF35" s="3821" t="str">
        <f t="shared" si="8"/>
        <v/>
      </c>
      <c r="AG35" s="3818"/>
      <c r="AH35" s="3818"/>
      <c r="AI35" s="3818"/>
      <c r="AJ35" s="3818"/>
      <c r="AK35" s="3818"/>
      <c r="AL35" s="3818"/>
      <c r="AM35" s="3818"/>
      <c r="AN35" s="3818"/>
      <c r="AO35" s="3818"/>
      <c r="AP35" s="3822"/>
      <c r="AQ35" s="1709">
        <f>IF(AB35="",0,VLOOKUP(AB35,Tablas!$D$816:$G$905,4,FALSE))</f>
        <v>0</v>
      </c>
      <c r="AR35" s="1362"/>
      <c r="AS35" s="1308"/>
      <c r="AT35" s="2759">
        <v>6</v>
      </c>
      <c r="AU35" s="2759" t="s">
        <v>9021</v>
      </c>
      <c r="AV35" s="2755"/>
      <c r="AW35" s="2755" t="s">
        <v>1464</v>
      </c>
      <c r="AX35" s="2755" t="s">
        <v>1464</v>
      </c>
      <c r="AY35" s="2755" t="s">
        <v>1464</v>
      </c>
      <c r="AZ35" s="2755" t="s">
        <v>1464</v>
      </c>
      <c r="BA35" s="2755" t="s">
        <v>1464</v>
      </c>
      <c r="BB35" s="2755" t="s">
        <v>1464</v>
      </c>
      <c r="BC35" s="2755">
        <f>J53</f>
        <v>0</v>
      </c>
      <c r="BD35" s="2755">
        <f>U53</f>
        <v>0</v>
      </c>
      <c r="BE35" s="2755">
        <f>J62</f>
        <v>0</v>
      </c>
      <c r="BF35" s="2755">
        <f>U62</f>
        <v>0</v>
      </c>
      <c r="BG35" s="2759"/>
      <c r="BH35" s="1986"/>
      <c r="BI35" s="1986"/>
    </row>
    <row r="36" spans="1:61" ht="12" customHeight="1" x14ac:dyDescent="0.2">
      <c r="A36" s="10"/>
      <c r="B36" s="1323"/>
      <c r="C36" s="3870" t="str">
        <f>IF(E35=0,"",VLOOKUP(E35,Tabla_ArmasyEscudos,9,FALSE))</f>
        <v/>
      </c>
      <c r="D36" s="3871"/>
      <c r="E36" s="2042" t="s">
        <v>1585</v>
      </c>
      <c r="F36" s="3946" t="s">
        <v>1586</v>
      </c>
      <c r="G36" s="3947"/>
      <c r="H36" s="3948">
        <f>IFERROR(INDEX(Tabla_Combate,$AT$41,LEFT(C34,LEN(C34)-1)),0)</f>
        <v>0</v>
      </c>
      <c r="I36" s="3879">
        <f>IFERROR(INDEX(Tabla_Combate,$AT$42,LEFT(C34,LEN(C34)-1)),0)</f>
        <v>0</v>
      </c>
      <c r="J36" s="3881">
        <f>IF(K36="-",0,IF(K36="Par",INDEX(Tabla_Combate,$AT$43,LEFT(C34,LEN(C34)-1)),INDEX(Tabla_Combate,$AT$44,LEFT(C34,LEN(C34)-1))))</f>
        <v>0</v>
      </c>
      <c r="K36" s="3130" t="str">
        <f>IFERROR(IF(INDEX(Tabla_Combate,$AT$43,LEFT(C34,LEN(C34)-1))&gt;INDEX(Tabla_Combate,$AT$44,LEFT(C34,LEN(C34)-1)),"Par","Esq"),"-")</f>
        <v>-</v>
      </c>
      <c r="L36" s="3888">
        <f>IFERROR(INDEX(Tabla_Combate,$AT$45,LEFT(C34,LEN(C34)-1)),0)</f>
        <v>0</v>
      </c>
      <c r="M36" s="838"/>
      <c r="N36" s="3870" t="str">
        <f>IF(P35=0,"",VLOOKUP(P35,Tabla_ArmasyEscudos,9,FALSE))</f>
        <v/>
      </c>
      <c r="O36" s="3871"/>
      <c r="P36" s="2042" t="s">
        <v>1585</v>
      </c>
      <c r="Q36" s="3946" t="s">
        <v>1586</v>
      </c>
      <c r="R36" s="3947"/>
      <c r="S36" s="3948">
        <f>IFERROR(INDEX(Tabla_Combate,$AT$41,LEFT(N34,LEN(N34)-1)),0)</f>
        <v>0</v>
      </c>
      <c r="T36" s="3879">
        <f>IFERROR(INDEX(Tabla_Combate,$AT$42,LEFT(N34,LEN(N34)-1)),0)</f>
        <v>0</v>
      </c>
      <c r="U36" s="3881">
        <f>IF(V36="-",0,IF(V36="Par",INDEX(Tabla_Combate,$AT$43,LEFT(N34,LEN(N34)-1)),INDEX(Tabla_Combate,$AT$44,LEFT(N34,LEN(N34)-1))))</f>
        <v>0</v>
      </c>
      <c r="V36" s="3130" t="str">
        <f>IFERROR(IF(INDEX(Tabla_Combate,$AT$43,LEFT(N34,LEN(N34)-1))&gt;INDEX(Tabla_Combate,$AT$44,LEFT(N34,LEN(N34)-1)),"Par","Esq"),"-")</f>
        <v>-</v>
      </c>
      <c r="W36" s="3888">
        <f>IFERROR(INDEX(Tabla_Combate,$AT$45,LEFT(N34,LEN(N34)-1)),0)</f>
        <v>0</v>
      </c>
      <c r="X36" s="838"/>
      <c r="Y36" s="10"/>
      <c r="Z36" s="10"/>
      <c r="AA36" s="1270"/>
      <c r="AB36" s="3817" t="str">
        <f>IF(PDs!$AD61=0,"",PDs!$AD61)</f>
        <v/>
      </c>
      <c r="AC36" s="3818"/>
      <c r="AD36" s="3818"/>
      <c r="AE36" s="3818"/>
      <c r="AF36" s="3821" t="str">
        <f t="shared" si="8"/>
        <v/>
      </c>
      <c r="AG36" s="3818"/>
      <c r="AH36" s="3818"/>
      <c r="AI36" s="3818"/>
      <c r="AJ36" s="3818"/>
      <c r="AK36" s="3818"/>
      <c r="AL36" s="3818"/>
      <c r="AM36" s="3818"/>
      <c r="AN36" s="3818"/>
      <c r="AO36" s="3818"/>
      <c r="AP36" s="3822"/>
      <c r="AQ36" s="1709">
        <f>IF(AB36="",0,VLOOKUP(AB36,Tablas!$D$816:$G$905,4,FALSE))</f>
        <v>0</v>
      </c>
      <c r="AR36" s="1362"/>
      <c r="AS36" s="1308"/>
      <c r="AT36" s="2759">
        <v>7</v>
      </c>
      <c r="AU36" s="2759" t="s">
        <v>9918</v>
      </c>
      <c r="AV36" s="2759"/>
      <c r="AW36" s="2759" t="str">
        <f>IF($C31="","","("&amp;$C31&amp;IF($D31="-",""," / "&amp;$D31)&amp;")")</f>
        <v>(PEN)</v>
      </c>
      <c r="AX36" s="2759" t="str">
        <f>IF($N31="","","("&amp;$N31&amp;IF($O31="-",""," / "&amp;$O31)&amp;")")</f>
        <v/>
      </c>
      <c r="AY36" s="2759" t="str">
        <f>IF($C38="","","("&amp;$C38&amp;IF($D38="-",""," / "&amp;$D38)&amp;")")</f>
        <v/>
      </c>
      <c r="AZ36" s="2759" t="str">
        <f>IF($N38="","","("&amp;$N38&amp;IF($O38="-",""," / "&amp;$O38)&amp;")")</f>
        <v/>
      </c>
      <c r="BA36" s="2759" t="str">
        <f>IF($C45="","","("&amp;$C45&amp;IF($D45="-",""," / "&amp;$D45)&amp;")")</f>
        <v/>
      </c>
      <c r="BB36" s="2759" t="str">
        <f>IF($N45="","","("&amp;$N45&amp;IF($O45="-",""," / "&amp;$O45)&amp;")")</f>
        <v/>
      </c>
      <c r="BC36" s="2759" t="str">
        <f>IF($C53="","","("&amp;$C53&amp;IF($D53="-",""," / "&amp;$D53)&amp;")")</f>
        <v/>
      </c>
      <c r="BD36" s="2759" t="str">
        <f>IF($N53="","","("&amp;$N53&amp;IF($O53="-",""," / "&amp;$O53)&amp;")")</f>
        <v/>
      </c>
      <c r="BE36" s="2759" t="str">
        <f>IF($C62="","","("&amp;$C62&amp;IF($D62="-",""," / "&amp;$D62)&amp;")")</f>
        <v/>
      </c>
      <c r="BF36" s="2759" t="str">
        <f>IF($N62="","","("&amp;$N62&amp;IF($O62="-",""," / "&amp;$O62)&amp;")")</f>
        <v/>
      </c>
      <c r="BG36" s="2759"/>
      <c r="BH36" s="1986"/>
      <c r="BI36" s="1986"/>
    </row>
    <row r="37" spans="1:61" ht="12" customHeight="1" x14ac:dyDescent="0.2">
      <c r="A37" s="10"/>
      <c r="B37" s="1323"/>
      <c r="C37" s="1195" t="s">
        <v>1577</v>
      </c>
      <c r="D37" s="82" t="s">
        <v>1578</v>
      </c>
      <c r="E37" s="82" t="s">
        <v>1566</v>
      </c>
      <c r="F37" s="82" t="s">
        <v>1579</v>
      </c>
      <c r="G37" s="82" t="s">
        <v>1567</v>
      </c>
      <c r="H37" s="3948"/>
      <c r="I37" s="3880"/>
      <c r="J37" s="3882"/>
      <c r="K37" s="3887"/>
      <c r="L37" s="3889"/>
      <c r="M37" s="838"/>
      <c r="N37" s="1195" t="s">
        <v>1577</v>
      </c>
      <c r="O37" s="82" t="s">
        <v>1578</v>
      </c>
      <c r="P37" s="82" t="s">
        <v>1566</v>
      </c>
      <c r="Q37" s="82" t="s">
        <v>1579</v>
      </c>
      <c r="R37" s="82" t="s">
        <v>1567</v>
      </c>
      <c r="S37" s="3948"/>
      <c r="T37" s="3880"/>
      <c r="U37" s="3882"/>
      <c r="V37" s="3887"/>
      <c r="W37" s="3889"/>
      <c r="X37" s="838"/>
      <c r="Y37" s="10"/>
      <c r="Z37" s="10"/>
      <c r="AA37" s="1270"/>
      <c r="AB37" s="3815" t="str">
        <f>IF(PDs!$AD62=0,"",PDs!$AD62)</f>
        <v/>
      </c>
      <c r="AC37" s="3816"/>
      <c r="AD37" s="3816"/>
      <c r="AE37" s="3816"/>
      <c r="AF37" s="3821" t="str">
        <f t="shared" si="8"/>
        <v/>
      </c>
      <c r="AG37" s="3818"/>
      <c r="AH37" s="3818"/>
      <c r="AI37" s="3818"/>
      <c r="AJ37" s="3818"/>
      <c r="AK37" s="3818"/>
      <c r="AL37" s="3818"/>
      <c r="AM37" s="3818"/>
      <c r="AN37" s="3818"/>
      <c r="AO37" s="3818"/>
      <c r="AP37" s="3822"/>
      <c r="AQ37" s="1709">
        <f>IF(AB37="",0,VLOOKUP(AB37,Tablas!$D$816:$G$905,4,FALSE))</f>
        <v>0</v>
      </c>
      <c r="AR37" s="1362"/>
      <c r="AS37" s="1308"/>
      <c r="AT37" s="2759">
        <v>8</v>
      </c>
      <c r="AU37" s="2759" t="s">
        <v>8985</v>
      </c>
      <c r="AV37" s="2755"/>
      <c r="AW37" s="2755" t="str">
        <f>C28</f>
        <v>A una mano</v>
      </c>
      <c r="AX37" s="2755" t="str">
        <f>N28</f>
        <v>A una mano</v>
      </c>
      <c r="AY37" s="2755" t="str">
        <f>C35</f>
        <v>A una mano</v>
      </c>
      <c r="AZ37" s="2755" t="str">
        <f>N35</f>
        <v>A una mano</v>
      </c>
      <c r="BA37" s="2755" t="str">
        <f>C42</f>
        <v>A una mano</v>
      </c>
      <c r="BB37" s="2755" t="str">
        <f>N42</f>
        <v>A una mano</v>
      </c>
      <c r="BC37" s="2755" t="str">
        <f>C49</f>
        <v>A una mano</v>
      </c>
      <c r="BD37" s="2755" t="str">
        <f>N49</f>
        <v>A una mano</v>
      </c>
      <c r="BE37" s="2755" t="str">
        <f>C58</f>
        <v>A una mano</v>
      </c>
      <c r="BF37" s="2755" t="str">
        <f>N58</f>
        <v>A una mano</v>
      </c>
      <c r="BG37" s="2759"/>
      <c r="BH37" s="1986"/>
      <c r="BI37" s="1986"/>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IF(E35=0,"",MAX(0,IF(Extensióndelauraalarma,5,0)+J38*2/5+VLOOKUP(E35,Tabla_ArmasyEscudos,11,FALSE)+IF(F36=0,0,VLOOKUP(F36,Tabla_ArmasEnormes,7,FALSE))+IF(FUE=0,0,VLOOKUP(FUE,Tabla_Fuerza,2))))</f>
        <v/>
      </c>
      <c r="G38" s="1280">
        <f>IF(E35=0,0,MAX(J38*10,0)+VLOOKUP(E35,Tabla_ArmasyEscudos,12,FALSE))</f>
        <v>0</v>
      </c>
      <c r="H38" s="3975" t="s">
        <v>8955</v>
      </c>
      <c r="I38" s="3976"/>
      <c r="J38" s="1712"/>
      <c r="K38" s="3977" t="s">
        <v>8607</v>
      </c>
      <c r="L38" s="3978"/>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IF(P35=0,"",MAX(0,IF(Extensióndelauraalarma,5,0)+U38*2/5+VLOOKUP(P35,Tabla_ArmasyEscudos,11,FALSE)+IF(Q36=0,0,VLOOKUP(Q36,Tabla_ArmasEnormes,7,FALSE))+IF(FUE=0,0,VLOOKUP(FUE,Tabla_Fuerza,2))))</f>
        <v/>
      </c>
      <c r="R38" s="1280">
        <f>IF(P35=0,0,MAX(U38*10,0)+VLOOKUP(P35,Tabla_ArmasyEscudos,12,FALSE))</f>
        <v>0</v>
      </c>
      <c r="S38" s="3975" t="s">
        <v>8955</v>
      </c>
      <c r="T38" s="3976"/>
      <c r="U38" s="1712"/>
      <c r="V38" s="3977" t="s">
        <v>8607</v>
      </c>
      <c r="W38" s="3978"/>
      <c r="X38" s="838"/>
      <c r="Y38" s="10"/>
      <c r="Z38" s="10"/>
      <c r="AA38" s="1270"/>
      <c r="AB38" s="3815" t="str">
        <f>IF(PDs!$AD63=0,"",PDs!$AD63)</f>
        <v/>
      </c>
      <c r="AC38" s="3816"/>
      <c r="AD38" s="3816"/>
      <c r="AE38" s="3816"/>
      <c r="AF38" s="3821" t="str">
        <f t="shared" si="8"/>
        <v/>
      </c>
      <c r="AG38" s="3818"/>
      <c r="AH38" s="3818"/>
      <c r="AI38" s="3818"/>
      <c r="AJ38" s="3818"/>
      <c r="AK38" s="3818"/>
      <c r="AL38" s="3818"/>
      <c r="AM38" s="3818"/>
      <c r="AN38" s="3818"/>
      <c r="AO38" s="3818"/>
      <c r="AP38" s="3822"/>
      <c r="AQ38" s="1709">
        <f>IF(AB38="",0,VLOOKUP(AB38,Tablas!$D$816:$G$905,4,FALSE))</f>
        <v>0</v>
      </c>
      <c r="AR38" s="1362"/>
      <c r="AS38" s="1308"/>
      <c r="AT38" s="2759">
        <v>9</v>
      </c>
      <c r="AU38" s="2759" t="s">
        <v>8986</v>
      </c>
      <c r="AV38" s="2755"/>
      <c r="AW38" s="2755" t="str">
        <f>IF(COUNTIF($R$22:$T$25,Tablas!A$1&amp;". "&amp;AW30)&gt;0,"Hábil",IF(COUNTIF($U$22:$W$25,Tablas!A$1&amp;". "&amp;AW30)&gt;0,"Torpe","Única"))</f>
        <v>Única</v>
      </c>
      <c r="AX38" s="2755" t="str">
        <f>IF(COUNTIF($R$22:$T$25,Tablas!B$1&amp;". "&amp;AX30)&gt;0,"Hábil",IF(COUNTIF($U$22:$W$25,Tablas!B$1&amp;". "&amp;AX30)&gt;0,"Torpe","Única"))</f>
        <v>Única</v>
      </c>
      <c r="AY38" s="2755" t="str">
        <f>IF(COUNTIF($R$22:$T$25,Tablas!C$1&amp;". "&amp;AY30)&gt;0,"Hábil",IF(COUNTIF($U$22:$W$25,Tablas!C$1&amp;". "&amp;AY30)&gt;0,"Torpe","Única"))</f>
        <v>Única</v>
      </c>
      <c r="AZ38" s="2755" t="str">
        <f>IF(COUNTIF($R$22:$T$25,Tablas!D$1&amp;". "&amp;AZ30)&gt;0,"Hábil",IF(COUNTIF($U$22:$W$25,Tablas!D$1&amp;". "&amp;AZ30)&gt;0,"Torpe","Única"))</f>
        <v>Única</v>
      </c>
      <c r="BA38" s="2755" t="str">
        <f>IF(COUNTIF($R$22:$T$25,Tablas!E$1&amp;". "&amp;BA30)&gt;0,"Hábil",IF(COUNTIF($U$22:$W$25,Tablas!E$1&amp;". "&amp;BA30)&gt;0,"Torpe","Única"))</f>
        <v>Única</v>
      </c>
      <c r="BB38" s="2755" t="str">
        <f>IF(COUNTIF($R$22:$T$25,Tablas!F$1&amp;". "&amp;BB30)&gt;0,"Hábil",IF(COUNTIF($U$22:$W$25,Tablas!F$1&amp;". "&amp;BB30)&gt;0,"Torpe","Única"))</f>
        <v>Única</v>
      </c>
      <c r="BC38" s="2755" t="str">
        <f>IF(COUNTIF($R$22:$T$25,Tablas!G$1&amp;". "&amp;BC30)&gt;0,"Hábil",IF(COUNTIF($U$22:$W$25,Tablas!G$1&amp;". "&amp;BC30)&gt;0,"Torpe","Única"))</f>
        <v>Única</v>
      </c>
      <c r="BD38" s="2755" t="str">
        <f>IF(COUNTIF($R$22:$T$25,Tablas!H$1&amp;". "&amp;BD30)&gt;0,"Hábil",IF(COUNTIF($U$22:$W$25,Tablas!H$1&amp;". "&amp;BD30)&gt;0,"Torpe","Única"))</f>
        <v>Única</v>
      </c>
      <c r="BE38" s="2755" t="str">
        <f>IF(COUNTIF($R$22:$T$25,Tablas!I$1&amp;". "&amp;BE30)&gt;0,"Hábil",IF(COUNTIF($U$22:$W$25,Tablas!I$1&amp;". "&amp;BE30)&gt;0,"Torpe","Única"))</f>
        <v>Única</v>
      </c>
      <c r="BF38" s="2755" t="str">
        <f>IF(COUNTIF($R$22:$T$25,Tablas!J$1&amp;". "&amp;BF30)&gt;0,"Hábil",IF(COUNTIF($U$22:$W$25,Tablas!J$1&amp;". "&amp;BF30)&gt;0,"Torpe","Única"))</f>
        <v>Única</v>
      </c>
      <c r="BG38" s="2759"/>
      <c r="BH38" s="1986"/>
      <c r="BI38" s="1986"/>
    </row>
    <row r="39" spans="1:61" ht="12" customHeight="1" thickBot="1" x14ac:dyDescent="0.25">
      <c r="A39" s="10"/>
      <c r="B39" s="1323"/>
      <c r="C39" s="3979" t="str">
        <f>IF(E35=0,"",IF(VLOOKUP(E35,Tabla_ArmasyEscudos,17,FALSE)&lt;&gt;"-",D40,C40))</f>
        <v/>
      </c>
      <c r="D39" s="3980"/>
      <c r="E39" s="3980"/>
      <c r="F39" s="3980"/>
      <c r="G39" s="3980"/>
      <c r="H39" s="3980"/>
      <c r="I39" s="1666"/>
      <c r="J39" s="1667" t="str">
        <f>IF(F36=0,IF(J38&lt;=0,"","TA defensor: -"&amp;J38/5),IF(Tamaño&lt;VLOOKUP(F36,Tabla_ArmasEnormes,2,FALSE),"Tam. excesivo",IF(J38&lt;=0,"","TA defensor: -"&amp;J38/5)))</f>
        <v/>
      </c>
      <c r="K39" s="3981" t="s">
        <v>1389</v>
      </c>
      <c r="L39" s="3982"/>
      <c r="M39" s="838"/>
      <c r="N39" s="3979" t="str">
        <f>IF(P35=0,"",IF(VLOOKUP(P35,Tabla_ArmasyEscudos,17,FALSE)&lt;&gt;"-",O40,N40))</f>
        <v/>
      </c>
      <c r="O39" s="3980"/>
      <c r="P39" s="3980"/>
      <c r="Q39" s="3980"/>
      <c r="R39" s="3980"/>
      <c r="S39" s="3980"/>
      <c r="T39" s="1666"/>
      <c r="U39" s="1667" t="str">
        <f>IF(Q36=0,IF(U38&lt;=0,"","TA defensor: -"&amp;U38/5),IF(Tamaño&lt;VLOOKUP(Q36,Tabla_ArmasEnormes,2,FALSE),"Tam. excesivo",IF(U38&lt;=0,"","TA defensor: -"&amp;U38/5)))</f>
        <v/>
      </c>
      <c r="V39" s="3981" t="s">
        <v>1389</v>
      </c>
      <c r="W39" s="3982"/>
      <c r="X39" s="838"/>
      <c r="Y39" s="10"/>
      <c r="Z39" s="10"/>
      <c r="AA39" s="1270"/>
      <c r="AB39" s="3815" t="str">
        <f>IF(PDs!$AD64=0,"",PDs!$AD64)</f>
        <v/>
      </c>
      <c r="AC39" s="3816"/>
      <c r="AD39" s="3816"/>
      <c r="AE39" s="3816"/>
      <c r="AF39" s="3821" t="str">
        <f t="shared" si="8"/>
        <v/>
      </c>
      <c r="AG39" s="3818"/>
      <c r="AH39" s="3818"/>
      <c r="AI39" s="3818"/>
      <c r="AJ39" s="3818"/>
      <c r="AK39" s="3818"/>
      <c r="AL39" s="3818"/>
      <c r="AM39" s="3818"/>
      <c r="AN39" s="3818"/>
      <c r="AO39" s="3818"/>
      <c r="AP39" s="3822"/>
      <c r="AQ39" s="1709">
        <f>IF(AB39="",0,VLOOKUP(AB39,Tablas!$D$816:$G$905,4,FALSE))</f>
        <v>0</v>
      </c>
      <c r="AR39" s="1362"/>
      <c r="AS39" s="1308"/>
      <c r="AT39" s="2759">
        <v>10</v>
      </c>
      <c r="AU39" s="2759" t="s">
        <v>8966</v>
      </c>
      <c r="AV39" s="2755"/>
      <c r="AW39" s="2755" t="str">
        <f>IFERROR(LEFT(VLOOKUP(Tablas!A$1&amp;". "&amp;AW$30,$R$22:$W$25,4,FALSE),SEARCH(".",VLOOKUP(Tablas!A$1&amp;". "&amp;AW$30,$R$22:$W$25,4,FALSE))-1),"-")</f>
        <v>-</v>
      </c>
      <c r="AX39" s="2755" t="str">
        <f>IFERROR(LEFT(VLOOKUP(Tablas!B$1&amp;". "&amp;AX$30,$R$22:$W$25,4,FALSE),SEARCH(".",VLOOKUP(Tablas!B$1&amp;". "&amp;AX$30,$R$22:$W$25,4,FALSE))-1),"-")</f>
        <v>-</v>
      </c>
      <c r="AY39" s="2755" t="str">
        <f>IFERROR(LEFT(VLOOKUP(Tablas!C$1&amp;". "&amp;AY$30,$R$22:$W$25,4,FALSE),SEARCH(".",VLOOKUP(Tablas!C$1&amp;". "&amp;AY$30,$R$22:$W$25,4,FALSE))-1),"-")</f>
        <v>-</v>
      </c>
      <c r="AZ39" s="2755" t="str">
        <f>IFERROR(LEFT(VLOOKUP(Tablas!D$1&amp;". "&amp;AZ$30,$R$22:$W$25,4,FALSE),SEARCH(".",VLOOKUP(Tablas!D$1&amp;". "&amp;AZ$30,$R$22:$W$25,4,FALSE))-1),"-")</f>
        <v>-</v>
      </c>
      <c r="BA39" s="2755" t="str">
        <f>IFERROR(LEFT(VLOOKUP(Tablas!E$1&amp;". "&amp;BA$30,$R$22:$W$25,4,FALSE),SEARCH(".",VLOOKUP(Tablas!E$1&amp;". "&amp;BA$30,$R$22:$W$25,4,FALSE))-1),"-")</f>
        <v>-</v>
      </c>
      <c r="BB39" s="2755" t="str">
        <f>IFERROR(LEFT(VLOOKUP(Tablas!F$1&amp;". "&amp;BB$30,$R$22:$W$25,4,FALSE),SEARCH(".",VLOOKUP(Tablas!F$1&amp;". "&amp;BB$30,$R$22:$W$25,4,FALSE))-1),"-")</f>
        <v>-</v>
      </c>
      <c r="BC39" s="2755" t="str">
        <f>IFERROR(LEFT(VLOOKUP(Tablas!G$1&amp;". "&amp;BC$30,$R$22:$W$25,4,FALSE),SEARCH(".",VLOOKUP(Tablas!G$1&amp;". "&amp;BC$30,$R$22:$W$25,4,FALSE))-1),"-")</f>
        <v>-</v>
      </c>
      <c r="BD39" s="2755" t="str">
        <f>IFERROR(LEFT(VLOOKUP(Tablas!H$1&amp;". "&amp;BD$30,$R$22:$W$25,4,FALSE),SEARCH(".",VLOOKUP(Tablas!H$1&amp;". "&amp;BD$30,$R$22:$W$25,4,FALSE))-1),"-")</f>
        <v>-</v>
      </c>
      <c r="BE39" s="2755" t="str">
        <f>IFERROR(LEFT(VLOOKUP(Tablas!I$1&amp;". "&amp;BE$30,$R$22:$W$25,4,FALSE),SEARCH(".",VLOOKUP(Tablas!I$1&amp;". "&amp;BE$30,$R$22:$W$25,4,FALSE))-1),"-")</f>
        <v>-</v>
      </c>
      <c r="BF39" s="2755" t="str">
        <f>IFERROR(LEFT(VLOOKUP(Tablas!J$1&amp;". "&amp;BF$30,$R$22:$W$25,4,FALSE),SEARCH(".",VLOOKUP(Tablas!J$1&amp;". "&amp;BF$30,$R$22:$W$25,4,FALSE))-1),"-")</f>
        <v>-</v>
      </c>
      <c r="BG39" s="2759"/>
      <c r="BH39" s="1986"/>
      <c r="BI39" s="1986"/>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815" t="str">
        <f>IF(PDs!$AD65=0,"",PDs!$AD65)</f>
        <v/>
      </c>
      <c r="AC40" s="3816"/>
      <c r="AD40" s="3816"/>
      <c r="AE40" s="3816"/>
      <c r="AF40" s="3821" t="str">
        <f t="shared" si="8"/>
        <v/>
      </c>
      <c r="AG40" s="3818"/>
      <c r="AH40" s="3818"/>
      <c r="AI40" s="3818"/>
      <c r="AJ40" s="3818"/>
      <c r="AK40" s="3818"/>
      <c r="AL40" s="3818"/>
      <c r="AM40" s="3818"/>
      <c r="AN40" s="3818"/>
      <c r="AO40" s="3818"/>
      <c r="AP40" s="3822"/>
      <c r="AQ40" s="1650">
        <f>IF(AB40="",0,VLOOKUP(AB40,Tablas!$D$816:$G$905,4,FALSE))</f>
        <v>0</v>
      </c>
      <c r="AR40" s="1362"/>
      <c r="AS40" s="1308"/>
      <c r="AT40" s="2759">
        <v>11</v>
      </c>
      <c r="AU40" s="2759" t="s">
        <v>8987</v>
      </c>
      <c r="AV40" s="2755"/>
      <c r="AW40" s="2755">
        <f>Turno_Nat_final-20+AW$31+VLOOKUP(AW$30,Tabla_ArmasyEscudos,3,FALSE)+IF(AW$33=0,0,IF(Tamaño&lt;VLOOKUP(AW$33,Tabla_ArmasEnormes,3,FALSE),-40,0))+INDEX(Personalización!$AA$7:$AJ$15,IF(ISEVEN(AW29),6,1),IF(ISEVEN(AW29),AW29-1,AW29))</f>
        <v>35</v>
      </c>
      <c r="AX40" s="2755" t="e">
        <f>Turno_Nat_final-20+AX$31+VLOOKUP(AX$30,Tabla_ArmasyEscudos,3,FALSE)+IF(AX$33=0,0,IF(Tamaño&lt;VLOOKUP(AX$33,Tabla_ArmasEnormes,3,FALSE),-40,0))+INDEX(Personalización!$AA$7:$AJ$15,IF(ISEVEN(AX29),6,1),IF(ISEVEN(AX29),AX29-1,AX29))</f>
        <v>#N/A</v>
      </c>
      <c r="AY40" s="2755" t="e">
        <f>Turno_Nat_final-20+AY$31+VLOOKUP(AY$30,Tabla_ArmasyEscudos,3,FALSE)+IF(AY$33=0,0,IF(Tamaño&lt;VLOOKUP(AY$33,Tabla_ArmasEnormes,3,FALSE),-40,0))+INDEX(Personalización!$AA$7:$AJ$15,IF(ISEVEN(AY29),6,1),IF(ISEVEN(AY29),AY29-1,AY29))</f>
        <v>#N/A</v>
      </c>
      <c r="AZ40" s="2755" t="e">
        <f>Turno_Nat_final-20+AZ$31+VLOOKUP(AZ$30,Tabla_ArmasyEscudos,3,FALSE)+IF(AZ$33=0,0,IF(Tamaño&lt;VLOOKUP(AZ$33,Tabla_ArmasEnormes,3,FALSE),-40,0))+INDEX(Personalización!$AA$7:$AJ$15,IF(ISEVEN(AZ29),6,1),IF(ISEVEN(AZ29),AZ29-1,AZ29))</f>
        <v>#N/A</v>
      </c>
      <c r="BA40" s="2755" t="e">
        <f>Turno_Nat_final-20+BA$31+VLOOKUP(BA$30,Tabla_ArmasyEscudos,3,FALSE)+IF(BA$33=0,0,IF(Tamaño&lt;VLOOKUP(BA$33,Tabla_ArmasEnormes,3,FALSE),-40,0))+INDEX(Personalización!$AA$7:$AJ$15,IF(ISEVEN(BA29),6,1),IF(ISEVEN(BA29),BA29-1,BA29))</f>
        <v>#N/A</v>
      </c>
      <c r="BB40" s="2755" t="e">
        <f>Turno_Nat_final-20+BB$31+VLOOKUP(BB$30,Tabla_ArmasyEscudos,3,FALSE)+IF(BB$33=0,0,IF(Tamaño&lt;VLOOKUP(BB$33,Tabla_ArmasEnormes,3,FALSE),-40,0))+INDEX(Personalización!$AA$7:$AJ$15,IF(ISEVEN(BB29),6,1),IF(ISEVEN(BB29),BB29-1,BB29))</f>
        <v>#N/A</v>
      </c>
      <c r="BC40" s="2755" t="e">
        <f>Turno_Nat_final-20+BC$31+VLOOKUP(BC$30,Tabla_ArmasyEscudos,3,FALSE)+IF(BC$33=0,0,IF(Tamaño&lt;VLOOKUP(BC$33,Tabla_ArmasEnormes,3,FALSE),-40,0))+INDEX(Personalización!$AA$7:$AJ$15,IF(ISEVEN(BC29),6,1),IF(ISEVEN(BC29),BC29-1,BC29))</f>
        <v>#N/A</v>
      </c>
      <c r="BD40" s="2755" t="e">
        <f>Turno_Nat_final-20+BD$31+VLOOKUP(BD$30,Tabla_ArmasyEscudos,3,FALSE)+IF(BD$33=0,0,IF(Tamaño&lt;VLOOKUP(BD$33,Tabla_ArmasEnormes,3,FALSE),-40,0))+INDEX(Personalización!$AA$7:$AJ$15,IF(ISEVEN(BD29),6,1),IF(ISEVEN(BD29),BD29-1,BD29))</f>
        <v>#N/A</v>
      </c>
      <c r="BE40" s="2755" t="e">
        <f>Turno_Nat_final-20+BE$31+VLOOKUP(BE$30,Tabla_ArmasyEscudos,3,FALSE)+IF(BE$33=0,0,IF(Tamaño&lt;VLOOKUP(BE$33,Tabla_ArmasEnormes,3,FALSE),-40,0))+INDEX(Personalización!$AA$7:$AJ$15,IF(ISEVEN(BE29),6,1),IF(ISEVEN(BE29),BE29-1,BE29))</f>
        <v>#N/A</v>
      </c>
      <c r="BF40" s="2755" t="e">
        <f>Turno_Nat_final-20+BF$31+VLOOKUP(BF$30,Tabla_ArmasyEscudos,3,FALSE)+IF(BF$33=0,0,IF(Tamaño&lt;VLOOKUP(BF$33,Tabla_ArmasEnormes,3,FALSE),-40,0))+INDEX(Personalización!$AA$7:$AJ$15,IF(ISEVEN(BF29),6,1),IF(ISEVEN(BF29),BF29-1,BF29))</f>
        <v>#N/A</v>
      </c>
      <c r="BG40" s="2759"/>
      <c r="BH40" s="1986"/>
      <c r="BI40" s="1986"/>
    </row>
    <row r="41" spans="1:61" ht="12" customHeight="1" thickBot="1" x14ac:dyDescent="0.25">
      <c r="A41" s="10"/>
      <c r="B41" s="1323"/>
      <c r="C41" s="1670" t="s">
        <v>8961</v>
      </c>
      <c r="D41" s="1665" t="str">
        <f>E42&amp;IF(COUNTIF($R$22:$T$25,C41&amp;" "&amp;E42)&gt;0,IFERROR(" y"&amp;MID(VLOOKUP(C41&amp;" "&amp;E42,$R$22:$W$25,4,FALSE),SEARCH(".",VLOOKUP(C41&amp;" "&amp;E42,$R$22:$W$25,4,FALSE))+1,100),""),"")</f>
        <v/>
      </c>
      <c r="E41" s="1665"/>
      <c r="F41" s="1665"/>
      <c r="G41" s="1665"/>
      <c r="H41" s="1665"/>
      <c r="I41" s="1665"/>
      <c r="J41" s="1665"/>
      <c r="K41" s="1665"/>
      <c r="L41" s="1706" t="s">
        <v>8979</v>
      </c>
      <c r="M41" s="838"/>
      <c r="N41" s="1670" t="s">
        <v>8971</v>
      </c>
      <c r="O41" s="1665" t="str">
        <f>P42&amp;IF(COUNTIF($R$22:$T$25,N41&amp;" "&amp;P42)&gt;0,IFERROR(" y"&amp;MID(VLOOKUP(N41&amp;" "&amp;P42,$R$22:$W$25,4,FALSE),SEARCH(".",VLOOKUP(N41&amp;" "&amp;P42,$R$22:$W$25,4,FALSE))+1,100),""),"")</f>
        <v/>
      </c>
      <c r="P41" s="1665"/>
      <c r="Q41" s="1665"/>
      <c r="R41" s="1665"/>
      <c r="S41" s="1665"/>
      <c r="T41" s="1665"/>
      <c r="U41" s="1665"/>
      <c r="V41" s="1665"/>
      <c r="W41" s="1706" t="s">
        <v>8979</v>
      </c>
      <c r="X41" s="838"/>
      <c r="Y41" s="10"/>
      <c r="Z41" s="10"/>
      <c r="AA41" s="1270"/>
      <c r="AB41" s="3815" t="str">
        <f>IF(PDs!$AD66=0,"",PDs!$AD66)</f>
        <v/>
      </c>
      <c r="AC41" s="3816"/>
      <c r="AD41" s="3816"/>
      <c r="AE41" s="3816"/>
      <c r="AF41" s="3821" t="str">
        <f t="shared" si="8"/>
        <v/>
      </c>
      <c r="AG41" s="3818"/>
      <c r="AH41" s="3818"/>
      <c r="AI41" s="3818"/>
      <c r="AJ41" s="3818"/>
      <c r="AK41" s="3818"/>
      <c r="AL41" s="3818"/>
      <c r="AM41" s="3818"/>
      <c r="AN41" s="3818"/>
      <c r="AO41" s="3818"/>
      <c r="AP41" s="3822"/>
      <c r="AQ41" s="1650">
        <f>IF(AB41="",0,VLOOKUP(AB41,Tablas!$D$816:$G$905,4,FALSE))</f>
        <v>0</v>
      </c>
      <c r="AR41" s="1362"/>
      <c r="AS41" s="1308"/>
      <c r="AT41" s="2759">
        <v>12</v>
      </c>
      <c r="AU41" s="2759" t="s">
        <v>8968</v>
      </c>
      <c r="AV41" s="2755"/>
      <c r="AW41" s="2755">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35</v>
      </c>
      <c r="AX41" s="2755" t="e">
        <f t="shared" si="9"/>
        <v>#N/A</v>
      </c>
      <c r="AY41" s="2755" t="e">
        <f t="shared" si="9"/>
        <v>#N/A</v>
      </c>
      <c r="AZ41" s="2755" t="e">
        <f t="shared" si="9"/>
        <v>#N/A</v>
      </c>
      <c r="BA41" s="2755" t="e">
        <f t="shared" si="9"/>
        <v>#N/A</v>
      </c>
      <c r="BB41" s="2755" t="e">
        <f t="shared" si="9"/>
        <v>#N/A</v>
      </c>
      <c r="BC41" s="2755" t="e">
        <f t="shared" si="9"/>
        <v>#N/A</v>
      </c>
      <c r="BD41" s="2755" t="e">
        <f t="shared" si="9"/>
        <v>#N/A</v>
      </c>
      <c r="BE41" s="2755" t="e">
        <f t="shared" si="9"/>
        <v>#N/A</v>
      </c>
      <c r="BF41" s="2755" t="e">
        <f t="shared" si="9"/>
        <v>#N/A</v>
      </c>
      <c r="BG41" s="2759"/>
      <c r="BH41" s="1986"/>
      <c r="BI41" s="1986"/>
    </row>
    <row r="42" spans="1:61" ht="12" customHeight="1" x14ac:dyDescent="0.2">
      <c r="A42" s="10"/>
      <c r="B42" s="1323"/>
      <c r="C42" s="3872" t="s">
        <v>8953</v>
      </c>
      <c r="D42" s="3873"/>
      <c r="E42" s="3875"/>
      <c r="F42" s="3876"/>
      <c r="G42" s="3877"/>
      <c r="H42" s="2039" t="s">
        <v>1401</v>
      </c>
      <c r="I42" s="2040" t="s">
        <v>1573</v>
      </c>
      <c r="J42" s="3878" t="s">
        <v>1574</v>
      </c>
      <c r="K42" s="3878"/>
      <c r="L42" s="2041" t="s">
        <v>1575</v>
      </c>
      <c r="M42" s="1705" t="str">
        <f>IF(C42=INDEX(Lista_ManosArma,2),Lista_A2Manos,Lista_A1Mano)</f>
        <v>Tablas!$AB$632:$AB$744</v>
      </c>
      <c r="N42" s="3872" t="s">
        <v>8953</v>
      </c>
      <c r="O42" s="3873"/>
      <c r="P42" s="3875"/>
      <c r="Q42" s="3876"/>
      <c r="R42" s="3877"/>
      <c r="S42" s="2039" t="s">
        <v>1401</v>
      </c>
      <c r="T42" s="2040" t="s">
        <v>1573</v>
      </c>
      <c r="U42" s="3878" t="s">
        <v>1574</v>
      </c>
      <c r="V42" s="3878"/>
      <c r="W42" s="2041" t="s">
        <v>1575</v>
      </c>
      <c r="X42" s="1705" t="str">
        <f>IF(N42=INDEX(Lista_ManosArma,2),Lista_A2Manos,Lista_A1Mano)</f>
        <v>Tablas!$AB$632:$AB$744</v>
      </c>
      <c r="Y42" s="10"/>
      <c r="Z42" s="10"/>
      <c r="AA42" s="1270"/>
      <c r="AB42" s="3815" t="str">
        <f>IF(PDs!$AD67=0,"",PDs!$AD67)</f>
        <v/>
      </c>
      <c r="AC42" s="3816"/>
      <c r="AD42" s="3816"/>
      <c r="AE42" s="3816"/>
      <c r="AF42" s="3821" t="str">
        <f t="shared" si="8"/>
        <v/>
      </c>
      <c r="AG42" s="3818"/>
      <c r="AH42" s="3818"/>
      <c r="AI42" s="3818"/>
      <c r="AJ42" s="3818"/>
      <c r="AK42" s="3818"/>
      <c r="AL42" s="3818"/>
      <c r="AM42" s="3818"/>
      <c r="AN42" s="3818"/>
      <c r="AO42" s="3818"/>
      <c r="AP42" s="3822"/>
      <c r="AQ42" s="1650">
        <f>IF(AB42="",0,VLOOKUP(AB42,Tablas!$D$816:$G$905,4,FALSE))</f>
        <v>0</v>
      </c>
      <c r="AR42" s="1362"/>
      <c r="AS42" s="1308"/>
      <c r="AT42" s="2759">
        <v>13</v>
      </c>
      <c r="AU42" s="2759" t="s">
        <v>8990</v>
      </c>
      <c r="AV42" s="2755"/>
      <c r="AW42" s="2755">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-20</v>
      </c>
      <c r="AX42" s="2755"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55"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55"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55"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55"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55"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55"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55"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55"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9"/>
      <c r="BH42" s="1986"/>
      <c r="BI42" s="1986"/>
    </row>
    <row r="43" spans="1:61" ht="12" customHeight="1" x14ac:dyDescent="0.2">
      <c r="A43" s="10"/>
      <c r="B43" s="1323"/>
      <c r="C43" s="3870" t="str">
        <f>IF(E42=0,"",VLOOKUP(E42,Tabla_ArmasyEscudos,9,FALSE))</f>
        <v/>
      </c>
      <c r="D43" s="3871"/>
      <c r="E43" s="2042" t="s">
        <v>1585</v>
      </c>
      <c r="F43" s="3946" t="s">
        <v>1586</v>
      </c>
      <c r="G43" s="3947"/>
      <c r="H43" s="3948">
        <f>IFERROR(INDEX(Tabla_Combate,$AT$41,LEFT(C41,LEN(C41)-1)),0)</f>
        <v>0</v>
      </c>
      <c r="I43" s="3879">
        <f>IFERROR(INDEX(Tabla_Combate,$AT$42,LEFT(C41,LEN(C41)-1)),0)</f>
        <v>0</v>
      </c>
      <c r="J43" s="3881">
        <f>IF(K43="-",0,IF(K43="Par",INDEX(Tabla_Combate,$AT$43,LEFT(C41,LEN(C41)-1)),INDEX(Tabla_Combate,$AT$44,LEFT(C41,LEN(C41)-1))))</f>
        <v>0</v>
      </c>
      <c r="K43" s="3130" t="str">
        <f>IFERROR(IF(INDEX(Tabla_Combate,$AT$43,LEFT(C41,LEN(C41)-1))&gt;INDEX(Tabla_Combate,$AT$44,LEFT(C41,LEN(C41)-1)),"Par","Esq"),"-")</f>
        <v>-</v>
      </c>
      <c r="L43" s="3888">
        <f>IFERROR(INDEX(Tabla_Combate,$AT$45,LEFT(C41,LEN(C41)-1)),0)</f>
        <v>0</v>
      </c>
      <c r="M43" s="838"/>
      <c r="N43" s="3870" t="str">
        <f>IF(P42=0,"",VLOOKUP(P42,Tabla_ArmasyEscudos,9,FALSE))</f>
        <v/>
      </c>
      <c r="O43" s="3871"/>
      <c r="P43" s="2042" t="s">
        <v>1585</v>
      </c>
      <c r="Q43" s="3946" t="s">
        <v>1586</v>
      </c>
      <c r="R43" s="3947"/>
      <c r="S43" s="3948">
        <f>IFERROR(INDEX(Tabla_Combate,$AT$41,LEFT(N41,LEN(N41)-1)),0)</f>
        <v>0</v>
      </c>
      <c r="T43" s="3879">
        <f>IFERROR(INDEX(Tabla_Combate,$AT$42,LEFT(N41,LEN(N41)-1)),0)</f>
        <v>0</v>
      </c>
      <c r="U43" s="3881">
        <f>IF(V43="-",0,IF(V43="Par",INDEX(Tabla_Combate,$AT$43,LEFT(N41,LEN(N41)-1)),INDEX(Tabla_Combate,$AT$44,LEFT(N41,LEN(N41)-1))))</f>
        <v>0</v>
      </c>
      <c r="V43" s="3130" t="str">
        <f>IFERROR(IF(INDEX(Tabla_Combate,$AT$43,LEFT(N41,LEN(N41)-1))&gt;INDEX(Tabla_Combate,$AT$44,LEFT(N41,LEN(N41)-1)),"Par","Esq"),"-")</f>
        <v>-</v>
      </c>
      <c r="W43" s="3888">
        <f>IFERROR(INDEX(Tabla_Combate,$AT$45,LEFT(N41,LEN(N41)-1)),0)</f>
        <v>0</v>
      </c>
      <c r="X43" s="838"/>
      <c r="Y43" s="10"/>
      <c r="Z43" s="10"/>
      <c r="AA43" s="1270"/>
      <c r="AB43" s="3815" t="str">
        <f>IF(PDs!$AD68=0,"",PDs!$AD68)</f>
        <v/>
      </c>
      <c r="AC43" s="3816"/>
      <c r="AD43" s="3816"/>
      <c r="AE43" s="3816"/>
      <c r="AF43" s="3821" t="str">
        <f t="shared" si="8"/>
        <v/>
      </c>
      <c r="AG43" s="3818"/>
      <c r="AH43" s="3818"/>
      <c r="AI43" s="3818"/>
      <c r="AJ43" s="3818"/>
      <c r="AK43" s="3818"/>
      <c r="AL43" s="3818"/>
      <c r="AM43" s="3818"/>
      <c r="AN43" s="3818"/>
      <c r="AO43" s="3818"/>
      <c r="AP43" s="3822"/>
      <c r="AQ43" s="1650">
        <f>IF(AB43="",0,VLOOKUP(AB43,Tablas!$D$816:$G$905,4,FALSE))</f>
        <v>0</v>
      </c>
      <c r="AR43" s="1362"/>
      <c r="AS43" s="1308"/>
      <c r="AT43" s="2759">
        <v>14</v>
      </c>
      <c r="AU43" s="2759" t="s">
        <v>8989</v>
      </c>
      <c r="AV43" s="2755"/>
      <c r="AW43" s="2755">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-20</v>
      </c>
      <c r="AX43" s="2755"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55"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55"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55"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55"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55"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55"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55"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55"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9"/>
      <c r="BH43" s="1986"/>
      <c r="BI43" s="1986"/>
    </row>
    <row r="44" spans="1:61" ht="12" customHeight="1" x14ac:dyDescent="0.2">
      <c r="A44" s="10"/>
      <c r="B44" s="1323"/>
      <c r="C44" s="1195" t="s">
        <v>1577</v>
      </c>
      <c r="D44" s="82" t="s">
        <v>1578</v>
      </c>
      <c r="E44" s="82" t="s">
        <v>1566</v>
      </c>
      <c r="F44" s="82" t="s">
        <v>1579</v>
      </c>
      <c r="G44" s="82" t="s">
        <v>1567</v>
      </c>
      <c r="H44" s="3948"/>
      <c r="I44" s="3880"/>
      <c r="J44" s="3882"/>
      <c r="K44" s="3887"/>
      <c r="L44" s="3889"/>
      <c r="M44" s="838"/>
      <c r="N44" s="1195" t="s">
        <v>1577</v>
      </c>
      <c r="O44" s="82" t="s">
        <v>1578</v>
      </c>
      <c r="P44" s="82" t="s">
        <v>1566</v>
      </c>
      <c r="Q44" s="82" t="s">
        <v>1579</v>
      </c>
      <c r="R44" s="82" t="s">
        <v>1567</v>
      </c>
      <c r="S44" s="3948"/>
      <c r="T44" s="3880"/>
      <c r="U44" s="3882"/>
      <c r="V44" s="3887"/>
      <c r="W44" s="3889"/>
      <c r="X44" s="838"/>
      <c r="Y44" s="10"/>
      <c r="Z44" s="10"/>
      <c r="AA44" s="1270"/>
      <c r="AB44" s="3815" t="str">
        <f>IF(PDs!$AD69=0,"",PDs!$AD69)</f>
        <v/>
      </c>
      <c r="AC44" s="3816"/>
      <c r="AD44" s="3816"/>
      <c r="AE44" s="3816"/>
      <c r="AF44" s="3821" t="str">
        <f t="shared" si="8"/>
        <v/>
      </c>
      <c r="AG44" s="3818"/>
      <c r="AH44" s="3818"/>
      <c r="AI44" s="3818"/>
      <c r="AJ44" s="3818"/>
      <c r="AK44" s="3818"/>
      <c r="AL44" s="3818"/>
      <c r="AM44" s="3818"/>
      <c r="AN44" s="3818"/>
      <c r="AO44" s="3818"/>
      <c r="AP44" s="3822"/>
      <c r="AQ44" s="1650">
        <f>IF(AB44="",0,VLOOKUP(AB44,Tablas!$D$816:$G$905,4,FALSE))</f>
        <v>0</v>
      </c>
      <c r="AR44" s="1362"/>
      <c r="AS44" s="1308"/>
      <c r="AT44" s="2759">
        <v>15</v>
      </c>
      <c r="AU44" s="2759" t="s">
        <v>8988</v>
      </c>
      <c r="AV44" s="2755"/>
      <c r="AW44" s="2755">
        <f>HE_final-PDs!$X$24+MIN(50,PDs!$X$24+SUMPRODUCT(--ISNUMBER(SEARCH(AW30,ArmasAM)),ArmasAM_HE))+VLOOKUP(AW30,Tabla_ArmasyEscudos,14,FALSE)+INDEX(Personalización!$AA$7:$AJ$15,IF(ISEVEN(AW$29),8,3),IF(ISEVEN(AW$29),AW$29-1,AW$29))</f>
        <v>15</v>
      </c>
      <c r="AX44" s="2755" t="e">
        <f>HE_final-PDs!$X$24+MIN(50,PDs!$X$24+SUMPRODUCT(--ISNUMBER(SEARCH(AX30,ArmasAM)),ArmasAM_HE))+VLOOKUP(AX30,Tabla_ArmasyEscudos,14,FALSE)+INDEX(Personalización!$AA$7:$AJ$15,IF(ISEVEN(AX$29),8,3),IF(ISEVEN(AX$29),AX$29-1,AX$29))</f>
        <v>#N/A</v>
      </c>
      <c r="AY44" s="2755" t="e">
        <f>HE_final-PDs!$X$24+MIN(50,PDs!$X$24+SUMPRODUCT(--ISNUMBER(SEARCH(AY30,ArmasAM)),ArmasAM_HE))+VLOOKUP(AY30,Tabla_ArmasyEscudos,14,FALSE)+INDEX(Personalización!$AA$7:$AJ$15,IF(ISEVEN(AY$29),8,3),IF(ISEVEN(AY$29),AY$29-1,AY$29))</f>
        <v>#N/A</v>
      </c>
      <c r="AZ44" s="2755" t="e">
        <f>HE_final-PDs!$X$24+MIN(50,PDs!$X$24+SUMPRODUCT(--ISNUMBER(SEARCH(AZ30,ArmasAM)),ArmasAM_HE))+VLOOKUP(AZ30,Tabla_ArmasyEscudos,14,FALSE)+INDEX(Personalización!$AA$7:$AJ$15,IF(ISEVEN(AZ$29),8,3),IF(ISEVEN(AZ$29),AZ$29-1,AZ$29))</f>
        <v>#N/A</v>
      </c>
      <c r="BA44" s="2755" t="e">
        <f>HE_final-PDs!$X$24+MIN(50,PDs!$X$24+SUMPRODUCT(--ISNUMBER(SEARCH(BA30,ArmasAM)),ArmasAM_HE))+VLOOKUP(BA30,Tabla_ArmasyEscudos,14,FALSE)+INDEX(Personalización!$AA$7:$AJ$15,IF(ISEVEN(BA$29),8,3),IF(ISEVEN(BA$29),BA$29-1,BA$29))</f>
        <v>#N/A</v>
      </c>
      <c r="BB44" s="2755" t="e">
        <f>HE_final-PDs!$X$24+MIN(50,PDs!$X$24+SUMPRODUCT(--ISNUMBER(SEARCH(BB30,ArmasAM)),ArmasAM_HE))+VLOOKUP(BB30,Tabla_ArmasyEscudos,14,FALSE)+INDEX(Personalización!$AA$7:$AJ$15,IF(ISEVEN(BB$29),8,3),IF(ISEVEN(BB$29),BB$29-1,BB$29))</f>
        <v>#N/A</v>
      </c>
      <c r="BC44" s="2755" t="e">
        <f>HE_final-PDs!$X$24+MIN(50,PDs!$X$24+SUMPRODUCT(--ISNUMBER(SEARCH(BC30,ArmasAM)),ArmasAM_HE))+VLOOKUP(BC30,Tabla_ArmasyEscudos,14,FALSE)+INDEX(Personalización!$AA$7:$AJ$15,IF(ISEVEN(BC$29),8,3),IF(ISEVEN(BC$29),BC$29-1,BC$29))</f>
        <v>#N/A</v>
      </c>
      <c r="BD44" s="2755" t="e">
        <f>HE_final-PDs!$X$24+MIN(50,PDs!$X$24+SUMPRODUCT(--ISNUMBER(SEARCH(BD30,ArmasAM)),ArmasAM_HE))+VLOOKUP(BD30,Tabla_ArmasyEscudos,14,FALSE)+INDEX(Personalización!$AA$7:$AJ$15,IF(ISEVEN(BD$29),8,3),IF(ISEVEN(BD$29),BD$29-1,BD$29))</f>
        <v>#N/A</v>
      </c>
      <c r="BE44" s="2755" t="e">
        <f>HE_final-PDs!$X$24+MIN(50,PDs!$X$24+SUMPRODUCT(--ISNUMBER(SEARCH(BE30,ArmasAM)),ArmasAM_HE))+VLOOKUP(BE30,Tabla_ArmasyEscudos,14,FALSE)+INDEX(Personalización!$AA$7:$AJ$15,IF(ISEVEN(BE$29),8,3),IF(ISEVEN(BE$29),BE$29-1,BE$29))</f>
        <v>#N/A</v>
      </c>
      <c r="BF44" s="2755" t="e">
        <f>HE_final-PDs!$X$24+MIN(50,PDs!$X$24+SUMPRODUCT(--ISNUMBER(SEARCH(BF30,ArmasAM)),ArmasAM_HE))+VLOOKUP(BF30,Tabla_ArmasyEscudos,14,FALSE)+INDEX(Personalización!$AA$7:$AJ$15,IF(ISEVEN(BF$29),8,3),IF(ISEVEN(BF$29),BF$29-1,BF$29))</f>
        <v>#N/A</v>
      </c>
      <c r="BG44" s="2759"/>
      <c r="BH44" s="1986"/>
      <c r="BI44" s="1986"/>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IF(E42=0,"",MAX(0,IF(Extensióndelauraalarma,5,0)+J45*2/5+VLOOKUP(E42,Tabla_ArmasyEscudos,11,FALSE)+IF(F43=0,0,VLOOKUP(F43,Tabla_ArmasEnormes,7,FALSE))+IF(FUE=0,0,VLOOKUP(FUE,Tabla_Fuerza,2))))</f>
        <v/>
      </c>
      <c r="G45" s="1280">
        <f>IF(E42=0,0,MAX(J45*10,0)+VLOOKUP(E42,Tabla_ArmasyEscudos,12,FALSE))</f>
        <v>0</v>
      </c>
      <c r="H45" s="3975" t="s">
        <v>8955</v>
      </c>
      <c r="I45" s="3976"/>
      <c r="J45" s="1712"/>
      <c r="K45" s="3977" t="s">
        <v>8607</v>
      </c>
      <c r="L45" s="3978"/>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IF(P42=0,"",MAX(0,IF(Extensióndelauraalarma,5,0)+U45*2/5+VLOOKUP(P42,Tabla_ArmasyEscudos,11,FALSE)+IF(Q43=0,0,VLOOKUP(Q43,Tabla_ArmasEnormes,7,FALSE))+IF(FUE=0,0,VLOOKUP(FUE,Tabla_Fuerza,2))))</f>
        <v/>
      </c>
      <c r="R45" s="1280">
        <f>IF(P42=0,0,MAX(U45*10,0)+VLOOKUP(P42,Tabla_ArmasyEscudos,12,FALSE))</f>
        <v>0</v>
      </c>
      <c r="S45" s="3975" t="s">
        <v>8955</v>
      </c>
      <c r="T45" s="3976"/>
      <c r="U45" s="1712"/>
      <c r="V45" s="3977" t="s">
        <v>8607</v>
      </c>
      <c r="W45" s="3978"/>
      <c r="X45" s="838"/>
      <c r="Y45" s="10"/>
      <c r="Z45" s="10"/>
      <c r="AA45" s="1270"/>
      <c r="AB45" s="3815" t="str">
        <f>IF(PDs!$AD70=0,"",PDs!$AD70)</f>
        <v/>
      </c>
      <c r="AC45" s="3816"/>
      <c r="AD45" s="3816"/>
      <c r="AE45" s="3816"/>
      <c r="AF45" s="3821" t="str">
        <f t="shared" si="8"/>
        <v/>
      </c>
      <c r="AG45" s="3818"/>
      <c r="AH45" s="3818"/>
      <c r="AI45" s="3818"/>
      <c r="AJ45" s="3818"/>
      <c r="AK45" s="3818"/>
      <c r="AL45" s="3818"/>
      <c r="AM45" s="3818"/>
      <c r="AN45" s="3818"/>
      <c r="AO45" s="3818"/>
      <c r="AP45" s="3822"/>
      <c r="AQ45" s="1650">
        <f>IF(AB45="",0,VLOOKUP(AB45,Tablas!$D$816:$G$905,4,FALSE))</f>
        <v>0</v>
      </c>
      <c r="AR45" s="1362"/>
      <c r="AS45" s="1308"/>
      <c r="AT45" s="2759">
        <v>16</v>
      </c>
      <c r="AU45" s="2759" t="s">
        <v>9022</v>
      </c>
      <c r="AV45" s="2755"/>
      <c r="AW45" s="2755">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35</v>
      </c>
      <c r="AX45" s="2755"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55"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55"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55"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55"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55"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55"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55"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55"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86"/>
      <c r="BH45" s="1986"/>
      <c r="BI45" s="1986"/>
    </row>
    <row r="46" spans="1:61" ht="12" customHeight="1" thickBot="1" x14ac:dyDescent="0.25">
      <c r="A46" s="10"/>
      <c r="B46" s="1323"/>
      <c r="C46" s="3979" t="str">
        <f>IF(E42=0,"",IF(VLOOKUP(E42,Tabla_ArmasyEscudos,17,FALSE)&lt;&gt;"-",D47,C47))</f>
        <v/>
      </c>
      <c r="D46" s="3980"/>
      <c r="E46" s="3980"/>
      <c r="F46" s="3980"/>
      <c r="G46" s="3980"/>
      <c r="H46" s="3980"/>
      <c r="I46" s="1666"/>
      <c r="J46" s="1667" t="str">
        <f>IF(F43=0,IF(J45&lt;=0,"","TA defensor: -"&amp;J45/5),IF(Tamaño&lt;VLOOKUP(F43,Tabla_ArmasEnormes,2,FALSE),"Tam. excesivo",IF(J45&lt;=0,"","TA defensor: -"&amp;J45/5)))</f>
        <v/>
      </c>
      <c r="K46" s="3981" t="s">
        <v>1389</v>
      </c>
      <c r="L46" s="3982"/>
      <c r="M46" s="838"/>
      <c r="N46" s="3979" t="str">
        <f>IF(P42=0,"",IF(VLOOKUP(P42,Tabla_ArmasyEscudos,17,FALSE)&lt;&gt;"-",O47,N47))</f>
        <v/>
      </c>
      <c r="O46" s="3980"/>
      <c r="P46" s="3980"/>
      <c r="Q46" s="3980"/>
      <c r="R46" s="3980"/>
      <c r="S46" s="3980"/>
      <c r="T46" s="1666"/>
      <c r="U46" s="1667" t="str">
        <f>IF(Q43=0,IF(U45&lt;=0,"","TA defensor: -"&amp;U45/5),IF(Tamaño&lt;VLOOKUP(Q43,Tabla_ArmasEnormes,2,FALSE),"Tam. excesivo",IF(U45&lt;=0,"","TA defensor: -"&amp;U45/5)))</f>
        <v/>
      </c>
      <c r="V46" s="3981" t="s">
        <v>1389</v>
      </c>
      <c r="W46" s="3982"/>
      <c r="X46" s="838"/>
      <c r="Y46" s="10"/>
      <c r="Z46" s="10"/>
      <c r="AA46" s="1270"/>
      <c r="AB46" s="3815" t="str">
        <f>IF(PDs!$AD71=0,"",PDs!$AD71)</f>
        <v/>
      </c>
      <c r="AC46" s="3816"/>
      <c r="AD46" s="3816"/>
      <c r="AE46" s="3816"/>
      <c r="AF46" s="3821" t="str">
        <f t="shared" si="8"/>
        <v/>
      </c>
      <c r="AG46" s="3818"/>
      <c r="AH46" s="3818"/>
      <c r="AI46" s="3818"/>
      <c r="AJ46" s="3818"/>
      <c r="AK46" s="3818"/>
      <c r="AL46" s="3818"/>
      <c r="AM46" s="3818"/>
      <c r="AN46" s="3818"/>
      <c r="AO46" s="3818"/>
      <c r="AP46" s="3822"/>
      <c r="AQ46" s="1709">
        <f>IF(AB46="",0,VLOOKUP(AB46,Tablas!$D$816:$G$905,4,FALSE))</f>
        <v>0</v>
      </c>
      <c r="AR46" s="1362"/>
      <c r="AS46" s="1308"/>
      <c r="AT46" s="1986"/>
      <c r="AU46" s="2759" t="s">
        <v>8995</v>
      </c>
      <c r="AV46" s="1986"/>
      <c r="AW46" s="2764" t="str">
        <f t="shared" ref="AW46:BF46" si="10">AW29&amp;". "&amp;IF(AW30=0,"",AW30)</f>
        <v>1. Arpón</v>
      </c>
      <c r="AX46" s="2764" t="str">
        <f t="shared" si="10"/>
        <v xml:space="preserve">2. </v>
      </c>
      <c r="AY46" s="2764" t="str">
        <f t="shared" si="10"/>
        <v xml:space="preserve">3. </v>
      </c>
      <c r="AZ46" s="2764" t="str">
        <f t="shared" si="10"/>
        <v xml:space="preserve">4. </v>
      </c>
      <c r="BA46" s="2764" t="str">
        <f t="shared" si="10"/>
        <v xml:space="preserve">5. </v>
      </c>
      <c r="BB46" s="2764" t="str">
        <f t="shared" si="10"/>
        <v xml:space="preserve">6. </v>
      </c>
      <c r="BC46" s="2764" t="str">
        <f t="shared" si="10"/>
        <v xml:space="preserve">7. </v>
      </c>
      <c r="BD46" s="2764" t="str">
        <f t="shared" si="10"/>
        <v xml:space="preserve">8. </v>
      </c>
      <c r="BE46" s="2764" t="str">
        <f t="shared" si="10"/>
        <v xml:space="preserve">9. </v>
      </c>
      <c r="BF46" s="2764" t="str">
        <f t="shared" si="10"/>
        <v xml:space="preserve">10. </v>
      </c>
      <c r="BG46" s="2759" t="s">
        <v>8873</v>
      </c>
      <c r="BH46" s="2759" t="s">
        <v>9856</v>
      </c>
      <c r="BI46" s="1986"/>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815" t="str">
        <f>IF(PDs!$AD72=0,"",PDs!$AD72)</f>
        <v/>
      </c>
      <c r="AC47" s="3816"/>
      <c r="AD47" s="3816"/>
      <c r="AE47" s="3816"/>
      <c r="AF47" s="3821" t="str">
        <f t="shared" si="8"/>
        <v/>
      </c>
      <c r="AG47" s="3818"/>
      <c r="AH47" s="3818"/>
      <c r="AI47" s="3818"/>
      <c r="AJ47" s="3818"/>
      <c r="AK47" s="3818"/>
      <c r="AL47" s="3818"/>
      <c r="AM47" s="3818"/>
      <c r="AN47" s="3818"/>
      <c r="AO47" s="3818"/>
      <c r="AP47" s="3822"/>
      <c r="AQ47" s="1709">
        <f>IF(AB47="",0,VLOOKUP(AB47,Tablas!$D$816:$G$905,4,FALSE))</f>
        <v>0</v>
      </c>
      <c r="AR47" s="1362"/>
      <c r="AS47" s="1308"/>
      <c r="AT47" s="1986"/>
      <c r="AU47" s="2759" t="s">
        <v>8992</v>
      </c>
      <c r="AV47" s="2759" t="str">
        <f>Turno_SinArmas_final&amp;" "&amp;IF(AND(Resumen!$AN$25="No",C20="Desarmado"),"Natural",$C$20)</f>
        <v>60 Natural</v>
      </c>
      <c r="AW47" s="2759" t="str">
        <f>IFERROR(IF(AW$38="Torpe","",IF(COUNTIF($AV47:AV47,"")=Tablas!A$1,"",", ")&amp;AW41&amp;" "&amp;AW$30&amp;IF(AW$31&lt;=0,""," +"&amp;AW$31)&amp;IF(AW$39="-",""," y "&amp;INDEX(Tabla_Combate,1,AW$39)&amp;IF(INDEX(Tabla_Combate,2,AW$39)&lt;=0,""," +"&amp;INDEX(Tabla_Combate,2,AW$39)))),"")</f>
        <v>, 35 Arpón</v>
      </c>
      <c r="AX47" s="2759" t="str">
        <f>IFERROR(IF(AX$38="Torpe","",IF(COUNTIF($AV47:AW47,"")=Tablas!B$1,"",", ")&amp;AX41&amp;" "&amp;AX$30&amp;IF(AX$31&lt;=0,""," +"&amp;AX$31)&amp;IF(AX$39="-",""," y "&amp;INDEX(Tabla_Combate,1,AX$39)&amp;IF(INDEX(Tabla_Combate,2,AX$39)&lt;=0,""," +"&amp;INDEX(Tabla_Combate,2,AX$39)))),"")</f>
        <v/>
      </c>
      <c r="AY47" s="2759" t="str">
        <f>IFERROR(IF(AY$38="Torpe","",IF(COUNTIF($AV47:AX47,"")=Tablas!C$1,"",", ")&amp;AY41&amp;" "&amp;AY$30&amp;IF(AY$31&lt;=0,""," +"&amp;AY$31)&amp;IF(AY$39="-",""," y "&amp;INDEX(Tabla_Combate,1,AY$39)&amp;IF(INDEX(Tabla_Combate,2,AY$39)&lt;=0,""," +"&amp;INDEX(Tabla_Combate,2,AY$39)))),"")</f>
        <v/>
      </c>
      <c r="AZ47" s="2759" t="str">
        <f>IFERROR(IF(AZ$38="Torpe","",IF(COUNTIF($AV47:AY47,"")=Tablas!D$1,"",", ")&amp;AZ41&amp;" "&amp;AZ$30&amp;IF(AZ$31&lt;=0,""," +"&amp;AZ$31)&amp;IF(AZ$39="-",""," y "&amp;INDEX(Tabla_Combate,1,AZ$39)&amp;IF(INDEX(Tabla_Combate,2,AZ$39)&lt;=0,""," +"&amp;INDEX(Tabla_Combate,2,AZ$39)))),"")</f>
        <v/>
      </c>
      <c r="BA47" s="2759" t="str">
        <f>IFERROR(IF(BA$38="Torpe","",IF(COUNTIF($AV47:AZ47,"")=Tablas!E$1,"",", ")&amp;BA41&amp;" "&amp;BA$30&amp;IF(BA$31&lt;=0,""," +"&amp;BA$31)&amp;IF(BA$39="-",""," y "&amp;INDEX(Tabla_Combate,1,BA$39)&amp;IF(INDEX(Tabla_Combate,2,BA$39)&lt;=0,""," +"&amp;INDEX(Tabla_Combate,2,BA$39)))),"")</f>
        <v/>
      </c>
      <c r="BB47" s="2759" t="str">
        <f>IFERROR(IF(BB$38="Torpe","",IF(COUNTIF($AV47:BA47,"")=Tablas!F$1,"",", ")&amp;BB41&amp;" "&amp;BB$30&amp;IF(BB$31&lt;=0,""," +"&amp;BB$31)&amp;IF(BB$39="-",""," y "&amp;INDEX(Tabla_Combate,1,BB$39)&amp;IF(INDEX(Tabla_Combate,2,BB$39)&lt;=0,""," +"&amp;INDEX(Tabla_Combate,2,BB$39)))),"")</f>
        <v/>
      </c>
      <c r="BC47" s="2759" t="str">
        <f>IFERROR(IF(BC$38="Torpe","",IF(COUNTIF($AV47:BB47,"")=Tablas!G$1,"",", ")&amp;BC41&amp;" "&amp;BC$30&amp;IF(BC$31&lt;=0,""," +"&amp;BC$31)&amp;IF(BC$39="-",""," y "&amp;INDEX(Tabla_Combate,1,BC$39)&amp;IF(INDEX(Tabla_Combate,2,BC$39)&lt;=0,""," +"&amp;INDEX(Tabla_Combate,2,BC$39)))),"")</f>
        <v/>
      </c>
      <c r="BD47" s="2759" t="str">
        <f>IFERROR(IF(BD$38="Torpe","",IF(COUNTIF($AV47:BC47,"")=Tablas!H$1,"",", ")&amp;BD41&amp;" "&amp;BD$30&amp;IF(BD$31&lt;=0,""," +"&amp;BD$31)&amp;IF(BD$39="-",""," y "&amp;INDEX(Tabla_Combate,1,BD$39)&amp;IF(INDEX(Tabla_Combate,2,BD$39)&lt;=0,""," +"&amp;INDEX(Tabla_Combate,2,BD$39)))),"")</f>
        <v/>
      </c>
      <c r="BE47" s="2759" t="str">
        <f>IFERROR(IF(BE$38="Torpe","",IF(COUNTIF($AV47:BD47,"")=Tablas!I$1,"",", ")&amp;BE41&amp;" "&amp;BE$30&amp;IF(BE$31&lt;=0,""," +"&amp;BE$31)&amp;IF(BE$39="-",""," y "&amp;INDEX(Tabla_Combate,1,BE$39)&amp;IF(INDEX(Tabla_Combate,2,BE$39)&lt;=0,""," +"&amp;INDEX(Tabla_Combate,2,BE$39)))),"")</f>
        <v/>
      </c>
      <c r="BF47" s="2759" t="str">
        <f>IFERROR(IF(BF$38="Torpe","",IF(COUNTIF($AV47:BE47,"")=Tablas!J$1,"",", ")&amp;BF41&amp;" "&amp;BF$30&amp;IF(BF$31&lt;=0,""," +"&amp;BF$31)&amp;IF(BF$39="-",""," y "&amp;INDEX(Tabla_Combate,1,BF$39)&amp;IF(INDEX(Tabla_Combate,2,BF$39)&lt;=0,""," +"&amp;INDEX(Tabla_Combate,2,BF$39)))),"")</f>
        <v/>
      </c>
      <c r="BG47" s="2759" t="str">
        <f>IF(AND(Personalización!AT3&lt;&gt;"",COUNTIF(Combate!AW47:BF47,"?*")&gt;0),", "&amp;IF(Personalización!AT3="","",Personalización!AT3),"")</f>
        <v/>
      </c>
      <c r="BH47" s="2759" t="str">
        <f>IF(AND(Sheele!$S$8="Si",OR(Sheele!$F$5="Si",Sheele!$F$5="Si (Familiar)")),", Sheele: "&amp;Sheele!R16&amp;" Natural","")</f>
        <v/>
      </c>
      <c r="BI47" s="1986"/>
    </row>
    <row r="48" spans="1:61" ht="12" customHeight="1" thickBot="1" x14ac:dyDescent="0.25">
      <c r="A48" s="10"/>
      <c r="B48" s="1323"/>
      <c r="C48" s="1670" t="s">
        <v>8973</v>
      </c>
      <c r="D48" s="1665" t="str">
        <f>E49&amp;IF(COUNTIF($R$22:$T$25,C48&amp;" "&amp;E49)&gt;0,IFERROR(" y"&amp;MID(VLOOKUP(C48&amp;" "&amp;E49,$R$22:$W$25,4,FALSE),SEARCH(".",VLOOKUP(C48&amp;" "&amp;E49,$R$22:$W$25,4,FALSE))+1,100),""),"")</f>
        <v/>
      </c>
      <c r="E48" s="1665"/>
      <c r="F48" s="1665"/>
      <c r="G48" s="1665"/>
      <c r="H48" s="1665"/>
      <c r="I48" s="1665"/>
      <c r="J48" s="1665"/>
      <c r="K48" s="1665"/>
      <c r="L48" s="1706" t="s">
        <v>8980</v>
      </c>
      <c r="M48" s="838"/>
      <c r="N48" s="1670" t="s">
        <v>8970</v>
      </c>
      <c r="O48" s="1665" t="str">
        <f>P49&amp;IF(COUNTIF($R$22:$T$25,N48&amp;" "&amp;P49)&gt;0,IFERROR(" y"&amp;MID(VLOOKUP(N48&amp;" "&amp;P49,$R$22:$W$25,4,FALSE),SEARCH(".",VLOOKUP(N48&amp;" "&amp;P49,$R$22:$W$25,4,FALSE))+1,100),""),"")</f>
        <v/>
      </c>
      <c r="P48" s="1665"/>
      <c r="Q48" s="1665"/>
      <c r="R48" s="1665"/>
      <c r="S48" s="1665"/>
      <c r="T48" s="1665"/>
      <c r="U48" s="1665"/>
      <c r="V48" s="1665"/>
      <c r="W48" s="1706" t="s">
        <v>8980</v>
      </c>
      <c r="X48" s="838"/>
      <c r="Y48" s="10"/>
      <c r="Z48" s="10"/>
      <c r="AA48" s="1270"/>
      <c r="AB48" s="3815" t="str">
        <f>IF(PDs!$AD73=0,"",PDs!$AD73)</f>
        <v/>
      </c>
      <c r="AC48" s="3816"/>
      <c r="AD48" s="3816"/>
      <c r="AE48" s="3816"/>
      <c r="AF48" s="3821" t="str">
        <f t="shared" si="8"/>
        <v/>
      </c>
      <c r="AG48" s="3818"/>
      <c r="AH48" s="3818"/>
      <c r="AI48" s="3818"/>
      <c r="AJ48" s="3818"/>
      <c r="AK48" s="3818"/>
      <c r="AL48" s="3818"/>
      <c r="AM48" s="3818"/>
      <c r="AN48" s="3818"/>
      <c r="AO48" s="3818"/>
      <c r="AP48" s="3822"/>
      <c r="AQ48" s="1709">
        <f>IF(AB48="",0,VLOOKUP(AB48,Tablas!$D$816:$G$905,4,FALSE))</f>
        <v>0</v>
      </c>
      <c r="AR48" s="1362"/>
      <c r="AS48" s="1308"/>
      <c r="AT48" s="1986"/>
      <c r="AU48" s="2759" t="s">
        <v>8993</v>
      </c>
      <c r="AV48" s="2759" t="str">
        <f>IF(AND(Resumen!$AN$25="No",C20="Desarmado"),"",HA_SinArmas_final&amp;" "&amp;$C$20)</f>
        <v/>
      </c>
      <c r="AW48" s="2759" t="str">
        <f>IFERROR(IF(AW$38="Torpe","",IF(COUNTIF($AV48:AV48,"")=Tablas!A$1,"",", ")&amp;AW42&amp;" "&amp;AW$30&amp;IF(AW$31&lt;=0,""," +"&amp;AW$31)&amp;IF(AW$39="-",""," y "&amp;INDEX(Tabla_Combate,$AT$42,AW$39)&amp;" "&amp;INDEX(Tabla_Combate,1,AW$39)&amp;IF(INDEX(Tabla_Combate,2,AW$39)&lt;=0,""," +"&amp;INDEX(Tabla_Combate,2,AW$39)))),"")</f>
        <v>-20 Arpón</v>
      </c>
      <c r="AX48" s="2759" t="str">
        <f>IFERROR(IF(AX$38="Torpe","",IF(COUNTIF($AV48:AW48,"")=Tablas!B$1,"",", ")&amp;AX42&amp;" "&amp;AX$30&amp;IF(AX$31&lt;=0,""," +"&amp;AX$31)&amp;IF(AX$39="-",""," y "&amp;INDEX(Tabla_Combate,$AT$42,AX$39)&amp;" "&amp;INDEX(Tabla_Combate,1,AX$39)&amp;IF(INDEX(Tabla_Combate,2,AX$39)&lt;=0,""," +"&amp;INDEX(Tabla_Combate,2,AX$39)))),"")</f>
        <v/>
      </c>
      <c r="AY48" s="2759" t="str">
        <f>IFERROR(IF(AY$38="Torpe","",IF(COUNTIF($AV48:AX48,"")=Tablas!C$1,"",", ")&amp;AY42&amp;" "&amp;AY$30&amp;IF(AY$31&lt;=0,""," +"&amp;AY$31)&amp;IF(AY$39="-",""," y "&amp;INDEX(Tabla_Combate,$AT$42,AY$39)&amp;" "&amp;INDEX(Tabla_Combate,1,AY$39)&amp;IF(INDEX(Tabla_Combate,2,AY$39)&lt;=0,""," +"&amp;INDEX(Tabla_Combate,2,AY$39)))),"")</f>
        <v/>
      </c>
      <c r="AZ48" s="2759" t="str">
        <f>IFERROR(IF(AZ$38="Torpe","",IF(COUNTIF($AV48:AY48,"")=Tablas!D$1,"",", ")&amp;AZ42&amp;" "&amp;AZ$30&amp;IF(AZ$31&lt;=0,""," +"&amp;AZ$31)&amp;IF(AZ$39="-",""," y "&amp;INDEX(Tabla_Combate,$AT$42,AZ$39)&amp;" "&amp;INDEX(Tabla_Combate,1,AZ$39)&amp;IF(INDEX(Tabla_Combate,2,AZ$39)&lt;=0,""," +"&amp;INDEX(Tabla_Combate,2,AZ$39)))),"")</f>
        <v/>
      </c>
      <c r="BA48" s="2759" t="str">
        <f>IFERROR(IF(BA$38="Torpe","",IF(COUNTIF($AV48:AZ48,"")=Tablas!E$1,"",", ")&amp;BA42&amp;" "&amp;BA$30&amp;IF(BA$31&lt;=0,""," +"&amp;BA$31)&amp;IF(BA$39="-",""," y "&amp;INDEX(Tabla_Combate,$AT$42,BA$39)&amp;" "&amp;INDEX(Tabla_Combate,1,BA$39)&amp;IF(INDEX(Tabla_Combate,2,BA$39)&lt;=0,""," +"&amp;INDEX(Tabla_Combate,2,BA$39)))),"")</f>
        <v/>
      </c>
      <c r="BB48" s="2759" t="str">
        <f>IFERROR(IF(BB$38="Torpe","",IF(COUNTIF($AV48:BA48,"")=Tablas!F$1,"",", ")&amp;BB42&amp;" "&amp;BB$30&amp;IF(BB$31&lt;=0,""," +"&amp;BB$31)&amp;IF(BB$39="-",""," y "&amp;INDEX(Tabla_Combate,$AT$42,BB$39)&amp;" "&amp;INDEX(Tabla_Combate,1,BB$39)&amp;IF(INDEX(Tabla_Combate,2,BB$39)&lt;=0,""," +"&amp;INDEX(Tabla_Combate,2,BB$39)))),"")</f>
        <v/>
      </c>
      <c r="BC48" s="2759" t="str">
        <f>IFERROR(IF(BC$38="Torpe","",IF(COUNTIF($AV48:BB48,"")=Tablas!G$1,"",", ")&amp;BC42&amp;" "&amp;BC$30&amp;IF(BC$31&lt;=0,""," +"&amp;BC$31)&amp;IF(BC$39="-",""," y "&amp;INDEX(Tabla_Combate,$AT$42,BC$39)&amp;" "&amp;INDEX(Tabla_Combate,1,BC$39)&amp;IF(INDEX(Tabla_Combate,2,BC$39)&lt;=0,""," +"&amp;INDEX(Tabla_Combate,2,BC$39)))),"")</f>
        <v/>
      </c>
      <c r="BD48" s="2759" t="str">
        <f>IFERROR(IF(BD$38="Torpe","",IF(COUNTIF($AV48:BC48,"")=Tablas!H$1,"",", ")&amp;BD42&amp;" "&amp;BD$30&amp;IF(BD$31&lt;=0,""," +"&amp;BD$31)&amp;IF(BD$39="-",""," y "&amp;INDEX(Tabla_Combate,$AT$42,BD$39)&amp;" "&amp;INDEX(Tabla_Combate,1,BD$39)&amp;IF(INDEX(Tabla_Combate,2,BD$39)&lt;=0,""," +"&amp;INDEX(Tabla_Combate,2,BD$39)))),"")</f>
        <v/>
      </c>
      <c r="BE48" s="2759" t="str">
        <f>IFERROR(IF(BE$38="Torpe","",IF(COUNTIF($AV48:BD48,"")=Tablas!I$1,"",", ")&amp;BE42&amp;" "&amp;BE$30&amp;IF(BE$31&lt;=0,""," +"&amp;BE$31)&amp;IF(BE$39="-",""," y "&amp;INDEX(Tabla_Combate,$AT$42,BE$39)&amp;" "&amp;INDEX(Tabla_Combate,1,BE$39)&amp;IF(INDEX(Tabla_Combate,2,BE$39)&lt;=0,""," +"&amp;INDEX(Tabla_Combate,2,BE$39)))),"")</f>
        <v/>
      </c>
      <c r="BF48" s="2759" t="str">
        <f>IFERROR(IF(BF$38="Torpe","",IF(COUNTIF($AV48:BE48,"")=Tablas!J$1,"",", ")&amp;BF42&amp;" "&amp;BF$30&amp;IF(BF$31&lt;=0,""," +"&amp;BF$31)&amp;IF(BF$39="-",""," y "&amp;INDEX(Tabla_Combate,$AT$42,BF$39)&amp;" "&amp;INDEX(Tabla_Combate,1,BF$39)&amp;IF(INDEX(Tabla_Combate,2,BF$39)&lt;=0,""," +"&amp;INDEX(Tabla_Combate,2,BF$39)))),"")</f>
        <v/>
      </c>
      <c r="BG48" s="2759" t="str">
        <f>IF(AND(Personalización!AT4&lt;&gt;"",COUNTIF(Combate!AW48:BF48,"?*")&gt;0),", "&amp;IF(Personalización!AT4="","",Personalización!AT4),"")</f>
        <v/>
      </c>
      <c r="BH48" s="2759"/>
      <c r="BI48" s="1986"/>
    </row>
    <row r="49" spans="1:61" ht="12" customHeight="1" x14ac:dyDescent="0.2">
      <c r="A49" s="10"/>
      <c r="B49" s="1323"/>
      <c r="C49" s="3872" t="s">
        <v>8953</v>
      </c>
      <c r="D49" s="3873"/>
      <c r="E49" s="4012"/>
      <c r="F49" s="4013"/>
      <c r="G49" s="4014"/>
      <c r="H49" s="2039" t="s">
        <v>1401</v>
      </c>
      <c r="I49" s="2040" t="s">
        <v>1573</v>
      </c>
      <c r="J49" s="3878" t="s">
        <v>1574</v>
      </c>
      <c r="K49" s="3878"/>
      <c r="L49" s="2041" t="s">
        <v>1575</v>
      </c>
      <c r="M49" s="1705" t="str">
        <f>IF(C49=INDEX(Lista_ManosArma,2),Lista_ProyA2manos,Lista_ProyA1Mano)</f>
        <v>Tablas!$AD$635:$AD$648</v>
      </c>
      <c r="N49" s="3872" t="s">
        <v>8953</v>
      </c>
      <c r="O49" s="3873"/>
      <c r="P49" s="4000"/>
      <c r="Q49" s="4000"/>
      <c r="R49" s="4001"/>
      <c r="S49" s="2039" t="s">
        <v>1401</v>
      </c>
      <c r="T49" s="2040" t="s">
        <v>1573</v>
      </c>
      <c r="U49" s="3878" t="s">
        <v>1574</v>
      </c>
      <c r="V49" s="3878"/>
      <c r="W49" s="2041" t="s">
        <v>1575</v>
      </c>
      <c r="X49" s="1705" t="str">
        <f>IF(N49=INDEX(Lista_ManosArma,2),Lista_ProyA2manos,Lista_ProyA1Mano)</f>
        <v>Tablas!$AD$635:$AD$648</v>
      </c>
      <c r="Y49" s="10"/>
      <c r="Z49" s="10"/>
      <c r="AA49" s="1270"/>
      <c r="AB49" s="3983" t="str">
        <f>IF(PDs!$AD74=0,"",PDs!$AD74)</f>
        <v/>
      </c>
      <c r="AC49" s="3984"/>
      <c r="AD49" s="3984"/>
      <c r="AE49" s="3984"/>
      <c r="AF49" s="3985" t="str">
        <f t="shared" si="8"/>
        <v/>
      </c>
      <c r="AG49" s="3986"/>
      <c r="AH49" s="3986"/>
      <c r="AI49" s="3986"/>
      <c r="AJ49" s="3986"/>
      <c r="AK49" s="3986"/>
      <c r="AL49" s="3986"/>
      <c r="AM49" s="3986"/>
      <c r="AN49" s="3986"/>
      <c r="AO49" s="3986"/>
      <c r="AP49" s="3987"/>
      <c r="AQ49" s="1709">
        <f>IF(AB49="",0,VLOOKUP(AB49,Tablas!$D$816:$G$905,4,FALSE))</f>
        <v>0</v>
      </c>
      <c r="AR49" s="1362"/>
      <c r="AS49" s="1308"/>
      <c r="AT49" s="1986"/>
      <c r="AU49" s="2759" t="s">
        <v>8991</v>
      </c>
      <c r="AV49" s="2759" t="str">
        <f>IF(AND(Resumen!$AN$25="No",C20="Desarmado"),"",HD_SinArmas_final&amp;" "&amp;$C$20&amp;" ("&amp;Par_Esq&amp;")")</f>
        <v/>
      </c>
      <c r="AW49" s="2759"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15 Arpón (Esq)</v>
      </c>
      <c r="AX49" s="2759"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9"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9"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9"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9"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9"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9"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9"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9"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9" t="str">
        <f>IF(AND(Personalización!AT5&lt;&gt;"",COUNTIF(Combate!AW49:BF49,"?*")&gt;0),", "&amp;IF(Personalización!AT5="","",Personalización!AT5),"")</f>
        <v/>
      </c>
      <c r="BH49" s="2759"/>
      <c r="BI49" s="1986"/>
    </row>
    <row r="50" spans="1:61" ht="12" customHeight="1" x14ac:dyDescent="0.2">
      <c r="A50" s="10"/>
      <c r="B50" s="1323"/>
      <c r="C50" s="4002" t="s">
        <v>1589</v>
      </c>
      <c r="D50" s="4003"/>
      <c r="E50" s="4004"/>
      <c r="F50" s="4004"/>
      <c r="G50" s="4005"/>
      <c r="H50" s="3948">
        <f>IFERROR(INDEX(Tabla_Combate,$AT$41,LEFT(C48,LEN(C48)-1)),0)</f>
        <v>0</v>
      </c>
      <c r="I50" s="3879">
        <f>IFERROR(INDEX(Tabla_Combate,$AT$42,LEFT(C48,LEN(C48)-1)),0)</f>
        <v>0</v>
      </c>
      <c r="J50" s="3881">
        <f>IF(K50="-",0,IF(K50="Par",INDEX(Tabla_Combate,$AT$43,LEFT(C48,LEN(C48)-1)),INDEX(Tabla_Combate,$AT$44,LEFT(C48,LEN(C48)-1))))</f>
        <v>0</v>
      </c>
      <c r="K50" s="3130" t="str">
        <f>IFERROR(IF(INDEX(Tabla_Combate,$AT$43,LEFT(C48,LEN(C48)-1))&gt;INDEX(Tabla_Combate,$AT$44,LEFT(C48,LEN(C48)-1)),"Par","Esq"),"-")</f>
        <v>-</v>
      </c>
      <c r="L50" s="3888">
        <f>IFERROR(INDEX(Tabla_Combate,$AT$45,LEFT(C48,LEN(C48)-1)),0)</f>
        <v>0</v>
      </c>
      <c r="M50" s="838"/>
      <c r="N50" s="4002" t="s">
        <v>1589</v>
      </c>
      <c r="O50" s="4003"/>
      <c r="P50" s="4004"/>
      <c r="Q50" s="4004"/>
      <c r="R50" s="4005"/>
      <c r="S50" s="3948">
        <f>IFERROR(INDEX(Tabla_Combate,$AT$41,LEFT(N48,LEN(N48)-1)),0)</f>
        <v>0</v>
      </c>
      <c r="T50" s="3879">
        <f>IFERROR(INDEX(Tabla_Combate,$AT$42,LEFT(N48,LEN(N48)-1)),0)</f>
        <v>0</v>
      </c>
      <c r="U50" s="3881">
        <f>IF(V50="-",0,IF(V50="Par",INDEX(Tabla_Combate,$AT$43,LEFT(N48,LEN(N48)-1)),INDEX(Tabla_Combate,$AT$44,LEFT(N48,LEN(N48)-1))))</f>
        <v>0</v>
      </c>
      <c r="V50" s="3130" t="str">
        <f>IFERROR(IF(INDEX(Tabla_Combate,$AT$43,LEFT(N48,LEN(N48)-1))&gt;INDEX(Tabla_Combate,$AT$44,LEFT(N48,LEN(N48)-1)),"Par","Esq"),"-")</f>
        <v>-</v>
      </c>
      <c r="W50" s="3888">
        <f>IFERROR(INDEX(Tabla_Combate,$AT$45,LEFT(N48,LEN(N48)-1)),0)</f>
        <v>0</v>
      </c>
      <c r="X50" s="838"/>
      <c r="Y50" s="10"/>
      <c r="Z50" s="10"/>
      <c r="AA50" s="1270"/>
      <c r="AB50" s="3991" t="str">
        <f>IF(PDs!$E75=0,"",PDs!$E75)</f>
        <v/>
      </c>
      <c r="AC50" s="3991"/>
      <c r="AD50" s="3991"/>
      <c r="AE50" s="3991"/>
      <c r="AF50" s="3991"/>
      <c r="AG50" s="3991"/>
      <c r="AH50" s="3989" t="str">
        <f>IF($AB50="","",IF(PDs!$V75="FALTAN REQUISITOS",PDs!$V75,VLOOKUP(AB50,Tabla_AM_Armas,5,FALSE)))</f>
        <v/>
      </c>
      <c r="AI50" s="3989"/>
      <c r="AJ50" s="3989"/>
      <c r="AK50" s="3989"/>
      <c r="AL50" s="3989"/>
      <c r="AM50" s="3989"/>
      <c r="AN50" s="3989"/>
      <c r="AO50" s="3989"/>
      <c r="AP50" s="3989"/>
      <c r="AQ50" s="3989"/>
      <c r="AR50" s="1362"/>
      <c r="AS50" s="1308"/>
      <c r="AT50" s="1986"/>
      <c r="AU50" s="2759" t="s">
        <v>8994</v>
      </c>
      <c r="AV50" s="2759" t="str">
        <f>IF(AND(Resumen!$AN$25="No",C20="Desarmado"),"",L21&amp;" "&amp;$C$20)</f>
        <v/>
      </c>
      <c r="AW50" s="2759" t="str">
        <f>IFERROR(IF(AW$38="Torpe","",IF(COUNTIF($AV50:AV50,"")=Tablas!A$1,"",", ")&amp;AW45&amp;" "&amp;AW$30&amp;IF(AW$31&lt;=0,""," +"&amp;AW$31)&amp;IF(AW$39="-",""," y "&amp;INDEX(Tabla_Combate,$AT$45,AW$39)&amp;" "&amp;INDEX(Tabla_Combate,1,AW$39)&amp;IF(INDEX(Tabla_Combate,2,AW$39)&lt;=0,""," +"&amp;INDEX(Tabla_Combate,2,AW$39)))&amp;" "&amp;AW36),"")</f>
        <v>35 Arpón (PEN)</v>
      </c>
      <c r="AX50" s="2759" t="str">
        <f>IFERROR(IF(AX$38="Torpe","",IF(COUNTIF($AV50:AW50,"")=Tablas!B$1,"",", ")&amp;AX45&amp;" "&amp;AX$30&amp;IF(AX$31&lt;=0,""," +"&amp;AX$31)&amp;IF(AX$39="-",""," y "&amp;INDEX(Tabla_Combate,$AT$45,AX$39)&amp;" "&amp;INDEX(Tabla_Combate,1,AX$39)&amp;IF(INDEX(Tabla_Combate,2,AX$39)&lt;=0,""," +"&amp;INDEX(Tabla_Combate,2,AX$39)))&amp;" "&amp;AX36),"")</f>
        <v/>
      </c>
      <c r="AY50" s="2759" t="str">
        <f>IFERROR(IF(AY$38="Torpe","",IF(COUNTIF($AV50:AX50,"")=Tablas!C$1,"",", ")&amp;AY45&amp;" "&amp;AY$30&amp;IF(AY$31&lt;=0,""," +"&amp;AY$31)&amp;IF(AY$39="-",""," y "&amp;INDEX(Tabla_Combate,$AT$45,AY$39)&amp;" "&amp;INDEX(Tabla_Combate,1,AY$39)&amp;IF(INDEX(Tabla_Combate,2,AY$39)&lt;=0,""," +"&amp;INDEX(Tabla_Combate,2,AY$39)))&amp;" "&amp;AY36),"")</f>
        <v/>
      </c>
      <c r="AZ50" s="2759" t="str">
        <f>IFERROR(IF(AZ$38="Torpe","",IF(COUNTIF($AV50:AY50,"")=Tablas!D$1,"",", ")&amp;AZ45&amp;" "&amp;AZ$30&amp;IF(AZ$31&lt;=0,""," +"&amp;AZ$31)&amp;IF(AZ$39="-",""," y "&amp;INDEX(Tabla_Combate,$AT$45,AZ$39)&amp;" "&amp;INDEX(Tabla_Combate,1,AZ$39)&amp;IF(INDEX(Tabla_Combate,2,AZ$39)&lt;=0,""," +"&amp;INDEX(Tabla_Combate,2,AZ$39)))&amp;" "&amp;AZ36),"")</f>
        <v/>
      </c>
      <c r="BA50" s="2759" t="str">
        <f>IFERROR(IF(BA$38="Torpe","",IF(COUNTIF($AV50:AZ50,"")=Tablas!E$1,"",", ")&amp;BA45&amp;" "&amp;BA$30&amp;IF(BA$31&lt;=0,""," +"&amp;BA$31)&amp;IF(BA$39="-",""," y "&amp;INDEX(Tabla_Combate,$AT$45,BA$39)&amp;" "&amp;INDEX(Tabla_Combate,1,BA$39)&amp;IF(INDEX(Tabla_Combate,2,BA$39)&lt;=0,""," +"&amp;INDEX(Tabla_Combate,2,BA$39)))&amp;" "&amp;BA36),"")</f>
        <v/>
      </c>
      <c r="BB50" s="2759" t="str">
        <f>IFERROR(IF(BB$38="Torpe","",IF(COUNTIF($AV50:BA50,"")=Tablas!F$1,"",", ")&amp;BB45&amp;" "&amp;BB$30&amp;IF(BB$31&lt;=0,""," +"&amp;BB$31)&amp;IF(BB$39="-",""," y "&amp;INDEX(Tabla_Combate,$AT$45,BB$39)&amp;" "&amp;INDEX(Tabla_Combate,1,BB$39)&amp;IF(INDEX(Tabla_Combate,2,BB$39)&lt;=0,""," +"&amp;INDEX(Tabla_Combate,2,BB$39)))&amp;" "&amp;BB36),"")</f>
        <v/>
      </c>
      <c r="BC50" s="2759" t="str">
        <f>IFERROR(IF(BC$38="Torpe","",IF(COUNTIF($AV50:BB50,"")=Tablas!G$1,"",", ")&amp;BC45&amp;" "&amp;BC$30&amp;IF(BC$31&lt;=0,""," +"&amp;BC$31)&amp;IF(BC$39="-",""," y "&amp;INDEX(Tabla_Combate,$AT$45,BC$39)&amp;" "&amp;INDEX(Tabla_Combate,1,BC$39)&amp;IF(INDEX(Tabla_Combate,2,BC$39)&lt;=0,""," +"&amp;INDEX(Tabla_Combate,2,BC$39)))&amp;" "&amp;BC36),"")</f>
        <v/>
      </c>
      <c r="BD50" s="2759" t="str">
        <f>IFERROR(IF(BD$38="Torpe","",IF(COUNTIF($AV50:BC50,"")=Tablas!H$1,"",", ")&amp;BD45&amp;" "&amp;BD$30&amp;IF(BD$31&lt;=0,""," +"&amp;BD$31)&amp;IF(BD$39="-",""," y "&amp;INDEX(Tabla_Combate,$AT$45,BD$39)&amp;" "&amp;INDEX(Tabla_Combate,1,BD$39)&amp;IF(INDEX(Tabla_Combate,2,BD$39)&lt;=0,""," +"&amp;INDEX(Tabla_Combate,2,BD$39)))&amp;" "&amp;BD36),"")</f>
        <v/>
      </c>
      <c r="BE50" s="2759" t="str">
        <f>IFERROR(IF(BE$38="Torpe","",IF(COUNTIF($AV50:BD50,"")=Tablas!I$1,"",", ")&amp;BE45&amp;" "&amp;BE$30&amp;IF(BE$31&lt;=0,""," +"&amp;BE$31)&amp;IF(BE$39="-",""," y "&amp;INDEX(Tabla_Combate,$AT$45,BE$39)&amp;" "&amp;INDEX(Tabla_Combate,1,BE$39)&amp;IF(INDEX(Tabla_Combate,2,BE$39)&lt;=0,""," +"&amp;INDEX(Tabla_Combate,2,BE$39)))&amp;" "&amp;BE36),"")</f>
        <v/>
      </c>
      <c r="BF50" s="2759" t="str">
        <f>IFERROR(IF(BF$38="Torpe","",IF(COUNTIF($AV50:BE50,"")=Tablas!J$1,"",", ")&amp;BF45&amp;" "&amp;BF$30&amp;IF(BF$31&lt;=0,""," +"&amp;BF$31)&amp;IF(BF$39="-",""," y "&amp;INDEX(Tabla_Combate,$AT$45,BF$39)&amp;" "&amp;INDEX(Tabla_Combate,1,BF$39)&amp;IF(INDEX(Tabla_Combate,2,BF$39)&lt;=0,""," +"&amp;INDEX(Tabla_Combate,2,BF$39)))&amp;" "&amp;BF36),"")</f>
        <v/>
      </c>
      <c r="BG50" s="2759" t="str">
        <f>IF(AND(Personalización!AT6&lt;&gt;"",COUNTIF(Combate!AW50:BF50,"?*")&gt;0),", "&amp;IF(Personalización!AT6="","",Personalización!AT6),"")</f>
        <v/>
      </c>
      <c r="BH50" s="2759" t="str">
        <f>IF(AND(Sheele!$S$8="Si",OR(Sheele!$F$5="Si",Sheele!$F$5="Si (Familiar)"),COUNTIF(Sheele!$G$20:$J$31,"Demonio")&gt;0),", Sheele: "&amp;Sheele!$N$21+VLOOKUP(Sheele!G12,Tabla_BonoStats,2,FALSE)&amp;" Natural","")</f>
        <v/>
      </c>
      <c r="BI50" s="1986"/>
    </row>
    <row r="51" spans="1:61" ht="12" customHeight="1" x14ac:dyDescent="0.2">
      <c r="A51" s="10"/>
      <c r="B51" s="1323"/>
      <c r="C51" s="3870" t="str">
        <f>IF(E49=0,"",VLOOKUP(E49,Tabla_ArmasyEscudos,9,FALSE))</f>
        <v/>
      </c>
      <c r="D51" s="3871"/>
      <c r="E51" s="2042" t="s">
        <v>1585</v>
      </c>
      <c r="F51" s="3946" t="s">
        <v>1586</v>
      </c>
      <c r="G51" s="3947"/>
      <c r="H51" s="3948"/>
      <c r="I51" s="3880"/>
      <c r="J51" s="3882"/>
      <c r="K51" s="3887"/>
      <c r="L51" s="3889"/>
      <c r="M51" s="838"/>
      <c r="N51" s="3870" t="str">
        <f>IF(P49=0,"",VLOOKUP(P49,Tabla_ArmasyEscudos,9,FALSE))</f>
        <v/>
      </c>
      <c r="O51" s="3871"/>
      <c r="P51" s="2042" t="s">
        <v>1585</v>
      </c>
      <c r="Q51" s="3946"/>
      <c r="R51" s="3947"/>
      <c r="S51" s="3948"/>
      <c r="T51" s="3880"/>
      <c r="U51" s="3882"/>
      <c r="V51" s="3887"/>
      <c r="W51" s="3889"/>
      <c r="X51" s="838"/>
      <c r="Y51" s="10"/>
      <c r="Z51" s="10"/>
      <c r="AA51" s="1270"/>
      <c r="AB51" s="3992" t="str">
        <f>IF(PDs!$E76=0,"",PDs!$E76)</f>
        <v/>
      </c>
      <c r="AC51" s="3992"/>
      <c r="AD51" s="3992"/>
      <c r="AE51" s="3992"/>
      <c r="AF51" s="3992"/>
      <c r="AG51" s="3992"/>
      <c r="AH51" s="3823" t="str">
        <f>IF($AB51="","",IF(PDs!$V76="FALTAN REQUISITOS",PDs!$V76,VLOOKUP(AB51,Tabla_AM_Armas,5,FALSE)))</f>
        <v/>
      </c>
      <c r="AI51" s="3823"/>
      <c r="AJ51" s="3823"/>
      <c r="AK51" s="3823"/>
      <c r="AL51" s="3823"/>
      <c r="AM51" s="3823"/>
      <c r="AN51" s="3823"/>
      <c r="AO51" s="3823"/>
      <c r="AP51" s="3823"/>
      <c r="AQ51" s="3823"/>
      <c r="AR51" s="1362"/>
      <c r="AS51" s="1308"/>
      <c r="AT51" s="1986"/>
      <c r="AU51" s="1986"/>
      <c r="AV51" s="1986"/>
      <c r="AW51" s="1986"/>
      <c r="AX51" s="1986"/>
      <c r="AY51" s="1986"/>
      <c r="AZ51" s="1986"/>
      <c r="BA51" s="1986"/>
      <c r="BB51" s="2007"/>
      <c r="BC51" s="2007"/>
      <c r="BD51" s="1986"/>
      <c r="BE51" s="1986"/>
      <c r="BF51" s="1986"/>
      <c r="BG51" s="1986"/>
      <c r="BH51" s="1986"/>
      <c r="BI51" s="1986"/>
    </row>
    <row r="52" spans="1:61" ht="12" customHeight="1" thickBot="1" x14ac:dyDescent="0.25">
      <c r="A52" s="10"/>
      <c r="B52" s="1323"/>
      <c r="C52" s="1591" t="s">
        <v>1577</v>
      </c>
      <c r="D52" s="1592" t="s">
        <v>1578</v>
      </c>
      <c r="E52" s="1592" t="s">
        <v>1566</v>
      </c>
      <c r="F52" s="1592" t="s">
        <v>1579</v>
      </c>
      <c r="G52" s="292" t="s">
        <v>1567</v>
      </c>
      <c r="H52" s="3975" t="s">
        <v>8955</v>
      </c>
      <c r="I52" s="3976"/>
      <c r="J52" s="1711"/>
      <c r="K52" s="3994" t="str">
        <f>IF(Tablas!$G$500&gt;0,"-50 a puntería","")</f>
        <v/>
      </c>
      <c r="L52" s="3995"/>
      <c r="M52" s="838"/>
      <c r="N52" s="1591" t="s">
        <v>1577</v>
      </c>
      <c r="O52" s="1592" t="s">
        <v>1578</v>
      </c>
      <c r="P52" s="1592" t="s">
        <v>1566</v>
      </c>
      <c r="Q52" s="1592" t="s">
        <v>1579</v>
      </c>
      <c r="R52" s="292" t="s">
        <v>1567</v>
      </c>
      <c r="S52" s="3975" t="s">
        <v>8955</v>
      </c>
      <c r="T52" s="3976"/>
      <c r="U52" s="1711"/>
      <c r="V52" s="3994" t="str">
        <f>IF(Tablas!$G$500&gt;0,"-50 a puntería","")</f>
        <v/>
      </c>
      <c r="W52" s="3995"/>
      <c r="X52" s="838"/>
      <c r="Y52" s="10"/>
      <c r="Z52" s="10"/>
      <c r="AA52" s="1270"/>
      <c r="AB52" s="3990" t="str">
        <f>IF(PDs!$E77=0,"",PDs!$E77)</f>
        <v/>
      </c>
      <c r="AC52" s="3990"/>
      <c r="AD52" s="3990"/>
      <c r="AE52" s="3990"/>
      <c r="AF52" s="3990"/>
      <c r="AG52" s="3990"/>
      <c r="AH52" s="3874" t="str">
        <f>IF($AB52="","",IF(PDs!$V77="FALTAN REQUISITOS",PDs!$V77,VLOOKUP(AB52,Tabla_AM_Armas,5,FALSE)))</f>
        <v/>
      </c>
      <c r="AI52" s="3874"/>
      <c r="AJ52" s="3874"/>
      <c r="AK52" s="3874"/>
      <c r="AL52" s="3874"/>
      <c r="AM52" s="3874"/>
      <c r="AN52" s="3874"/>
      <c r="AO52" s="3874"/>
      <c r="AP52" s="3874"/>
      <c r="AQ52" s="3874"/>
      <c r="AR52" s="1362"/>
      <c r="AS52" s="1308"/>
      <c r="AT52" s="1986"/>
      <c r="AU52" s="1986"/>
      <c r="AV52" s="1986"/>
      <c r="AW52" s="1986"/>
      <c r="AX52" s="1986"/>
      <c r="AY52" s="1986"/>
      <c r="AZ52" s="1986"/>
      <c r="BA52" s="1986"/>
      <c r="BB52" s="2007"/>
      <c r="BC52" s="2007"/>
      <c r="BD52" s="1986"/>
      <c r="BE52" s="1986"/>
      <c r="BF52" s="1986"/>
      <c r="BG52" s="1986"/>
      <c r="BH52" s="1986"/>
      <c r="BI52" s="1986"/>
    </row>
    <row r="53" spans="1:61" ht="12" customHeight="1" thickBot="1" x14ac:dyDescent="0.25">
      <c r="A53" s="10"/>
      <c r="B53" s="1707"/>
      <c r="C53" s="1196" t="str">
        <f>IF(E50=0,"",VLOOKUP(E50,Tabla_ArmasyEscudos,6,FALSE))</f>
        <v/>
      </c>
      <c r="D53" s="565" t="str">
        <f>IF(E50=0,"",VLOOKUP(E50,Tabla_ArmasyEscudos,7,FALSE))</f>
        <v/>
      </c>
      <c r="E53" s="2043" t="str">
        <f>IF(E49=0,"",MAX(0,IF(Extensióndelauraalarma,10,0)+IF(Ki!$P$39="-",10,0)+J52*2+VLOOKUP(E49,Tabla_ArmasyEscudos,10,FALSE)+IF(F51=0,0,VLOOKUP(F51,Tabla_ArmasEnormes,6,FALSE))))&amp;IF(E50=0,"","/ "&amp;MAX(0,J53*2+VLOOKUP(E50,Tabla_ArmasyEscudos,10,FALSE)+IF(F51=0,0,VLOOKUP(F51,Tabla_ArmasEnormes,6,FALSE))))</f>
        <v/>
      </c>
      <c r="F53" s="2044" t="str">
        <f>IF(E50=0,"",MAX(0,J53*2/5+VLOOKUP(E50,Tabla_ArmasyEscudos,11,FALSE)+IF(F51=0,0,VLOOKUP(F51,Tabla_ArmasEnormes,7,FALSE))+IF(FUE=0,0,VLOOKUP(FUE,Tabla_Fuerza,2))))</f>
        <v/>
      </c>
      <c r="G53" s="2045" t="str">
        <f>IF(E49=0,0,MAX(J52*10,0)+VLOOKUP(E49,Tabla_ArmasyEscudos,12,FALSE))&amp;IF(E50=0,"","/ "&amp;MAX(J53*10,0)+VLOOKUP(E50,Tabla_ArmasyEscudos,12,FALSE))</f>
        <v>0</v>
      </c>
      <c r="H53" s="3996" t="s">
        <v>8969</v>
      </c>
      <c r="I53" s="3997"/>
      <c r="J53" s="1711"/>
      <c r="K53" s="3998" t="str">
        <f>IF(F51=0,IF(J53&lt;=0,"","TA defensor: -"&amp;J53/5),IF(Tamaño&lt;VLOOKUP(F51,Tabla_ArmasEnormes,2,FALSE),"Tam. excesivo",IF(J53&lt;=0,"","TA defensor: -"&amp;J53/5)))</f>
        <v/>
      </c>
      <c r="L53" s="3999"/>
      <c r="M53" s="838"/>
      <c r="N53" s="1196" t="str">
        <f>IF(P50=0,"",VLOOKUP(P50,Tabla_ArmasyEscudos,6,FALSE))</f>
        <v/>
      </c>
      <c r="O53" s="565" t="str">
        <f>IF(P50=0,"",VLOOKUP(P50,Tabla_ArmasyEscudos,7,FALSE))</f>
        <v/>
      </c>
      <c r="P53" s="2043" t="str">
        <f>IF(P49=0,"",MAX(0,IF(Extensióndelauraalarma,10,0)+IF(Ki!$P$39="-",10,0)+U52*2+VLOOKUP(P49,Tabla_ArmasyEscudos,10,FALSE)+IF(Q51=0,0,VLOOKUP(Q51,Tabla_ArmasEnormes,6,FALSE))))&amp;IF(P50=0,"","/ "&amp;MAX(0,U53*2+VLOOKUP(P50,Tabla_ArmasyEscudos,10,FALSE)+IF(Q51=0,0,VLOOKUP(Q51,Tabla_ArmasEnormes,6,FALSE))))</f>
        <v/>
      </c>
      <c r="Q53" s="2044" t="str">
        <f>IF(P50=0,"",MAX(0,U53*2/5+VLOOKUP(P50,Tabla_ArmasyEscudos,11,FALSE)+IF(Q51=0,0,VLOOKUP(Q51,Tabla_ArmasEnormes,7,FALSE))+IF(FUE=0,0,VLOOKUP(FUE,Tabla_Fuerza,2))))</f>
        <v/>
      </c>
      <c r="R53" s="2045" t="str">
        <f>IF(P49=0,0,MAX(U52*10,0)+VLOOKUP(P49,Tabla_ArmasyEscudos,12,FALSE))&amp;IF(P50=0,"","/ "&amp;MAX(U53*10,0)+VLOOKUP(P50,Tabla_ArmasyEscudos,12,FALSE))</f>
        <v>0</v>
      </c>
      <c r="S53" s="3996" t="s">
        <v>8969</v>
      </c>
      <c r="T53" s="3997"/>
      <c r="U53" s="1711"/>
      <c r="V53" s="3998" t="str">
        <f>IF(Q51=0,IF(U53&lt;=0,"","TA defensor: -"&amp;U53/5),IF(Tamaño&lt;VLOOKUP(Q51,Tabla_ArmasEnormes,2,FALSE),"Tam. excesivo",IF(U53&lt;=0,"","TA defensor: -"&amp;U53/5)))</f>
        <v/>
      </c>
      <c r="W53" s="3999"/>
      <c r="X53" s="838"/>
      <c r="Y53" s="10"/>
      <c r="Z53" s="10"/>
      <c r="AA53" s="1270"/>
      <c r="AM53" s="23"/>
      <c r="AN53" s="23"/>
      <c r="AO53" s="23"/>
      <c r="AP53" s="23"/>
      <c r="AQ53" s="23"/>
      <c r="AR53" s="1362"/>
      <c r="AS53" s="1308"/>
      <c r="AT53" s="1986"/>
      <c r="AU53" s="1986"/>
      <c r="AV53" s="1986"/>
      <c r="AW53" s="1986"/>
      <c r="AX53" s="1986"/>
      <c r="AY53" s="1986"/>
      <c r="AZ53" s="1986"/>
      <c r="BA53" s="1986"/>
      <c r="BB53" s="1986"/>
      <c r="BC53" s="1986"/>
      <c r="BD53" s="1986"/>
      <c r="BE53" s="1986"/>
      <c r="BF53" s="1986"/>
      <c r="BG53" s="1986"/>
      <c r="BH53" s="2779" t="b">
        <f>AND(Sheele!$S$8="Si",COUNTIF(Sheele!$G$20:$J$31,"Demonio")&gt;0)</f>
        <v>0</v>
      </c>
      <c r="BI53" s="1986"/>
    </row>
    <row r="54" spans="1:61" ht="12" customHeight="1" thickBot="1" x14ac:dyDescent="0.25">
      <c r="A54" s="10"/>
      <c r="B54" s="1323"/>
      <c r="C54" s="1591" t="s">
        <v>1590</v>
      </c>
      <c r="D54" s="2019" t="s">
        <v>1591</v>
      </c>
      <c r="E54" s="4006" t="str">
        <f>IF(E49=0,"",IF(E49="Armas naturales",D56,C56))</f>
        <v/>
      </c>
      <c r="F54" s="4007"/>
      <c r="G54" s="4007"/>
      <c r="H54" s="4007"/>
      <c r="I54" s="4007"/>
      <c r="J54" s="4008"/>
      <c r="K54" s="3977" t="s">
        <v>8607</v>
      </c>
      <c r="L54" s="3978"/>
      <c r="M54" s="838"/>
      <c r="N54" s="1591" t="s">
        <v>1590</v>
      </c>
      <c r="O54" s="2019" t="s">
        <v>1591</v>
      </c>
      <c r="P54" s="4006" t="str">
        <f>IF(P49=0,"",IF(P49="Armas naturales",O56,N56))</f>
        <v/>
      </c>
      <c r="Q54" s="4007"/>
      <c r="R54" s="4007"/>
      <c r="S54" s="4007"/>
      <c r="T54" s="4007"/>
      <c r="U54" s="4008"/>
      <c r="V54" s="3977" t="s">
        <v>8607</v>
      </c>
      <c r="W54" s="3978"/>
      <c r="X54" s="1362"/>
      <c r="Y54" s="10"/>
      <c r="Z54" s="10"/>
      <c r="AA54" s="1270"/>
      <c r="AB54" s="3156" t="s">
        <v>1513</v>
      </c>
      <c r="AC54" s="3156"/>
      <c r="AD54" s="3156"/>
      <c r="AE54" s="3156"/>
      <c r="AF54" s="3156"/>
      <c r="AG54" s="3156"/>
      <c r="AH54" s="3988" t="s">
        <v>1558</v>
      </c>
      <c r="AI54" s="3988"/>
      <c r="AJ54" s="3988"/>
      <c r="AK54" s="3988"/>
      <c r="AL54" s="3988"/>
      <c r="AM54" s="3988"/>
      <c r="AN54" s="3988"/>
      <c r="AO54" s="3988"/>
      <c r="AP54" s="3988"/>
      <c r="AQ54" s="3988"/>
      <c r="AR54" s="1362"/>
      <c r="AS54" s="1308"/>
      <c r="AT54" s="1986"/>
      <c r="AU54" s="1986"/>
      <c r="AV54" s="1986"/>
      <c r="AW54" s="1986"/>
      <c r="AX54" s="1986"/>
      <c r="AY54" s="1986"/>
      <c r="AZ54" s="1986"/>
      <c r="BA54" s="1986"/>
      <c r="BB54" s="1986"/>
      <c r="BC54" s="1986"/>
      <c r="BD54" s="1986"/>
      <c r="BE54" s="1986"/>
      <c r="BF54" s="1986"/>
      <c r="BG54" s="1986"/>
      <c r="BH54" s="1986"/>
      <c r="BI54" s="1986"/>
    </row>
    <row r="55" spans="1:61" ht="12" customHeight="1" thickBot="1" x14ac:dyDescent="0.25">
      <c r="A55" s="10"/>
      <c r="B55" s="1323"/>
      <c r="C55" s="1703" t="str">
        <f>IF(E49=0,"",MAX(VLOOKUP(E49,Tabla_ArmasyEscudos,17,FALSE)+IF(VLOOKUP(E49,Tabla_ArmasyEscudos,18,FALSE)=0,IF(FUE&lt;3,-30,VLOOKUP(FUE,Tabla_AlcanceFUE,2)),VLOOKUP(VLOOKUP(E49,Tabla_ArmasyEscudos,18,FALSE)+TRUNC(J52/5,0),Tabla_AlcanceFUE,2)),0))</f>
        <v/>
      </c>
      <c r="D55" s="1704" t="str">
        <f>IF(E49=0,"",VLOOKUP(E49,Tabla_ArmasyEscudos,16,FALSE))</f>
        <v/>
      </c>
      <c r="E55" s="4009" t="str">
        <f>IF(E50=0,"",VLOOKUP(E50,Tabla_ArmasyEscudos,19,FALSE))</f>
        <v/>
      </c>
      <c r="F55" s="4010"/>
      <c r="G55" s="4010"/>
      <c r="H55" s="4010"/>
      <c r="I55" s="4010"/>
      <c r="J55" s="4011"/>
      <c r="K55" s="3981" t="s">
        <v>1389</v>
      </c>
      <c r="L55" s="3982"/>
      <c r="M55" s="1362"/>
      <c r="N55" s="1703" t="str">
        <f>IF(P49=0,"",MAX(VLOOKUP(P49,Tabla_ArmasyEscudos,17,FALSE)+IF(VLOOKUP(P49,Tabla_ArmasyEscudos,18,FALSE)=0,IF(FUE&lt;3,-30,VLOOKUP(FUE,Tabla_AlcanceFUE,2)),VLOOKUP(VLOOKUP(P49,Tabla_ArmasyEscudos,18,FALSE)+TRUNC(U52/5,0),Tabla_AlcanceFUE,2)),0))</f>
        <v/>
      </c>
      <c r="O55" s="1704" t="str">
        <f>IF(P49=0,"",VLOOKUP(P49,Tabla_ArmasyEscudos,16,FALSE))</f>
        <v/>
      </c>
      <c r="P55" s="4009" t="str">
        <f>IF(P50=0,"",VLOOKUP(P50,Tabla_ArmasyEscudos,19,FALSE))</f>
        <v/>
      </c>
      <c r="Q55" s="4010"/>
      <c r="R55" s="4010"/>
      <c r="S55" s="4010"/>
      <c r="T55" s="4010"/>
      <c r="U55" s="4011"/>
      <c r="V55" s="3981" t="s">
        <v>1389</v>
      </c>
      <c r="W55" s="3982"/>
      <c r="X55" s="838"/>
      <c r="Y55" s="10"/>
      <c r="Z55" s="10"/>
      <c r="AA55" s="1270"/>
      <c r="AB55" s="3826" t="str">
        <f>IF(PDs!E78=0,"",PDs!E78)</f>
        <v/>
      </c>
      <c r="AC55" s="3826"/>
      <c r="AD55" s="3826"/>
      <c r="AE55" s="3826"/>
      <c r="AF55" s="3826"/>
      <c r="AG55" s="3826"/>
      <c r="AH55" s="3993" t="str">
        <f>IF(AB55="","",VLOOKUP(AB55,Tabla_ArsMagnus,6,FALSE))</f>
        <v/>
      </c>
      <c r="AI55" s="3993"/>
      <c r="AJ55" s="3993"/>
      <c r="AK55" s="3993"/>
      <c r="AL55" s="3993"/>
      <c r="AM55" s="3993"/>
      <c r="AN55" s="3993"/>
      <c r="AO55" s="3993"/>
      <c r="AP55" s="3993"/>
      <c r="AQ55" s="3993"/>
      <c r="AR55" s="1362"/>
      <c r="AS55" s="1308"/>
      <c r="AT55" s="1986"/>
      <c r="AU55" s="1986" t="s">
        <v>8782</v>
      </c>
      <c r="AV55" s="2007"/>
      <c r="AW55" s="2007"/>
      <c r="AX55" s="2007"/>
      <c r="AY55" s="2776"/>
      <c r="AZ55" s="2007"/>
      <c r="BA55" s="1986"/>
      <c r="BB55" s="1986"/>
      <c r="BC55" s="1986"/>
      <c r="BD55" s="1986"/>
      <c r="BE55" s="1986"/>
      <c r="BF55" s="1986"/>
      <c r="BG55" s="1986"/>
      <c r="BH55" s="1986"/>
      <c r="BI55" s="1986"/>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826"/>
      <c r="AC56" s="3826"/>
      <c r="AD56" s="3826"/>
      <c r="AE56" s="3826"/>
      <c r="AF56" s="3826"/>
      <c r="AG56" s="3826"/>
      <c r="AH56" s="3993"/>
      <c r="AI56" s="3993"/>
      <c r="AJ56" s="3993"/>
      <c r="AK56" s="3993"/>
      <c r="AL56" s="3993"/>
      <c r="AM56" s="3993"/>
      <c r="AN56" s="3993"/>
      <c r="AO56" s="3993"/>
      <c r="AP56" s="3993"/>
      <c r="AQ56" s="3993"/>
      <c r="AR56" s="1362"/>
      <c r="AS56" s="1308"/>
      <c r="AT56" s="1986"/>
      <c r="AU56" s="1986">
        <v>1</v>
      </c>
      <c r="AV56" s="2007">
        <v>2</v>
      </c>
      <c r="AW56" s="2007">
        <v>3</v>
      </c>
      <c r="AX56" s="2007">
        <v>4</v>
      </c>
      <c r="AY56" s="2007"/>
      <c r="AZ56" s="2007"/>
      <c r="BA56" s="1986"/>
      <c r="BB56" s="1986"/>
      <c r="BC56" s="1986"/>
      <c r="BD56" s="1986"/>
      <c r="BE56" s="1986"/>
      <c r="BF56" s="1986"/>
      <c r="BG56" s="1986"/>
      <c r="BH56" s="1986"/>
      <c r="BI56" s="1986"/>
    </row>
    <row r="57" spans="1:61" ht="12" customHeight="1" thickBot="1" x14ac:dyDescent="0.25">
      <c r="A57" s="10"/>
      <c r="B57" s="1323"/>
      <c r="C57" s="1670" t="s">
        <v>8974</v>
      </c>
      <c r="D57" s="1665" t="str">
        <f>E58&amp;IF(COUNTIF($R$22:$T$25,C57&amp;" "&amp;E58)&gt;0,IFERROR(" y"&amp;MID(VLOOKUP(C57&amp;" "&amp;E58,$R$22:$W$25,4,FALSE),SEARCH(".",VLOOKUP(C57&amp;" "&amp;E58,$R$22:$W$25,4,FALSE))+1,100),""),"")</f>
        <v/>
      </c>
      <c r="E57" s="1665"/>
      <c r="F57" s="1665"/>
      <c r="G57" s="1665"/>
      <c r="H57" s="1665"/>
      <c r="I57" s="1665"/>
      <c r="J57" s="1665"/>
      <c r="K57" s="1665"/>
      <c r="L57" s="1706" t="s">
        <v>8980</v>
      </c>
      <c r="M57" s="838"/>
      <c r="N57" s="1670" t="s">
        <v>8972</v>
      </c>
      <c r="O57" s="1665" t="str">
        <f>P58&amp;IF(COUNTIF($R$22:$T$25,N57&amp;" "&amp;P58)&gt;0,IFERROR(" y"&amp;MID(VLOOKUP(N57&amp;" "&amp;P58,$R$22:$W$25,4,FALSE),SEARCH(".",VLOOKUP(N57&amp;" "&amp;P58,$R$22:$W$25,4,FALSE))+1,100),""),"")</f>
        <v/>
      </c>
      <c r="P57" s="1665"/>
      <c r="Q57" s="1665"/>
      <c r="R57" s="1665"/>
      <c r="S57" s="1665"/>
      <c r="T57" s="1665"/>
      <c r="U57" s="1665"/>
      <c r="V57" s="1665"/>
      <c r="W57" s="1706" t="s">
        <v>8980</v>
      </c>
      <c r="X57" s="838"/>
      <c r="Y57" s="10"/>
      <c r="Z57" s="10"/>
      <c r="AA57" s="1270"/>
      <c r="AB57" s="3857" t="str">
        <f>IF(PDs!E79=0,"",PDs!E79)</f>
        <v/>
      </c>
      <c r="AC57" s="3857"/>
      <c r="AD57" s="3857"/>
      <c r="AE57" s="3857"/>
      <c r="AF57" s="3857"/>
      <c r="AG57" s="3857"/>
      <c r="AH57" s="3244" t="str">
        <f>IF(AB57="","",VLOOKUP(AB57,Tabla_ArsMagnus,6,FALSE))</f>
        <v/>
      </c>
      <c r="AI57" s="3244"/>
      <c r="AJ57" s="3244"/>
      <c r="AK57" s="3244"/>
      <c r="AL57" s="3244"/>
      <c r="AM57" s="3244"/>
      <c r="AN57" s="3244"/>
      <c r="AO57" s="3244"/>
      <c r="AP57" s="3244"/>
      <c r="AQ57" s="3244"/>
      <c r="AR57" s="1362"/>
      <c r="AS57" s="1308"/>
      <c r="AT57" s="1986" t="s">
        <v>8942</v>
      </c>
      <c r="AU57" s="1986" t="str">
        <f>IF(COUNTIF(Ki!$Y$22:$AJ$22,"Fuego")&gt;0,"CAL","-")</f>
        <v>-</v>
      </c>
      <c r="AV57" s="2007" t="str">
        <f>IF(COUNTIF(Ki!$Y$22:$AJ$22,"Aire")&gt;0,"ELE","-")</f>
        <v>-</v>
      </c>
      <c r="AW57" s="2007" t="str">
        <f>IF(COUNTIF(Ki!$Y$22:$AJ$22,"Agua")&gt;0,"FRI","-")</f>
        <v>-</v>
      </c>
      <c r="AX57" s="2007" t="str">
        <f>IF(COUNTIF(Ki!$Y$22:$AJ$22,"Tierra")&gt;0,"CON","-")</f>
        <v>-</v>
      </c>
      <c r="AY57" s="2007"/>
      <c r="AZ57" s="2007"/>
      <c r="BA57" s="1986"/>
      <c r="BB57" s="1986"/>
      <c r="BC57" s="1986"/>
      <c r="BD57" s="1986"/>
      <c r="BE57" s="1986"/>
      <c r="BF57" s="1986"/>
      <c r="BG57" s="1986"/>
      <c r="BH57" s="1986"/>
      <c r="BI57" s="1986"/>
    </row>
    <row r="58" spans="1:61" ht="12" customHeight="1" x14ac:dyDescent="0.2">
      <c r="A58" s="10"/>
      <c r="B58" s="1323"/>
      <c r="C58" s="3872" t="s">
        <v>8953</v>
      </c>
      <c r="D58" s="3873"/>
      <c r="E58" s="4012"/>
      <c r="F58" s="4013"/>
      <c r="G58" s="4014"/>
      <c r="H58" s="2039" t="s">
        <v>1401</v>
      </c>
      <c r="I58" s="2040" t="s">
        <v>1573</v>
      </c>
      <c r="J58" s="3878" t="s">
        <v>1574</v>
      </c>
      <c r="K58" s="3878"/>
      <c r="L58" s="2041" t="s">
        <v>1575</v>
      </c>
      <c r="M58" s="1705" t="str">
        <f>IF(C58=INDEX(Lista_ManosArma,2),Lista_ProyA2manos,Lista_ProyA1Mano)</f>
        <v>Tablas!$AD$635:$AD$648</v>
      </c>
      <c r="N58" s="3872" t="s">
        <v>8953</v>
      </c>
      <c r="O58" s="3873"/>
      <c r="P58" s="4000"/>
      <c r="Q58" s="4000"/>
      <c r="R58" s="4001"/>
      <c r="S58" s="2039" t="s">
        <v>1401</v>
      </c>
      <c r="T58" s="2040" t="s">
        <v>1573</v>
      </c>
      <c r="U58" s="3878" t="s">
        <v>1574</v>
      </c>
      <c r="V58" s="3878"/>
      <c r="W58" s="2041" t="s">
        <v>1575</v>
      </c>
      <c r="X58" s="1705" t="str">
        <f>IF(N58=INDEX(Lista_ManosArma,2),Lista_ProyA2manos,Lista_ProyA1Mano)</f>
        <v>Tablas!$AD$635:$AD$648</v>
      </c>
      <c r="Y58" s="10"/>
      <c r="Z58" s="10"/>
      <c r="AA58" s="1270"/>
      <c r="AB58" s="3857"/>
      <c r="AC58" s="3857"/>
      <c r="AD58" s="3857"/>
      <c r="AE58" s="3857"/>
      <c r="AF58" s="3857"/>
      <c r="AG58" s="3857"/>
      <c r="AH58" s="3244"/>
      <c r="AI58" s="3244"/>
      <c r="AJ58" s="3244"/>
      <c r="AK58" s="3244"/>
      <c r="AL58" s="3244"/>
      <c r="AM58" s="3244"/>
      <c r="AN58" s="3244"/>
      <c r="AO58" s="3244"/>
      <c r="AP58" s="3244"/>
      <c r="AQ58" s="3244"/>
      <c r="AR58" s="1362"/>
      <c r="AS58" s="1308"/>
      <c r="AT58" s="1986" t="s">
        <v>8786</v>
      </c>
      <c r="AU58" s="2780" t="b">
        <f>AU57&lt;&gt;"-"</f>
        <v>0</v>
      </c>
      <c r="AV58" s="2781" t="b">
        <f>AV57&lt;&gt;"-"</f>
        <v>0</v>
      </c>
      <c r="AW58" s="2781" t="b">
        <f>AW57&lt;&gt;"-"</f>
        <v>0</v>
      </c>
      <c r="AX58" s="2781" t="b">
        <f>AX57&lt;&gt;"-"</f>
        <v>0</v>
      </c>
      <c r="AY58" s="2007"/>
      <c r="AZ58" s="2007"/>
      <c r="BA58" s="1986"/>
      <c r="BB58" s="1986"/>
      <c r="BC58" s="1986"/>
      <c r="BD58" s="1986"/>
      <c r="BE58" s="1986"/>
      <c r="BF58" s="1986"/>
      <c r="BG58" s="1986"/>
      <c r="BH58" s="1986"/>
      <c r="BI58" s="1986"/>
    </row>
    <row r="59" spans="1:61" ht="12" customHeight="1" x14ac:dyDescent="0.2">
      <c r="A59" s="10"/>
      <c r="B59" s="1323"/>
      <c r="C59" s="4002" t="s">
        <v>1589</v>
      </c>
      <c r="D59" s="4003"/>
      <c r="E59" s="4004"/>
      <c r="F59" s="4004"/>
      <c r="G59" s="4005"/>
      <c r="H59" s="3948">
        <f>IFERROR(INDEX(Tabla_Combate,$AT$41,LEFT(C57,LEN(C57)-1)),0)</f>
        <v>0</v>
      </c>
      <c r="I59" s="3879">
        <f>IFERROR(INDEX(Tabla_Combate,$AT$42,LEFT(C57,LEN(C57)-1)),0)</f>
        <v>0</v>
      </c>
      <c r="J59" s="3881">
        <f>IF(K59="-",0,IF(K59="Par",INDEX(Tabla_Combate,$AT$43,LEFT(C57,LEN(C57)-1)),INDEX(Tabla_Combate,$AT$44,LEFT(C57,LEN(C57)-1))))</f>
        <v>0</v>
      </c>
      <c r="K59" s="3130" t="str">
        <f>IFERROR(IF(INDEX(Tabla_Combate,$AT$43,LEFT(C57,LEN(C57)-1))&gt;INDEX(Tabla_Combate,$AT$44,LEFT(C57,LEN(C57)-1)),"Par","Esq"),"-")</f>
        <v>-</v>
      </c>
      <c r="L59" s="3888">
        <f>IFERROR(INDEX(Tabla_Combate,$AT$45,LEFT(C57,LEN(C57)-1)),0)</f>
        <v>0</v>
      </c>
      <c r="M59" s="838"/>
      <c r="N59" s="4002" t="s">
        <v>1589</v>
      </c>
      <c r="O59" s="4003"/>
      <c r="P59" s="4004"/>
      <c r="Q59" s="4004"/>
      <c r="R59" s="4005"/>
      <c r="S59" s="3948">
        <f>IFERROR(INDEX(Tabla_Combate,$AT$41,LEFT(N57,LEN(N57)-1)),0)</f>
        <v>0</v>
      </c>
      <c r="T59" s="3879">
        <f>IFERROR(INDEX(Tabla_Combate,$AT$42,LEFT(N57,LEN(N57)-1)),0)</f>
        <v>0</v>
      </c>
      <c r="U59" s="3881">
        <f>IF(V59="-",0,IF(V59="Par",INDEX(Tabla_Combate,$AT$43,LEFT(N57,LEN(N57)-1)),INDEX(Tabla_Combate,$AT$44,LEFT(N57,LEN(N57)-1))))</f>
        <v>0</v>
      </c>
      <c r="V59" s="3130" t="str">
        <f>IFERROR(IF(INDEX(Tabla_Combate,$AT$43,LEFT(N57,LEN(N57)-1))&gt;INDEX(Tabla_Combate,$AT$44,LEFT(N57,LEN(N57)-1)),"Par","Esq"),"-")</f>
        <v>-</v>
      </c>
      <c r="W59" s="3888">
        <f>IFERROR(INDEX(Tabla_Combate,$AT$45,LEFT(N57,LEN(N57)-1)),0)</f>
        <v>0</v>
      </c>
      <c r="X59" s="838"/>
      <c r="Y59" s="10"/>
      <c r="Z59" s="10"/>
      <c r="AA59" s="1270"/>
      <c r="AB59" s="3857" t="str">
        <f>IF(PDs!E80=0,"",PDs!E80)</f>
        <v/>
      </c>
      <c r="AC59" s="3857"/>
      <c r="AD59" s="3857"/>
      <c r="AE59" s="3857"/>
      <c r="AF59" s="3857"/>
      <c r="AG59" s="3857"/>
      <c r="AH59" s="3244" t="str">
        <f>IF(AB59="","",VLOOKUP(AB59,Tabla_ArsMagnus,6,FALSE))</f>
        <v/>
      </c>
      <c r="AI59" s="3244"/>
      <c r="AJ59" s="3244"/>
      <c r="AK59" s="3244"/>
      <c r="AL59" s="3244"/>
      <c r="AM59" s="3244"/>
      <c r="AN59" s="3244"/>
      <c r="AO59" s="3244"/>
      <c r="AP59" s="3244"/>
      <c r="AQ59" s="3244"/>
      <c r="AR59" s="1362"/>
      <c r="AS59" s="1308"/>
      <c r="AT59" s="1986" t="s">
        <v>3250</v>
      </c>
      <c r="AU59" s="2780"/>
      <c r="AV59" s="2781" t="b">
        <f>AND(AV58,AU58)</f>
        <v>0</v>
      </c>
      <c r="AW59" s="2781" t="b">
        <f>AND(AW58,OR(AU58,AV58))</f>
        <v>0</v>
      </c>
      <c r="AX59" s="2781" t="b">
        <f>AND(AX58,OR(AV58,AW58,AU58))</f>
        <v>0</v>
      </c>
      <c r="AY59" s="2007"/>
      <c r="AZ59" s="2007"/>
      <c r="BA59" s="1986"/>
      <c r="BB59" s="1986"/>
      <c r="BC59" s="1986"/>
      <c r="BD59" s="1986"/>
      <c r="BE59" s="1986"/>
      <c r="BF59" s="1986"/>
      <c r="BG59" s="1986"/>
      <c r="BH59" s="1986"/>
      <c r="BI59" s="1986"/>
    </row>
    <row r="60" spans="1:61" ht="12" customHeight="1" x14ac:dyDescent="0.2">
      <c r="A60" s="10"/>
      <c r="B60" s="1323"/>
      <c r="C60" s="3870" t="str">
        <f>IF(E58=0,"",VLOOKUP(E58,Tabla_ArmasyEscudos,9,FALSE))</f>
        <v/>
      </c>
      <c r="D60" s="3871"/>
      <c r="E60" s="2042" t="s">
        <v>1585</v>
      </c>
      <c r="F60" s="3946" t="s">
        <v>1586</v>
      </c>
      <c r="G60" s="3947"/>
      <c r="H60" s="3948"/>
      <c r="I60" s="3880"/>
      <c r="J60" s="3882"/>
      <c r="K60" s="3887"/>
      <c r="L60" s="3889"/>
      <c r="M60" s="838"/>
      <c r="N60" s="3870" t="str">
        <f>IF(P58=0,"",VLOOKUP(P58,Tabla_ArmasyEscudos,9,FALSE))</f>
        <v/>
      </c>
      <c r="O60" s="3871"/>
      <c r="P60" s="2042" t="s">
        <v>1585</v>
      </c>
      <c r="Q60" s="3946" t="s">
        <v>1586</v>
      </c>
      <c r="R60" s="3947"/>
      <c r="S60" s="3948"/>
      <c r="T60" s="3880"/>
      <c r="U60" s="3882"/>
      <c r="V60" s="3887"/>
      <c r="W60" s="3889"/>
      <c r="X60" s="652"/>
      <c r="Y60" s="10"/>
      <c r="Z60" s="10"/>
      <c r="AA60" s="1270"/>
      <c r="AB60" s="3857"/>
      <c r="AC60" s="3857"/>
      <c r="AD60" s="3857"/>
      <c r="AE60" s="3857"/>
      <c r="AF60" s="3857"/>
      <c r="AG60" s="3857"/>
      <c r="AH60" s="3244"/>
      <c r="AI60" s="3244"/>
      <c r="AJ60" s="3244"/>
      <c r="AK60" s="3244"/>
      <c r="AL60" s="3244"/>
      <c r="AM60" s="3244"/>
      <c r="AN60" s="3244"/>
      <c r="AO60" s="3244"/>
      <c r="AP60" s="3244"/>
      <c r="AQ60" s="3244"/>
      <c r="AR60" s="1362"/>
      <c r="AS60" s="1308"/>
      <c r="AT60" s="1986"/>
      <c r="AU60" s="1986"/>
      <c r="AV60" s="1986"/>
      <c r="AW60" s="1986"/>
      <c r="AX60" s="1986"/>
      <c r="AY60" s="2776"/>
      <c r="AZ60" s="1986"/>
      <c r="BA60" s="1986"/>
      <c r="BB60" s="1986"/>
      <c r="BC60" s="1986"/>
      <c r="BD60" s="1986"/>
      <c r="BE60" s="1986"/>
      <c r="BF60" s="1986"/>
      <c r="BG60" s="1986"/>
      <c r="BH60" s="1986"/>
      <c r="BI60" s="1986"/>
    </row>
    <row r="61" spans="1:61" ht="12" customHeight="1" x14ac:dyDescent="0.2">
      <c r="A61" s="10"/>
      <c r="B61" s="1323"/>
      <c r="C61" s="1591" t="s">
        <v>1577</v>
      </c>
      <c r="D61" s="1592" t="s">
        <v>1578</v>
      </c>
      <c r="E61" s="1592" t="s">
        <v>1566</v>
      </c>
      <c r="F61" s="1592" t="s">
        <v>1579</v>
      </c>
      <c r="G61" s="292" t="s">
        <v>1567</v>
      </c>
      <c r="H61" s="3975" t="s">
        <v>8955</v>
      </c>
      <c r="I61" s="3976"/>
      <c r="J61" s="1711"/>
      <c r="K61" s="3994" t="str">
        <f>IF(Tablas!$G$500&gt;0,"-50 a puntería","")</f>
        <v/>
      </c>
      <c r="L61" s="3995"/>
      <c r="M61" s="838"/>
      <c r="N61" s="1591" t="s">
        <v>1577</v>
      </c>
      <c r="O61" s="1592" t="s">
        <v>1578</v>
      </c>
      <c r="P61" s="1592" t="s">
        <v>1566</v>
      </c>
      <c r="Q61" s="1592" t="s">
        <v>1579</v>
      </c>
      <c r="R61" s="292" t="s">
        <v>1567</v>
      </c>
      <c r="S61" s="3975" t="s">
        <v>8955</v>
      </c>
      <c r="T61" s="3976"/>
      <c r="U61" s="1711"/>
      <c r="V61" s="3994" t="str">
        <f>IF(Tablas!$G$500&gt;0,"-50 a puntería","")</f>
        <v/>
      </c>
      <c r="W61" s="3995"/>
      <c r="X61" s="652"/>
      <c r="Y61" s="10"/>
      <c r="Z61" s="10"/>
      <c r="AA61" s="1270"/>
      <c r="AB61" s="3857" t="str">
        <f>IF(PDs!E81=0,"",PDs!E81)</f>
        <v/>
      </c>
      <c r="AC61" s="3857"/>
      <c r="AD61" s="3857"/>
      <c r="AE61" s="3857"/>
      <c r="AF61" s="3857"/>
      <c r="AG61" s="3857"/>
      <c r="AH61" s="3244" t="str">
        <f>IF(AB61="","",VLOOKUP(AB61,Tabla_ArsMagnus,6,FALSE))</f>
        <v/>
      </c>
      <c r="AI61" s="3244"/>
      <c r="AJ61" s="3244"/>
      <c r="AK61" s="3244"/>
      <c r="AL61" s="3244"/>
      <c r="AM61" s="3244"/>
      <c r="AN61" s="3244"/>
      <c r="AO61" s="3244"/>
      <c r="AP61" s="3244"/>
      <c r="AQ61" s="3244"/>
      <c r="AR61" s="1362"/>
      <c r="AS61" s="1308"/>
      <c r="AT61" s="1986"/>
      <c r="AU61" s="1986">
        <v>1</v>
      </c>
      <c r="AV61" s="1986">
        <v>2</v>
      </c>
      <c r="AW61" s="1986">
        <v>3</v>
      </c>
      <c r="AX61" s="1986">
        <v>4</v>
      </c>
      <c r="AY61" s="1986">
        <v>5</v>
      </c>
      <c r="AZ61" s="1986">
        <v>6</v>
      </c>
      <c r="BA61" s="1986"/>
      <c r="BB61" s="1986"/>
      <c r="BC61" s="1986"/>
      <c r="BD61" s="1986"/>
      <c r="BE61" s="1986"/>
      <c r="BF61" s="1986"/>
      <c r="BG61" s="1986"/>
      <c r="BH61" s="1986"/>
      <c r="BI61" s="1986"/>
    </row>
    <row r="62" spans="1:61" ht="12" customHeight="1" x14ac:dyDescent="0.2">
      <c r="A62" s="10"/>
      <c r="B62" s="1323"/>
      <c r="C62" s="1196" t="str">
        <f>IF(E59=0,"",VLOOKUP(E59,Tabla_ArmasyEscudos,6,FALSE))</f>
        <v/>
      </c>
      <c r="D62" s="565" t="str">
        <f>IF(E59=0,"",VLOOKUP(E59,Tabla_ArmasyEscudos,7,FALSE))</f>
        <v/>
      </c>
      <c r="E62" s="2043" t="str">
        <f>IF(E58=0,"",MAX(0,IF(Extensióndelauraalarma,10,0)+IF(Ki!$P$39="-",10,0)+J61*2+VLOOKUP(E58,Tabla_ArmasyEscudos,10,FALSE)+IF(F60=0,0,VLOOKUP(F60,Tabla_ArmasEnormes,6,FALSE))))&amp;IF(E59=0,"","/ "&amp;MAX(0,J62*2+VLOOKUP(E59,Tabla_ArmasyEscudos,10,FALSE)+IF(F60=0,0,VLOOKUP(F60,Tabla_ArmasEnormes,6,FALSE))))</f>
        <v/>
      </c>
      <c r="F62" s="2044" t="str">
        <f>IF(E59=0,"",MAX(0,J62*2/5+VLOOKUP(E59,Tabla_ArmasyEscudos,11,FALSE)+IF(F60=0,0,VLOOKUP(F60,Tabla_ArmasEnormes,7,FALSE))+IF(FUE=0,0,VLOOKUP(FUE,Tabla_Fuerza,2))))</f>
        <v/>
      </c>
      <c r="G62" s="2045" t="str">
        <f>IF(E58=0,0,MAX(J61*10,0)+VLOOKUP(E58,Tabla_ArmasyEscudos,12,FALSE))&amp;IF(E59=0,"","/ "&amp;MAX(J62*10,0)+VLOOKUP(E59,Tabla_ArmasyEscudos,12,FALSE))</f>
        <v>0</v>
      </c>
      <c r="H62" s="3996" t="s">
        <v>8969</v>
      </c>
      <c r="I62" s="3997"/>
      <c r="J62" s="1711"/>
      <c r="K62" s="3998" t="str">
        <f>IF(F60=0,IF(J62&lt;=0,"","TA defensor: -"&amp;J62/5),IF(Tamaño&lt;VLOOKUP(F60,Tabla_ArmasEnormes,2,FALSE),"Tam. excesivo",IF(J62&lt;=0,"","TA defensor: -"&amp;J62/5)))</f>
        <v/>
      </c>
      <c r="L62" s="3999"/>
      <c r="M62" s="838"/>
      <c r="N62" s="1196" t="str">
        <f>IF(P59=0,"",VLOOKUP(P59,Tabla_ArmasyEscudos,6,FALSE))</f>
        <v/>
      </c>
      <c r="O62" s="565" t="str">
        <f>IF(P59=0,"",VLOOKUP(P59,Tabla_ArmasyEscudos,7,FALSE))</f>
        <v/>
      </c>
      <c r="P62" s="2043" t="str">
        <f>IF(P58=0,"",MAX(0,IF(Extensióndelauraalarma,10,0)+IF(Ki!$P$39="-",10,0)+U61*2+VLOOKUP(P58,Tabla_ArmasyEscudos,10,FALSE)+IF(Q60=0,0,VLOOKUP(Q60,Tabla_ArmasEnormes,6,FALSE))))&amp;IF(P59=0,"","/ "&amp;MAX(0,U62*2+VLOOKUP(P59,Tabla_ArmasyEscudos,10,FALSE)+IF(Q60=0,0,VLOOKUP(Q60,Tabla_ArmasEnormes,6,FALSE))))</f>
        <v/>
      </c>
      <c r="Q62" s="2044" t="str">
        <f>IF(P59=0,"",MAX(0,U62*2/5+VLOOKUP(P59,Tabla_ArmasyEscudos,11,FALSE)+IF(Q60=0,0,VLOOKUP(Q60,Tabla_ArmasEnormes,7,FALSE))+IF(FUE=0,0,VLOOKUP(FUE,Tabla_Fuerza,2))))</f>
        <v/>
      </c>
      <c r="R62" s="2045" t="str">
        <f>IF(P58=0,0,MAX(U61*10,0)+VLOOKUP(P58,Tabla_ArmasyEscudos,12,FALSE))&amp;IF(P59=0,"","/ "&amp;MAX(U62*10,0)+VLOOKUP(P59,Tabla_ArmasyEscudos,12,FALSE))</f>
        <v>0</v>
      </c>
      <c r="S62" s="3996" t="s">
        <v>8969</v>
      </c>
      <c r="T62" s="3997"/>
      <c r="U62" s="1711"/>
      <c r="V62" s="3998" t="str">
        <f>IF(Q60=0,IF(U62&lt;=0,"","TA defensor: -"&amp;U62/5),IF(Tamaño&lt;VLOOKUP(Q60,Tabla_ArmasEnormes,2,FALSE),"Tam. excesivo",IF(U62&lt;=0,"","TA defensor: -"&amp;U62/5)))</f>
        <v/>
      </c>
      <c r="W62" s="3999"/>
      <c r="X62" s="652"/>
      <c r="Y62" s="10"/>
      <c r="Z62" s="10"/>
      <c r="AA62" s="1270"/>
      <c r="AB62" s="3857"/>
      <c r="AC62" s="3857"/>
      <c r="AD62" s="3857"/>
      <c r="AE62" s="3857"/>
      <c r="AF62" s="3857"/>
      <c r="AG62" s="3857"/>
      <c r="AH62" s="3244"/>
      <c r="AI62" s="3244"/>
      <c r="AJ62" s="3244"/>
      <c r="AK62" s="3244"/>
      <c r="AL62" s="3244"/>
      <c r="AM62" s="3244"/>
      <c r="AN62" s="3244"/>
      <c r="AO62" s="3244"/>
      <c r="AP62" s="3244"/>
      <c r="AQ62" s="3244"/>
      <c r="AR62" s="1362"/>
      <c r="AS62" s="1308"/>
      <c r="AT62" s="1986" t="s">
        <v>8943</v>
      </c>
      <c r="AU62" s="1986" t="str">
        <f>IF(OR(Tablas!Y840,Tablas!Y874),"PEN","-")</f>
        <v>-</v>
      </c>
      <c r="AV62" s="1986" t="str">
        <f>IF(OR(Tablas!Y874,Tablas!R1329&gt;0),"FIL","-")</f>
        <v>-</v>
      </c>
      <c r="AW62" s="1986" t="str">
        <f>IF(OR(Tablas!Y904,Tablas!Y905),"ENE","-")</f>
        <v>-</v>
      </c>
      <c r="AX62" s="1986" t="str">
        <f>IF(Tablas!R1328&gt;0,"CAL","-")</f>
        <v>-</v>
      </c>
      <c r="AY62" s="2776" t="str">
        <f>IF(Tablas!R1330&gt;0,"FRI","-")</f>
        <v>-</v>
      </c>
      <c r="AZ62" s="1986" t="str">
        <f>IF(OR(Tablas!R1329&gt;0,Tablas!R1330&gt;0),"CON","-")</f>
        <v>-</v>
      </c>
      <c r="BA62" s="1986"/>
      <c r="BB62" s="1986"/>
      <c r="BC62" s="1986"/>
      <c r="BD62" s="1986"/>
      <c r="BE62" s="1986"/>
      <c r="BF62" s="1986"/>
      <c r="BG62" s="1986"/>
      <c r="BH62" s="1986"/>
      <c r="BI62" s="1986"/>
    </row>
    <row r="63" spans="1:61" ht="12" customHeight="1" thickBot="1" x14ac:dyDescent="0.25">
      <c r="A63" s="10"/>
      <c r="B63" s="1323"/>
      <c r="C63" s="1591" t="s">
        <v>1590</v>
      </c>
      <c r="D63" s="2019" t="s">
        <v>1591</v>
      </c>
      <c r="E63" s="4006" t="str">
        <f>IF(E58=0,"",IF(E58="Armas naturales",D65,C65))</f>
        <v/>
      </c>
      <c r="F63" s="4007"/>
      <c r="G63" s="4007"/>
      <c r="H63" s="4007"/>
      <c r="I63" s="4007"/>
      <c r="J63" s="4008"/>
      <c r="K63" s="3977" t="s">
        <v>8607</v>
      </c>
      <c r="L63" s="3978"/>
      <c r="M63" s="838"/>
      <c r="N63" s="1591" t="s">
        <v>1590</v>
      </c>
      <c r="O63" s="2019" t="s">
        <v>1591</v>
      </c>
      <c r="P63" s="4006" t="str">
        <f>IF(P58=0,"",IF(P58="Armas naturales",O65,N65))</f>
        <v/>
      </c>
      <c r="Q63" s="4007"/>
      <c r="R63" s="4007"/>
      <c r="S63" s="4007"/>
      <c r="T63" s="4007"/>
      <c r="U63" s="4008"/>
      <c r="V63" s="3977" t="s">
        <v>8607</v>
      </c>
      <c r="W63" s="3978"/>
      <c r="X63" s="1271"/>
      <c r="Y63" s="10"/>
      <c r="Z63" s="10"/>
      <c r="AA63" s="1270"/>
      <c r="AB63" s="3858" t="str">
        <f>IF(PDs!E82=0,"",PDs!E82)</f>
        <v/>
      </c>
      <c r="AC63" s="3858"/>
      <c r="AD63" s="3858"/>
      <c r="AE63" s="3858"/>
      <c r="AF63" s="3858"/>
      <c r="AG63" s="3858"/>
      <c r="AH63" s="4015" t="str">
        <f>IF(AB63="","",VLOOKUP(AB63,Tabla_ArsMagnus,6,FALSE))</f>
        <v/>
      </c>
      <c r="AI63" s="4015"/>
      <c r="AJ63" s="4015"/>
      <c r="AK63" s="4015"/>
      <c r="AL63" s="4015"/>
      <c r="AM63" s="4015"/>
      <c r="AN63" s="4015"/>
      <c r="AO63" s="4015"/>
      <c r="AP63" s="4015"/>
      <c r="AQ63" s="4015"/>
      <c r="AR63" s="1362"/>
      <c r="AS63" s="1308"/>
      <c r="AT63" s="1986" t="s">
        <v>8786</v>
      </c>
      <c r="AU63" s="2780" t="b">
        <f t="shared" ref="AU63:AZ63" si="11">AU62&lt;&gt;"-"</f>
        <v>0</v>
      </c>
      <c r="AV63" s="2780" t="b">
        <f t="shared" si="11"/>
        <v>0</v>
      </c>
      <c r="AW63" s="2780" t="b">
        <f t="shared" si="11"/>
        <v>0</v>
      </c>
      <c r="AX63" s="2780" t="b">
        <f t="shared" si="11"/>
        <v>0</v>
      </c>
      <c r="AY63" s="2780" t="b">
        <f t="shared" si="11"/>
        <v>0</v>
      </c>
      <c r="AZ63" s="2780" t="b">
        <f t="shared" si="11"/>
        <v>0</v>
      </c>
      <c r="BA63" s="1986"/>
      <c r="BB63" s="1986"/>
      <c r="BC63" s="1986"/>
      <c r="BD63" s="1986"/>
      <c r="BE63" s="1986"/>
      <c r="BF63" s="1986"/>
      <c r="BG63" s="1986"/>
      <c r="BH63" s="1986"/>
      <c r="BI63" s="1986"/>
    </row>
    <row r="64" spans="1:61" ht="12" customHeight="1" thickBot="1" x14ac:dyDescent="0.25">
      <c r="A64" s="10"/>
      <c r="B64" s="1323"/>
      <c r="C64" s="1703" t="str">
        <f>IF(E58=0,"",MAX(VLOOKUP(E58,Tabla_ArmasyEscudos,17,FALSE)+IF(VLOOKUP(E58,Tabla_ArmasyEscudos,18,FALSE)=0,IF(FUE&lt;3,-30,VLOOKUP(FUE,Tabla_AlcanceFUE,2)),VLOOKUP(VLOOKUP(E58,Tabla_ArmasyEscudos,18,FALSE)+TRUNC(J61/5,0),Tabla_AlcanceFUE,2)),0))</f>
        <v/>
      </c>
      <c r="D64" s="1704" t="str">
        <f>IF(E58=0,"",VLOOKUP(E58,Tabla_ArmasyEscudos,16,FALSE))</f>
        <v/>
      </c>
      <c r="E64" s="4009" t="str">
        <f>IF(E59=0,"",VLOOKUP(E59,Tabla_ArmasyEscudos,19,FALSE))</f>
        <v/>
      </c>
      <c r="F64" s="4010"/>
      <c r="G64" s="4010"/>
      <c r="H64" s="4010"/>
      <c r="I64" s="4010"/>
      <c r="J64" s="4011"/>
      <c r="K64" s="3981" t="s">
        <v>1389</v>
      </c>
      <c r="L64" s="3982"/>
      <c r="M64" s="1362"/>
      <c r="N64" s="1703" t="str">
        <f>IF(P58=0,"",MAX(VLOOKUP(P58,Tabla_ArmasyEscudos,17,FALSE)+IF(VLOOKUP(P58,Tabla_ArmasyEscudos,18,FALSE)=0,IF(FUE&lt;3,-30,VLOOKUP(FUE,Tabla_AlcanceFUE,2)),VLOOKUP(VLOOKUP(P58,Tabla_ArmasyEscudos,18,FALSE)+TRUNC(U61/5,0),Tabla_AlcanceFUE,2)),0))</f>
        <v/>
      </c>
      <c r="O64" s="1704" t="str">
        <f>IF(P58=0,"",VLOOKUP(P58,Tabla_ArmasyEscudos,16,FALSE))</f>
        <v/>
      </c>
      <c r="P64" s="4009" t="str">
        <f>IF(P59=0,"",VLOOKUP(P59,Tabla_ArmasyEscudos,19,FALSE))</f>
        <v/>
      </c>
      <c r="Q64" s="4010"/>
      <c r="R64" s="4010"/>
      <c r="S64" s="4010"/>
      <c r="T64" s="4010"/>
      <c r="U64" s="4011"/>
      <c r="V64" s="3981" t="s">
        <v>1389</v>
      </c>
      <c r="W64" s="3982"/>
      <c r="X64" s="652"/>
      <c r="Y64" s="10"/>
      <c r="Z64" s="10"/>
      <c r="AA64" s="1270"/>
      <c r="AB64" s="3858"/>
      <c r="AC64" s="3858"/>
      <c r="AD64" s="3858"/>
      <c r="AE64" s="3858"/>
      <c r="AF64" s="3858"/>
      <c r="AG64" s="3858"/>
      <c r="AH64" s="4015"/>
      <c r="AI64" s="4015"/>
      <c r="AJ64" s="4015"/>
      <c r="AK64" s="4015"/>
      <c r="AL64" s="4015"/>
      <c r="AM64" s="4015"/>
      <c r="AN64" s="4015"/>
      <c r="AO64" s="4015"/>
      <c r="AP64" s="4015"/>
      <c r="AQ64" s="4015"/>
      <c r="AR64" s="1362"/>
      <c r="AS64" s="1308"/>
      <c r="AT64" s="1986" t="s">
        <v>3250</v>
      </c>
      <c r="AU64" s="2780"/>
      <c r="AV64" s="2780" t="b">
        <f>AND(AV63,AU63)</f>
        <v>0</v>
      </c>
      <c r="AW64" s="2780" t="b">
        <f>AND(AW63,OR(AU63,AV63))</f>
        <v>0</v>
      </c>
      <c r="AX64" s="2780" t="b">
        <f>AND(AX63,OR(AU63,AV63,AW63))</f>
        <v>0</v>
      </c>
      <c r="AY64" s="2782" t="b">
        <f>AND(AY63,OR(AU63,AV63,AW63,AX63))</f>
        <v>0</v>
      </c>
      <c r="AZ64" s="2780" t="b">
        <f>AND(AZ63,OR(AU63,AV63,AW63,AX63,AY63))</f>
        <v>0</v>
      </c>
      <c r="BA64" s="1986"/>
      <c r="BB64" s="1986"/>
      <c r="BC64" s="1986"/>
      <c r="BD64" s="1986"/>
      <c r="BE64" s="1986"/>
      <c r="BF64" s="1986"/>
      <c r="BG64" s="1986"/>
      <c r="BH64" s="1986"/>
      <c r="BI64" s="1986"/>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1986"/>
      <c r="AU65" s="2007"/>
      <c r="AV65" s="2007"/>
      <c r="AW65" s="2007"/>
      <c r="AX65" s="1986"/>
      <c r="AY65" s="1986"/>
      <c r="AZ65" s="2776"/>
      <c r="BA65" s="1986"/>
      <c r="BB65" s="1986"/>
      <c r="BC65" s="1986"/>
      <c r="BD65" s="1986"/>
      <c r="BE65" s="1986"/>
      <c r="BF65" s="1986"/>
      <c r="BG65" s="1986"/>
      <c r="BH65" s="1986"/>
      <c r="BI65" s="1986"/>
    </row>
    <row r="66" spans="1:61" ht="12" customHeight="1" thickBot="1" x14ac:dyDescent="0.25">
      <c r="A66" s="10"/>
      <c r="B66" s="1323"/>
      <c r="C66" s="2847" t="s">
        <v>9900</v>
      </c>
      <c r="D66" s="2848"/>
      <c r="E66" s="2848"/>
      <c r="F66" s="2848"/>
      <c r="G66" s="2848"/>
      <c r="H66" s="2848"/>
      <c r="I66" s="2848"/>
      <c r="J66" s="2848"/>
      <c r="K66" s="2848"/>
      <c r="L66" s="2848"/>
      <c r="M66" s="2848"/>
      <c r="N66" s="2848"/>
      <c r="O66" s="2848"/>
      <c r="P66" s="2848"/>
      <c r="Q66" s="2848"/>
      <c r="R66" s="2848"/>
      <c r="S66" s="2848"/>
      <c r="T66" s="2848"/>
      <c r="U66" s="2848"/>
      <c r="V66" s="2848"/>
      <c r="W66" s="2849"/>
      <c r="X66" s="652"/>
      <c r="Y66" s="10"/>
      <c r="Z66" s="10"/>
      <c r="AA66" s="542"/>
      <c r="AB66" s="3026" t="s">
        <v>9901</v>
      </c>
      <c r="AC66" s="3027"/>
      <c r="AD66" s="3027"/>
      <c r="AE66" s="3027"/>
      <c r="AF66" s="3027"/>
      <c r="AG66" s="3027"/>
      <c r="AH66" s="3027"/>
      <c r="AI66" s="3027"/>
      <c r="AJ66" s="3027"/>
      <c r="AK66" s="3027"/>
      <c r="AL66" s="3027"/>
      <c r="AM66" s="3027"/>
      <c r="AN66" s="3027"/>
      <c r="AO66" s="3027"/>
      <c r="AP66" s="3027"/>
      <c r="AQ66" s="3028"/>
      <c r="AR66" s="1362"/>
      <c r="AS66" s="1308"/>
      <c r="AT66" s="1986"/>
      <c r="AU66" s="2007"/>
      <c r="AV66" s="2007"/>
      <c r="AW66" s="2007"/>
      <c r="AX66" s="1986"/>
      <c r="AY66" s="1986"/>
      <c r="AZ66" s="2776"/>
      <c r="BA66" s="1986"/>
      <c r="BB66" s="1986"/>
      <c r="BC66" s="1986"/>
      <c r="BD66" s="1986"/>
      <c r="BE66" s="1986"/>
      <c r="BF66" s="1986"/>
      <c r="BG66" s="1986"/>
      <c r="BH66" s="1986"/>
      <c r="BI66" s="1986"/>
    </row>
    <row r="67" spans="1:61" ht="12" customHeight="1" x14ac:dyDescent="0.2">
      <c r="A67" s="10"/>
      <c r="B67" s="1323"/>
      <c r="C67" s="3796"/>
      <c r="D67" s="3330"/>
      <c r="E67" s="3330"/>
      <c r="F67" s="3330"/>
      <c r="G67" s="3330"/>
      <c r="H67" s="3330"/>
      <c r="I67" s="3330"/>
      <c r="J67" s="3330"/>
      <c r="K67" s="3330"/>
      <c r="L67" s="3330"/>
      <c r="M67" s="3330"/>
      <c r="N67" s="3330"/>
      <c r="O67" s="3330"/>
      <c r="P67" s="3330"/>
      <c r="Q67" s="3330"/>
      <c r="R67" s="3330"/>
      <c r="S67" s="3330"/>
      <c r="T67" s="3330"/>
      <c r="U67" s="3330"/>
      <c r="V67" s="3330"/>
      <c r="W67" s="3797"/>
      <c r="X67" s="652"/>
      <c r="Y67" s="10"/>
      <c r="Z67" s="10"/>
      <c r="AA67" s="542"/>
      <c r="AB67" s="3793"/>
      <c r="AC67" s="3794"/>
      <c r="AD67" s="3794"/>
      <c r="AE67" s="3794"/>
      <c r="AF67" s="3794"/>
      <c r="AG67" s="3794"/>
      <c r="AH67" s="3794"/>
      <c r="AI67" s="3794"/>
      <c r="AJ67" s="3794"/>
      <c r="AK67" s="3794"/>
      <c r="AL67" s="3794"/>
      <c r="AM67" s="3794"/>
      <c r="AN67" s="3794"/>
      <c r="AO67" s="3794"/>
      <c r="AP67" s="3794"/>
      <c r="AQ67" s="3795"/>
      <c r="AR67" s="1362"/>
      <c r="AS67" s="1308"/>
      <c r="AT67" s="1986"/>
      <c r="AU67" s="1986"/>
      <c r="AV67" s="1986"/>
      <c r="AW67" s="1986"/>
      <c r="AX67" s="1986"/>
      <c r="AY67" s="1986"/>
      <c r="AZ67" s="1986"/>
      <c r="BA67" s="1986"/>
      <c r="BB67" s="1986"/>
      <c r="BC67" s="1986"/>
      <c r="BD67" s="1986"/>
      <c r="BE67" s="1986"/>
      <c r="BF67" s="1986"/>
      <c r="BG67" s="1986"/>
      <c r="BH67" s="1986"/>
      <c r="BI67" s="1986"/>
    </row>
    <row r="68" spans="1:61" ht="12" customHeight="1" x14ac:dyDescent="0.2">
      <c r="A68" s="10"/>
      <c r="B68" s="1323"/>
      <c r="C68" s="3796"/>
      <c r="D68" s="3330"/>
      <c r="E68" s="3330"/>
      <c r="F68" s="3330"/>
      <c r="G68" s="3330"/>
      <c r="H68" s="3330"/>
      <c r="I68" s="3330"/>
      <c r="J68" s="3330"/>
      <c r="K68" s="3330"/>
      <c r="L68" s="3330"/>
      <c r="M68" s="3330"/>
      <c r="N68" s="3330"/>
      <c r="O68" s="3330"/>
      <c r="P68" s="3330"/>
      <c r="Q68" s="3330"/>
      <c r="R68" s="3330"/>
      <c r="S68" s="3330"/>
      <c r="T68" s="3330"/>
      <c r="U68" s="3330"/>
      <c r="V68" s="3330"/>
      <c r="W68" s="3797"/>
      <c r="X68" s="652"/>
      <c r="Y68" s="10"/>
      <c r="Z68" s="10"/>
      <c r="AA68" s="542"/>
      <c r="AB68" s="3796"/>
      <c r="AC68" s="3330"/>
      <c r="AD68" s="3330"/>
      <c r="AE68" s="3330"/>
      <c r="AF68" s="3330"/>
      <c r="AG68" s="3330"/>
      <c r="AH68" s="3330"/>
      <c r="AI68" s="3330"/>
      <c r="AJ68" s="3330"/>
      <c r="AK68" s="3330"/>
      <c r="AL68" s="3330"/>
      <c r="AM68" s="3330"/>
      <c r="AN68" s="3330"/>
      <c r="AO68" s="3330"/>
      <c r="AP68" s="3330"/>
      <c r="AQ68" s="3797"/>
      <c r="AR68" s="1362"/>
      <c r="AS68" s="1308"/>
      <c r="AT68" s="1986"/>
      <c r="AU68" s="1986"/>
      <c r="AV68" s="1986"/>
      <c r="AW68" s="1986"/>
      <c r="AX68" s="1986"/>
      <c r="AY68" s="1986"/>
      <c r="AZ68" s="1986"/>
      <c r="BA68" s="1986"/>
      <c r="BB68" s="1986"/>
      <c r="BC68" s="1986"/>
      <c r="BD68" s="1986"/>
      <c r="BE68" s="1986"/>
      <c r="BF68" s="1986"/>
      <c r="BG68" s="1986"/>
      <c r="BH68" s="1986"/>
      <c r="BI68" s="1986"/>
    </row>
    <row r="69" spans="1:61" ht="12" customHeight="1" x14ac:dyDescent="0.2">
      <c r="A69" s="10"/>
      <c r="B69" s="1323"/>
      <c r="C69" s="3796"/>
      <c r="D69" s="3330"/>
      <c r="E69" s="3330"/>
      <c r="F69" s="3330"/>
      <c r="G69" s="3330"/>
      <c r="H69" s="3330"/>
      <c r="I69" s="3330"/>
      <c r="J69" s="3330"/>
      <c r="K69" s="3330"/>
      <c r="L69" s="3330"/>
      <c r="M69" s="3330"/>
      <c r="N69" s="3330"/>
      <c r="O69" s="3330"/>
      <c r="P69" s="3330"/>
      <c r="Q69" s="3330"/>
      <c r="R69" s="3330"/>
      <c r="S69" s="3330"/>
      <c r="T69" s="3330"/>
      <c r="U69" s="3330"/>
      <c r="V69" s="3330"/>
      <c r="W69" s="3797"/>
      <c r="X69" s="652"/>
      <c r="Y69" s="10"/>
      <c r="Z69" s="10"/>
      <c r="AA69" s="542"/>
      <c r="AB69" s="3796"/>
      <c r="AC69" s="3330"/>
      <c r="AD69" s="3330"/>
      <c r="AE69" s="3330"/>
      <c r="AF69" s="3330"/>
      <c r="AG69" s="3330"/>
      <c r="AH69" s="3330"/>
      <c r="AI69" s="3330"/>
      <c r="AJ69" s="3330"/>
      <c r="AK69" s="3330"/>
      <c r="AL69" s="3330"/>
      <c r="AM69" s="3330"/>
      <c r="AN69" s="3330"/>
      <c r="AO69" s="3330"/>
      <c r="AP69" s="3330"/>
      <c r="AQ69" s="3797"/>
      <c r="AR69" s="1362"/>
      <c r="AS69" s="1308"/>
      <c r="AT69" s="1986"/>
      <c r="AU69" s="1986"/>
      <c r="AV69" s="1986"/>
      <c r="AW69" s="1986"/>
      <c r="AX69" s="1986"/>
      <c r="AY69" s="1986"/>
      <c r="AZ69" s="1986"/>
      <c r="BA69" s="1986"/>
      <c r="BB69" s="1986"/>
      <c r="BC69" s="1986"/>
      <c r="BD69" s="1986"/>
      <c r="BE69" s="1986"/>
      <c r="BF69" s="1986"/>
      <c r="BG69" s="1986"/>
      <c r="BH69" s="1986"/>
      <c r="BI69" s="1986"/>
    </row>
    <row r="70" spans="1:61" ht="12" customHeight="1" x14ac:dyDescent="0.2">
      <c r="A70" s="10"/>
      <c r="B70" s="1323"/>
      <c r="C70" s="3796"/>
      <c r="D70" s="3330"/>
      <c r="E70" s="3330"/>
      <c r="F70" s="3330"/>
      <c r="G70" s="3330"/>
      <c r="H70" s="3330"/>
      <c r="I70" s="3330"/>
      <c r="J70" s="3330"/>
      <c r="K70" s="3330"/>
      <c r="L70" s="3330"/>
      <c r="M70" s="3330"/>
      <c r="N70" s="3330"/>
      <c r="O70" s="3330"/>
      <c r="P70" s="3330"/>
      <c r="Q70" s="3330"/>
      <c r="R70" s="3330"/>
      <c r="S70" s="3330"/>
      <c r="T70" s="3330"/>
      <c r="U70" s="3330"/>
      <c r="V70" s="3330"/>
      <c r="W70" s="3797"/>
      <c r="X70" s="652"/>
      <c r="Y70" s="10"/>
      <c r="Z70" s="10"/>
      <c r="AA70" s="542"/>
      <c r="AB70" s="3796"/>
      <c r="AC70" s="3330"/>
      <c r="AD70" s="3330"/>
      <c r="AE70" s="3330"/>
      <c r="AF70" s="3330"/>
      <c r="AG70" s="3330"/>
      <c r="AH70" s="3330"/>
      <c r="AI70" s="3330"/>
      <c r="AJ70" s="3330"/>
      <c r="AK70" s="3330"/>
      <c r="AL70" s="3330"/>
      <c r="AM70" s="3330"/>
      <c r="AN70" s="3330"/>
      <c r="AO70" s="3330"/>
      <c r="AP70" s="3330"/>
      <c r="AQ70" s="3797"/>
      <c r="AR70" s="1362"/>
      <c r="AS70" s="1308"/>
      <c r="AT70" s="1986"/>
      <c r="AU70" s="1986"/>
      <c r="AV70" s="1986"/>
      <c r="AW70" s="1986"/>
      <c r="AX70" s="1986"/>
      <c r="AY70" s="1986"/>
      <c r="AZ70" s="1986"/>
      <c r="BA70" s="1986"/>
      <c r="BB70" s="1986"/>
      <c r="BC70" s="1986"/>
      <c r="BD70" s="1986"/>
      <c r="BE70" s="1986"/>
      <c r="BF70" s="1986"/>
      <c r="BG70" s="1986"/>
      <c r="BH70" s="1986"/>
      <c r="BI70" s="1986"/>
    </row>
    <row r="71" spans="1:61" ht="12" customHeight="1" thickBot="1" x14ac:dyDescent="0.25">
      <c r="A71" s="10"/>
      <c r="B71" s="1323"/>
      <c r="C71" s="3798"/>
      <c r="D71" s="3799"/>
      <c r="E71" s="3799"/>
      <c r="F71" s="3799"/>
      <c r="G71" s="3799"/>
      <c r="H71" s="3799"/>
      <c r="I71" s="3799"/>
      <c r="J71" s="3799"/>
      <c r="K71" s="3799"/>
      <c r="L71" s="3799"/>
      <c r="M71" s="3799"/>
      <c r="N71" s="3799"/>
      <c r="O71" s="3799"/>
      <c r="P71" s="3799"/>
      <c r="Q71" s="3799"/>
      <c r="R71" s="3799"/>
      <c r="S71" s="3799"/>
      <c r="T71" s="3799"/>
      <c r="U71" s="3799"/>
      <c r="V71" s="3799"/>
      <c r="W71" s="3800"/>
      <c r="X71" s="652"/>
      <c r="Y71" s="10"/>
      <c r="Z71" s="10"/>
      <c r="AA71" s="542"/>
      <c r="AB71" s="3798"/>
      <c r="AC71" s="3799"/>
      <c r="AD71" s="3799"/>
      <c r="AE71" s="3799"/>
      <c r="AF71" s="3799"/>
      <c r="AG71" s="3799"/>
      <c r="AH71" s="3799"/>
      <c r="AI71" s="3799"/>
      <c r="AJ71" s="3799"/>
      <c r="AK71" s="3799"/>
      <c r="AL71" s="3799"/>
      <c r="AM71" s="3799"/>
      <c r="AN71" s="3799"/>
      <c r="AO71" s="3799"/>
      <c r="AP71" s="3799"/>
      <c r="AQ71" s="3800"/>
      <c r="AR71" s="1362"/>
      <c r="AS71" s="1308"/>
      <c r="AT71" s="1986"/>
      <c r="AU71" s="1986"/>
      <c r="AV71" s="1986"/>
      <c r="AW71" s="1986"/>
      <c r="AX71" s="1986"/>
      <c r="AY71" s="1986"/>
      <c r="AZ71" s="1986"/>
      <c r="BA71" s="1986"/>
      <c r="BB71" s="1986"/>
      <c r="BC71" s="1986"/>
      <c r="BD71" s="1986"/>
      <c r="BE71" s="1986"/>
      <c r="BF71" s="1986"/>
      <c r="BG71" s="1986"/>
      <c r="BH71" s="1986"/>
      <c r="BI71" s="1986"/>
    </row>
    <row r="72" spans="1:61" ht="12" customHeight="1" thickBot="1" x14ac:dyDescent="0.25">
      <c r="A72" s="10"/>
      <c r="B72" s="1324"/>
      <c r="C72" s="890"/>
      <c r="D72" s="890"/>
      <c r="E72" s="890"/>
      <c r="F72" s="890"/>
      <c r="G72" s="890"/>
      <c r="H72" s="890"/>
      <c r="I72" s="1273"/>
      <c r="J72" s="1273"/>
      <c r="K72" s="1273"/>
      <c r="L72" s="1273"/>
      <c r="M72" s="2033"/>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1986"/>
      <c r="AU72" s="1986"/>
      <c r="AV72" s="1986"/>
      <c r="AW72" s="1986"/>
      <c r="AX72" s="1986"/>
      <c r="AY72" s="1986"/>
      <c r="AZ72" s="1986"/>
      <c r="BA72" s="1986"/>
      <c r="BB72" s="1986"/>
      <c r="BC72" s="1986"/>
      <c r="BD72" s="1986"/>
      <c r="BE72" s="1986"/>
      <c r="BF72" s="1986"/>
      <c r="BG72" s="1986"/>
      <c r="BH72" s="1986"/>
      <c r="BI72" s="1986"/>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2758"/>
      <c r="AU73" s="1986"/>
      <c r="AV73" s="1986"/>
      <c r="AW73" s="1986"/>
      <c r="AX73" s="1986"/>
      <c r="AY73" s="1986"/>
      <c r="AZ73" s="1986"/>
      <c r="BA73" s="1986"/>
      <c r="BB73" s="1986"/>
      <c r="BC73" s="1986"/>
      <c r="BD73" s="1986"/>
      <c r="BE73" s="1986"/>
      <c r="BF73" s="1986"/>
      <c r="BG73" s="1986"/>
      <c r="BH73" s="1986"/>
      <c r="BI73" s="1986"/>
    </row>
  </sheetData>
  <sheetProtection selectLockedCells="1"/>
  <mergeCells count="360">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AH15:AK15"/>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8:O28"/>
    <mergeCell ref="AH28:AQ28"/>
    <mergeCell ref="P28:R28"/>
    <mergeCell ref="U28:V28"/>
    <mergeCell ref="T29:T30"/>
    <mergeCell ref="U29:U30"/>
    <mergeCell ref="AH14:AK14"/>
    <mergeCell ref="V12:V13"/>
    <mergeCell ref="H18:S18"/>
    <mergeCell ref="U21:W21"/>
    <mergeCell ref="K21:K22"/>
    <mergeCell ref="L21:L22"/>
    <mergeCell ref="W29:W30"/>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s>
  <phoneticPr fontId="9" type="noConversion"/>
  <conditionalFormatting sqref="AH57:AQ62 AF40:AF45">
    <cfRule type="cellIs" dxfId="1155" priority="113" stopIfTrue="1" operator="equal">
      <formula>0</formula>
    </cfRule>
  </conditionalFormatting>
  <conditionalFormatting sqref="I23:L23">
    <cfRule type="expression" dxfId="1154" priority="101" stopIfTrue="1">
      <formula>OR($E$20="Sin equipo",$E$20="")</formula>
    </cfRule>
  </conditionalFormatting>
  <conditionalFormatting sqref="I23">
    <cfRule type="expression" dxfId="1153" priority="92">
      <formula>$H$23&lt;&gt;""</formula>
    </cfRule>
  </conditionalFormatting>
  <conditionalFormatting sqref="E28 E49">
    <cfRule type="expression" dxfId="1152" priority="5990" stopIfTrue="1">
      <formula>COUNTIF(INDIRECT($C28),$E28)=0</formula>
    </cfRule>
  </conditionalFormatting>
  <conditionalFormatting sqref="C28">
    <cfRule type="expression" dxfId="1151" priority="5995" stopIfTrue="1">
      <formula>AND(C28="A dos manos",COUNTIF($R$22:$W$25,$C27&amp;" "&amp;$E28))</formula>
    </cfRule>
  </conditionalFormatting>
  <conditionalFormatting sqref="U22:W25">
    <cfRule type="expression" dxfId="1150" priority="6005" stopIfTrue="1">
      <formula>COUNTIF($R$22:$T$25,U22)&gt;0</formula>
    </cfRule>
    <cfRule type="expression" dxfId="1149" priority="6006" stopIfTrue="1">
      <formula>$R22=$U22</formula>
    </cfRule>
  </conditionalFormatting>
  <conditionalFormatting sqref="R22:T25">
    <cfRule type="expression" dxfId="1148" priority="6007" stopIfTrue="1">
      <formula>COUNTIF($R$22:$W$25,$R22)&gt;1</formula>
    </cfRule>
  </conditionalFormatting>
  <conditionalFormatting sqref="C18:G18">
    <cfRule type="notContainsBlanks" dxfId="1147" priority="91">
      <formula>LEN(TRIM(C18))&gt;0</formula>
    </cfRule>
  </conditionalFormatting>
  <conditionalFormatting sqref="H18:S18">
    <cfRule type="notContainsBlanks" dxfId="1146" priority="90">
      <formula>LEN(TRIM(H18))&gt;0</formula>
    </cfRule>
  </conditionalFormatting>
  <conditionalFormatting sqref="P49">
    <cfRule type="expression" dxfId="1145" priority="87" stopIfTrue="1">
      <formula>COUNTIF(INDIRECT($X49),$P49)=0</formula>
    </cfRule>
  </conditionalFormatting>
  <conditionalFormatting sqref="P58">
    <cfRule type="expression" dxfId="1144" priority="86" stopIfTrue="1">
      <formula>COUNTIF(INDIRECT($X58),$P58)=0</formula>
    </cfRule>
  </conditionalFormatting>
  <conditionalFormatting sqref="E58">
    <cfRule type="expression" dxfId="1143" priority="83" stopIfTrue="1">
      <formula>COUNTIF(INDIRECT($C58),$E58)=0</formula>
    </cfRule>
  </conditionalFormatting>
  <conditionalFormatting sqref="AD14:AD16 AF14:AF16">
    <cfRule type="cellIs" dxfId="1142" priority="70" stopIfTrue="1" operator="lessThan">
      <formula>0</formula>
    </cfRule>
    <cfRule type="cellIs" dxfId="1141" priority="71" stopIfTrue="1" operator="greaterThan">
      <formula>0</formula>
    </cfRule>
  </conditionalFormatting>
  <conditionalFormatting sqref="E63:J63">
    <cfRule type="containsText" dxfId="1140" priority="69" operator="containsText" text="Armas naturales a distancia no disponibles">
      <formula>NOT(ISERROR(SEARCH("Armas naturales a distancia no disponibles",E63)))</formula>
    </cfRule>
  </conditionalFormatting>
  <conditionalFormatting sqref="P63:U63">
    <cfRule type="containsText" dxfId="1139" priority="68" operator="containsText" text="Armas naturales a distancia no disponibles">
      <formula>NOT(ISERROR(SEARCH("Armas naturales a distancia no disponibles",P63)))</formula>
    </cfRule>
  </conditionalFormatting>
  <conditionalFormatting sqref="P54:U54">
    <cfRule type="containsText" dxfId="1138" priority="67" operator="containsText" text="Armas naturales a distancia no disponibles">
      <formula>NOT(ISERROR(SEARCH("Armas naturales a distancia no disponibles",P54)))</formula>
    </cfRule>
  </conditionalFormatting>
  <conditionalFormatting sqref="E54:J54">
    <cfRule type="containsText" dxfId="1137" priority="66" operator="containsText" text="Armas naturales a distancia no disponibles">
      <formula>NOT(ISERROR(SEARCH("Armas naturales a distancia no disponibles",E54)))</formula>
    </cfRule>
  </conditionalFormatting>
  <conditionalFormatting sqref="C32:H32">
    <cfRule type="containsText" dxfId="1136" priority="59" operator="containsText" text="Armas naturales cuerpo a cuerpo no disponibles">
      <formula>NOT(ISERROR(SEARCH("Armas naturales cuerpo a cuerpo no disponibles",C32)))</formula>
    </cfRule>
    <cfRule type="containsText" dxfId="1135" priority="65" operator="containsText" text="Armas naturales no disponibles">
      <formula>NOT(ISERROR(SEARCH("Armas naturales no disponibles",C32)))</formula>
    </cfRule>
  </conditionalFormatting>
  <conditionalFormatting sqref="C28:D28">
    <cfRule type="expression" dxfId="1134" priority="38" stopIfTrue="1">
      <formula>AND(E28&lt;&gt;"",NOT(COUNTIF(INDIRECT(M28),E28)&gt;0))</formula>
    </cfRule>
  </conditionalFormatting>
  <conditionalFormatting sqref="N28">
    <cfRule type="expression" dxfId="1133" priority="37" stopIfTrue="1">
      <formula>AND(N28="A dos manos",COUNTIF($R$22:$W$25,$C27&amp;" "&amp;$E28))</formula>
    </cfRule>
  </conditionalFormatting>
  <conditionalFormatting sqref="N32:S32">
    <cfRule type="containsText" dxfId="1132" priority="34" operator="containsText" text="Armas naturales cuerpo a cuerpo no disponibles">
      <formula>NOT(ISERROR(SEARCH("Armas naturales cuerpo a cuerpo no disponibles",N32)))</formula>
    </cfRule>
    <cfRule type="containsText" dxfId="1131" priority="35" operator="containsText" text="Armas naturales no disponibles">
      <formula>NOT(ISERROR(SEARCH("Armas naturales no disponibles",N32)))</formula>
    </cfRule>
  </conditionalFormatting>
  <conditionalFormatting sqref="N28:O28">
    <cfRule type="expression" dxfId="1130" priority="33" stopIfTrue="1">
      <formula>AND(P28&lt;&gt;"",NOT(COUNTIF(INDIRECT(X28),P28)&gt;0))</formula>
    </cfRule>
  </conditionalFormatting>
  <conditionalFormatting sqref="E35">
    <cfRule type="expression" dxfId="1129" priority="31" stopIfTrue="1">
      <formula>COUNTIF(INDIRECT($C35),$E35)=0</formula>
    </cfRule>
  </conditionalFormatting>
  <conditionalFormatting sqref="C35">
    <cfRule type="expression" dxfId="1128" priority="32" stopIfTrue="1">
      <formula>AND(C35="A dos manos",COUNTIF($R$22:$W$25,$C34&amp;" "&amp;$E35))</formula>
    </cfRule>
  </conditionalFormatting>
  <conditionalFormatting sqref="C39:H39">
    <cfRule type="containsText" dxfId="1127" priority="29" operator="containsText" text="Armas naturales cuerpo a cuerpo no disponibles">
      <formula>NOT(ISERROR(SEARCH("Armas naturales cuerpo a cuerpo no disponibles",C39)))</formula>
    </cfRule>
    <cfRule type="containsText" dxfId="1126" priority="30" operator="containsText" text="Armas naturales no disponibles">
      <formula>NOT(ISERROR(SEARCH("Armas naturales no disponibles",C39)))</formula>
    </cfRule>
  </conditionalFormatting>
  <conditionalFormatting sqref="C35:D35">
    <cfRule type="expression" dxfId="1125" priority="28" stopIfTrue="1">
      <formula>AND(E35&lt;&gt;"",NOT(COUNTIF(INDIRECT(M35),E35)&gt;0))</formula>
    </cfRule>
  </conditionalFormatting>
  <conditionalFormatting sqref="N35">
    <cfRule type="expression" dxfId="1124" priority="27" stopIfTrue="1">
      <formula>AND(N35="A dos manos",COUNTIF($R$22:$W$25,$C34&amp;" "&amp;$E35))</formula>
    </cfRule>
  </conditionalFormatting>
  <conditionalFormatting sqref="N39:S39">
    <cfRule type="containsText" dxfId="1123" priority="24" operator="containsText" text="Armas naturales cuerpo a cuerpo no disponibles">
      <formula>NOT(ISERROR(SEARCH("Armas naturales cuerpo a cuerpo no disponibles",N39)))</formula>
    </cfRule>
    <cfRule type="containsText" dxfId="1122" priority="25" operator="containsText" text="Armas naturales no disponibles">
      <formula>NOT(ISERROR(SEARCH("Armas naturales no disponibles",N39)))</formula>
    </cfRule>
  </conditionalFormatting>
  <conditionalFormatting sqref="N35:O35">
    <cfRule type="expression" dxfId="1121" priority="23" stopIfTrue="1">
      <formula>AND(P35&lt;&gt;"",NOT(COUNTIF(INDIRECT(X35),P35)&gt;0))</formula>
    </cfRule>
  </conditionalFormatting>
  <conditionalFormatting sqref="C42">
    <cfRule type="expression" dxfId="1120" priority="22" stopIfTrue="1">
      <formula>AND(C42="A dos manos",COUNTIF($R$22:$W$25,$C41&amp;" "&amp;$E42))</formula>
    </cfRule>
  </conditionalFormatting>
  <conditionalFormatting sqref="C46:H46">
    <cfRule type="containsText" dxfId="1119" priority="19" operator="containsText" text="Armas naturales cuerpo a cuerpo no disponibles">
      <formula>NOT(ISERROR(SEARCH("Armas naturales cuerpo a cuerpo no disponibles",C46)))</formula>
    </cfRule>
    <cfRule type="containsText" dxfId="1118" priority="20" operator="containsText" text="Armas naturales no disponibles">
      <formula>NOT(ISERROR(SEARCH("Armas naturales no disponibles",C46)))</formula>
    </cfRule>
  </conditionalFormatting>
  <conditionalFormatting sqref="C42:D42">
    <cfRule type="expression" dxfId="1117" priority="18" stopIfTrue="1">
      <formula>AND(E42&lt;&gt;"",NOT(COUNTIF(INDIRECT(M42),E42)&gt;0))</formula>
    </cfRule>
  </conditionalFormatting>
  <conditionalFormatting sqref="N42">
    <cfRule type="expression" dxfId="1116" priority="17" stopIfTrue="1">
      <formula>AND(N42="A dos manos",COUNTIF($R$22:$W$25,$C41&amp;" "&amp;$E42))</formula>
    </cfRule>
  </conditionalFormatting>
  <conditionalFormatting sqref="N46:S46">
    <cfRule type="containsText" dxfId="1115" priority="14" operator="containsText" text="Armas naturales cuerpo a cuerpo no disponibles">
      <formula>NOT(ISERROR(SEARCH("Armas naturales cuerpo a cuerpo no disponibles",N46)))</formula>
    </cfRule>
    <cfRule type="containsText" dxfId="1114" priority="15" operator="containsText" text="Armas naturales no disponibles">
      <formula>NOT(ISERROR(SEARCH("Armas naturales no disponibles",N46)))</formula>
    </cfRule>
  </conditionalFormatting>
  <conditionalFormatting sqref="N42:O42">
    <cfRule type="expression" dxfId="1113" priority="13" stopIfTrue="1">
      <formula>AND(P42&lt;&gt;"",NOT(COUNTIF(INDIRECT(X42),P42)&gt;0))</formula>
    </cfRule>
  </conditionalFormatting>
  <conditionalFormatting sqref="C13:E13">
    <cfRule type="expression" dxfId="1112" priority="8717" stopIfTrue="1">
      <formula>AND($AX$19="Dura",$AX$18="Dura")</formula>
    </cfRule>
    <cfRule type="expression" dxfId="1111" priority="8718" stopIfTrue="1">
      <formula>AND($AX$19="Natural",$AX$18="Natural")</formula>
    </cfRule>
  </conditionalFormatting>
  <conditionalFormatting sqref="C14:E14">
    <cfRule type="expression" dxfId="1110" priority="8719" stopIfTrue="1">
      <formula>AND($AX$20="Dura",OR($AX$19="Dura",$AX$18="Dura"))</formula>
    </cfRule>
    <cfRule type="expression" dxfId="1109" priority="8720" stopIfTrue="1">
      <formula>AND($AX$20="Natural",OR($AX$19="Natural",$AX$18="Natural"))</formula>
    </cfRule>
  </conditionalFormatting>
  <conditionalFormatting sqref="P35">
    <cfRule type="expression" dxfId="1108" priority="12" stopIfTrue="1">
      <formula>COUNTIF(INDIRECT($C35),$E35)=0</formula>
    </cfRule>
  </conditionalFormatting>
  <conditionalFormatting sqref="P28">
    <cfRule type="expression" dxfId="1107" priority="11" stopIfTrue="1">
      <formula>COUNTIF(INDIRECT($C28),$E28)=0</formula>
    </cfRule>
  </conditionalFormatting>
  <conditionalFormatting sqref="E42">
    <cfRule type="expression" dxfId="1106" priority="10" stopIfTrue="1">
      <formula>COUNTIF(INDIRECT($C42),$E42)=0</formula>
    </cfRule>
  </conditionalFormatting>
  <conditionalFormatting sqref="P42">
    <cfRule type="expression" dxfId="1105" priority="9" stopIfTrue="1">
      <formula>COUNTIF(INDIRECT($C42),$E42)=0</formula>
    </cfRule>
  </conditionalFormatting>
  <conditionalFormatting sqref="C49">
    <cfRule type="expression" dxfId="1104" priority="8" stopIfTrue="1">
      <formula>AND(C49="A dos manos",COUNTIF($R$22:$W$25,$C48&amp;" "&amp;$E49))</formula>
    </cfRule>
  </conditionalFormatting>
  <conditionalFormatting sqref="C49:D49">
    <cfRule type="expression" dxfId="1103" priority="7" stopIfTrue="1">
      <formula>AND(E49&lt;&gt;"",NOT(COUNTIF(INDIRECT(M49),E49)&gt;0))</formula>
    </cfRule>
  </conditionalFormatting>
  <conditionalFormatting sqref="N49">
    <cfRule type="expression" dxfId="1102" priority="6" stopIfTrue="1">
      <formula>AND(N49="A dos manos",COUNTIF($R$22:$W$25,$C48&amp;" "&amp;$E49))</formula>
    </cfRule>
  </conditionalFormatting>
  <conditionalFormatting sqref="N49:O49">
    <cfRule type="expression" dxfId="1101" priority="5" stopIfTrue="1">
      <formula>AND(P49&lt;&gt;"",NOT(COUNTIF(INDIRECT(X49),P49)&gt;0))</formula>
    </cfRule>
  </conditionalFormatting>
  <conditionalFormatting sqref="N58">
    <cfRule type="expression" dxfId="1100" priority="4" stopIfTrue="1">
      <formula>AND(N58="A dos manos",COUNTIF($R$22:$W$25,$C57&amp;" "&amp;$E58))</formula>
    </cfRule>
  </conditionalFormatting>
  <conditionalFormatting sqref="N58:O58">
    <cfRule type="expression" dxfId="1099" priority="3" stopIfTrue="1">
      <formula>AND(P58&lt;&gt;"",NOT(COUNTIF(INDIRECT(X58),P58)&gt;0))</formula>
    </cfRule>
  </conditionalFormatting>
  <conditionalFormatting sqref="C58">
    <cfRule type="expression" dxfId="1098" priority="2" stopIfTrue="1">
      <formula>AND(C58="A dos manos",COUNTIF($R$22:$W$25,$C57&amp;" "&amp;$E58))</formula>
    </cfRule>
  </conditionalFormatting>
  <conditionalFormatting sqref="C58:D58">
    <cfRule type="expression" dxfId="1097"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topLeftCell="A13" zoomScaleNormal="100" workbookViewId="0">
      <selection activeCell="V50" sqref="V50:AA5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1"/>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2783" t="s">
        <v>9024</v>
      </c>
      <c r="AN1" s="2784"/>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2783"/>
      <c r="AN2" s="2784"/>
    </row>
    <row r="3" spans="1:40" ht="12" customHeight="1" x14ac:dyDescent="0.2">
      <c r="A3" s="444"/>
      <c r="B3" s="1223"/>
      <c r="C3" s="4039"/>
      <c r="D3" s="4040"/>
      <c r="E3" s="4040"/>
      <c r="F3" s="4040"/>
      <c r="G3" s="4040"/>
      <c r="H3" s="4040"/>
      <c r="I3" s="448"/>
      <c r="J3" s="448"/>
      <c r="K3" s="448"/>
      <c r="L3" s="448"/>
      <c r="M3" s="448"/>
      <c r="N3" s="448"/>
      <c r="O3" s="448"/>
      <c r="P3" s="448"/>
      <c r="Q3" s="449"/>
      <c r="R3" s="1212"/>
      <c r="S3" s="1009"/>
      <c r="T3" s="1009"/>
      <c r="U3" s="294"/>
      <c r="V3" s="4039"/>
      <c r="W3" s="4040"/>
      <c r="X3" s="4040"/>
      <c r="Y3" s="4040"/>
      <c r="Z3" s="4040"/>
      <c r="AA3" s="4040"/>
      <c r="AB3" s="448"/>
      <c r="AC3" s="448"/>
      <c r="AD3" s="448"/>
      <c r="AE3" s="448"/>
      <c r="AF3" s="448"/>
      <c r="AG3" s="448"/>
      <c r="AH3" s="448"/>
      <c r="AI3" s="448"/>
      <c r="AJ3" s="449"/>
      <c r="AK3" s="450"/>
      <c r="AL3" s="444"/>
      <c r="AM3" s="2783"/>
      <c r="AN3" s="2784"/>
    </row>
    <row r="4" spans="1:40" ht="12" customHeight="1" x14ac:dyDescent="0.2">
      <c r="A4" s="444"/>
      <c r="B4" s="1223"/>
      <c r="C4" s="4041"/>
      <c r="D4" s="4042"/>
      <c r="E4" s="4042"/>
      <c r="F4" s="4042"/>
      <c r="G4" s="4042"/>
      <c r="H4" s="4042"/>
      <c r="I4" s="356"/>
      <c r="J4" s="4045" t="s">
        <v>1331</v>
      </c>
      <c r="K4" s="4046"/>
      <c r="L4" s="3025" t="str">
        <f>IF(OR(General!$F$22="",General!$F$22=0),"",General!$F$22)</f>
        <v/>
      </c>
      <c r="M4" s="3025"/>
      <c r="N4" s="3025"/>
      <c r="O4" s="3025"/>
      <c r="P4" s="3025"/>
      <c r="Q4" s="399"/>
      <c r="R4" s="1213"/>
      <c r="S4" s="1009"/>
      <c r="T4" s="1009"/>
      <c r="U4" s="294"/>
      <c r="V4" s="4041"/>
      <c r="W4" s="4042"/>
      <c r="X4" s="4042"/>
      <c r="Y4" s="4042"/>
      <c r="Z4" s="4042"/>
      <c r="AA4" s="4042"/>
      <c r="AB4" s="356"/>
      <c r="AC4" s="4045" t="s">
        <v>1331</v>
      </c>
      <c r="AD4" s="4046"/>
      <c r="AE4" s="3025" t="str">
        <f>IF(OR(General!$F$22="",General!$F$22=0),"",General!$F$22)</f>
        <v/>
      </c>
      <c r="AF4" s="3025"/>
      <c r="AG4" s="3025"/>
      <c r="AH4" s="3025"/>
      <c r="AI4" s="3025"/>
      <c r="AJ4" s="399"/>
      <c r="AK4" s="450"/>
      <c r="AL4" s="444"/>
      <c r="AM4" s="2783"/>
      <c r="AN4" s="2784"/>
    </row>
    <row r="5" spans="1:40" ht="12" customHeight="1" x14ac:dyDescent="0.2">
      <c r="A5" s="444"/>
      <c r="B5" s="1223"/>
      <c r="C5" s="4041"/>
      <c r="D5" s="4042"/>
      <c r="E5" s="4042"/>
      <c r="F5" s="4042"/>
      <c r="G5" s="4042"/>
      <c r="H5" s="4042"/>
      <c r="I5" s="356"/>
      <c r="J5" s="4035" t="s">
        <v>1332</v>
      </c>
      <c r="K5" s="4036"/>
      <c r="L5" s="2838" t="str">
        <f>PDs!$J$8</f>
        <v>Novel</v>
      </c>
      <c r="M5" s="2838"/>
      <c r="N5" s="2838"/>
      <c r="O5" s="2610" t="s">
        <v>1333</v>
      </c>
      <c r="P5" s="2611" t="str">
        <f>Principal!$O$6</f>
        <v>1</v>
      </c>
      <c r="Q5" s="451"/>
      <c r="R5" s="1213"/>
      <c r="S5" s="1009"/>
      <c r="T5" s="1009"/>
      <c r="U5" s="294"/>
      <c r="V5" s="4041"/>
      <c r="W5" s="4042"/>
      <c r="X5" s="4042"/>
      <c r="Y5" s="4042"/>
      <c r="Z5" s="4042"/>
      <c r="AA5" s="4042"/>
      <c r="AB5" s="356"/>
      <c r="AC5" s="4035" t="s">
        <v>1332</v>
      </c>
      <c r="AD5" s="4036"/>
      <c r="AE5" s="2838" t="str">
        <f>PDs!$J$8</f>
        <v>Novel</v>
      </c>
      <c r="AF5" s="2838"/>
      <c r="AG5" s="2838"/>
      <c r="AH5" s="2610" t="s">
        <v>1333</v>
      </c>
      <c r="AI5" s="2611" t="str">
        <f>Principal!$O$6</f>
        <v>1</v>
      </c>
      <c r="AJ5" s="451"/>
      <c r="AK5" s="450"/>
      <c r="AL5" s="444"/>
      <c r="AM5" s="2783"/>
      <c r="AN5" s="2784"/>
    </row>
    <row r="6" spans="1:40" ht="12" customHeight="1" x14ac:dyDescent="0.2">
      <c r="A6" s="444"/>
      <c r="B6" s="1223"/>
      <c r="C6" s="4041"/>
      <c r="D6" s="4042"/>
      <c r="E6" s="4042"/>
      <c r="F6" s="4042"/>
      <c r="G6" s="4042"/>
      <c r="H6" s="4042"/>
      <c r="I6" s="356"/>
      <c r="J6" s="4037" t="s">
        <v>1592</v>
      </c>
      <c r="K6" s="4038"/>
      <c r="L6" s="4038"/>
      <c r="M6" s="4038"/>
      <c r="N6" s="4038"/>
      <c r="O6" s="4038"/>
      <c r="P6" s="4038"/>
      <c r="Q6" s="451"/>
      <c r="R6" s="1213"/>
      <c r="S6" s="1009"/>
      <c r="T6" s="1009"/>
      <c r="U6" s="294"/>
      <c r="V6" s="4041"/>
      <c r="W6" s="4042"/>
      <c r="X6" s="4042"/>
      <c r="Y6" s="4042"/>
      <c r="Z6" s="4042"/>
      <c r="AA6" s="4042"/>
      <c r="AB6" s="356"/>
      <c r="AC6" s="4037" t="s">
        <v>8781</v>
      </c>
      <c r="AD6" s="4038"/>
      <c r="AE6" s="4038"/>
      <c r="AF6" s="4038"/>
      <c r="AG6" s="4038"/>
      <c r="AH6" s="4038"/>
      <c r="AI6" s="4038"/>
      <c r="AJ6" s="451"/>
      <c r="AK6" s="450"/>
      <c r="AL6" s="444"/>
      <c r="AM6" s="2783"/>
      <c r="AN6" s="2784"/>
    </row>
    <row r="7" spans="1:40" ht="12" customHeight="1" x14ac:dyDescent="0.2">
      <c r="A7" s="444"/>
      <c r="B7" s="1223"/>
      <c r="C7" s="4041"/>
      <c r="D7" s="4042"/>
      <c r="E7" s="4042"/>
      <c r="F7" s="4042"/>
      <c r="G7" s="4042"/>
      <c r="H7" s="4042"/>
      <c r="I7" s="356"/>
      <c r="J7" s="4038"/>
      <c r="K7" s="4038"/>
      <c r="L7" s="4038"/>
      <c r="M7" s="4038"/>
      <c r="N7" s="4038"/>
      <c r="O7" s="4038"/>
      <c r="P7" s="4038"/>
      <c r="Q7" s="451"/>
      <c r="R7" s="1213"/>
      <c r="S7" s="1009"/>
      <c r="T7" s="1009"/>
      <c r="U7" s="294"/>
      <c r="V7" s="4041"/>
      <c r="W7" s="4042"/>
      <c r="X7" s="4042"/>
      <c r="Y7" s="4042"/>
      <c r="Z7" s="4042"/>
      <c r="AA7" s="4042"/>
      <c r="AB7" s="356"/>
      <c r="AC7" s="4038"/>
      <c r="AD7" s="4038"/>
      <c r="AE7" s="4038"/>
      <c r="AF7" s="4038"/>
      <c r="AG7" s="4038"/>
      <c r="AH7" s="4038"/>
      <c r="AI7" s="4038"/>
      <c r="AJ7" s="451"/>
      <c r="AK7" s="450"/>
      <c r="AL7" s="444"/>
      <c r="AM7" s="2783"/>
      <c r="AN7" s="2784"/>
    </row>
    <row r="8" spans="1:40" ht="12" customHeight="1" thickBot="1" x14ac:dyDescent="0.25">
      <c r="A8" s="444"/>
      <c r="B8" s="1223"/>
      <c r="C8" s="4043"/>
      <c r="D8" s="4044"/>
      <c r="E8" s="4044"/>
      <c r="F8" s="4044"/>
      <c r="G8" s="4044"/>
      <c r="H8" s="4044"/>
      <c r="I8" s="452"/>
      <c r="J8" s="452"/>
      <c r="K8" s="452"/>
      <c r="L8" s="452"/>
      <c r="M8" s="452"/>
      <c r="N8" s="452"/>
      <c r="O8" s="452"/>
      <c r="P8" s="452"/>
      <c r="Q8" s="453"/>
      <c r="R8" s="1213"/>
      <c r="S8" s="1009"/>
      <c r="T8" s="1009"/>
      <c r="U8" s="294"/>
      <c r="V8" s="4043"/>
      <c r="W8" s="4044"/>
      <c r="X8" s="4044"/>
      <c r="Y8" s="4044"/>
      <c r="Z8" s="4044"/>
      <c r="AA8" s="4044"/>
      <c r="AB8" s="452"/>
      <c r="AC8" s="452"/>
      <c r="AD8" s="452"/>
      <c r="AE8" s="452"/>
      <c r="AF8" s="452"/>
      <c r="AG8" s="452"/>
      <c r="AH8" s="452"/>
      <c r="AI8" s="452"/>
      <c r="AJ8" s="453"/>
      <c r="AK8" s="450"/>
      <c r="AL8" s="444"/>
      <c r="AM8" s="2783"/>
      <c r="AN8" s="2784"/>
    </row>
    <row r="9" spans="1:40" ht="12" customHeight="1" thickBot="1" x14ac:dyDescent="0.25">
      <c r="A9" s="444"/>
      <c r="B9" s="1223"/>
      <c r="R9" s="1213"/>
      <c r="S9" s="1009"/>
      <c r="T9" s="1009"/>
      <c r="U9" s="294"/>
      <c r="V9" s="4016" t="str">
        <f>IF(Tablas!G488+Tablas!G489+Tablas!G551+Tablas!G534+Tablas!G552&gt;0,"Empatía hacia elemento: -5 CM al coste de cada efecto relacionado con elemento afín (Coste mínimo 5 CM)","")</f>
        <v/>
      </c>
      <c r="W9" s="4016"/>
      <c r="X9" s="4016"/>
      <c r="Y9" s="4016"/>
      <c r="Z9" s="4016"/>
      <c r="AA9" s="4016"/>
      <c r="AB9" s="4016"/>
      <c r="AC9" s="4016"/>
      <c r="AD9" s="4016"/>
      <c r="AE9" s="4016"/>
      <c r="AF9" s="4016"/>
      <c r="AG9" s="4016"/>
      <c r="AH9" s="4016"/>
      <c r="AI9" s="4016"/>
      <c r="AJ9" s="4016"/>
      <c r="AK9" s="450"/>
      <c r="AL9" s="444"/>
      <c r="AM9" s="2783"/>
      <c r="AN9" s="2784"/>
    </row>
    <row r="10" spans="1:40" ht="12" customHeight="1" thickBot="1" x14ac:dyDescent="0.25">
      <c r="A10" s="444"/>
      <c r="B10" s="1223"/>
      <c r="C10" s="4032" t="s">
        <v>1594</v>
      </c>
      <c r="D10" s="4033"/>
      <c r="E10" s="4033"/>
      <c r="F10" s="4034"/>
      <c r="G10" s="2137"/>
      <c r="H10" s="1841" t="s">
        <v>8587</v>
      </c>
      <c r="I10" s="1750" t="s">
        <v>2121</v>
      </c>
      <c r="J10" s="1217"/>
      <c r="K10" s="4017" t="s">
        <v>1595</v>
      </c>
      <c r="L10" s="4018"/>
      <c r="M10" s="4018"/>
      <c r="N10" s="4018"/>
      <c r="O10" s="4018"/>
      <c r="P10" s="4021">
        <f>IF(Q10=0,40,"-")</f>
        <v>40</v>
      </c>
      <c r="Q10" s="4023"/>
      <c r="R10" s="4088" t="b">
        <f t="shared" ref="R10:R11" si="0">P10="-"</f>
        <v>0</v>
      </c>
      <c r="S10" s="1009"/>
      <c r="T10" s="1009"/>
      <c r="U10" s="294"/>
      <c r="V10" s="3754" t="s">
        <v>1596</v>
      </c>
      <c r="W10" s="4025"/>
      <c r="X10" s="4025"/>
      <c r="Y10" s="4026"/>
      <c r="Z10" s="474"/>
      <c r="AA10" s="4027" t="s">
        <v>1597</v>
      </c>
      <c r="AB10" s="4028"/>
      <c r="AC10" s="4028"/>
      <c r="AD10" s="4028"/>
      <c r="AE10" s="4028"/>
      <c r="AF10" s="4028"/>
      <c r="AG10" s="4028"/>
      <c r="AH10" s="4028"/>
      <c r="AI10" s="4028"/>
      <c r="AJ10" s="4029"/>
      <c r="AK10" s="450"/>
      <c r="AL10" s="444"/>
      <c r="AM10" s="2783"/>
      <c r="AN10" s="2784"/>
    </row>
    <row r="11" spans="1:40" ht="12" customHeight="1" thickBot="1" x14ac:dyDescent="0.25">
      <c r="A11" s="444"/>
      <c r="B11" s="1223"/>
      <c r="C11" s="488"/>
      <c r="D11" s="374" t="s">
        <v>1598</v>
      </c>
      <c r="E11" s="374" t="s">
        <v>9076</v>
      </c>
      <c r="F11" s="2136" t="s">
        <v>1599</v>
      </c>
      <c r="G11" s="4047" t="s">
        <v>1600</v>
      </c>
      <c r="H11" s="4048"/>
      <c r="I11" s="4049"/>
      <c r="J11" s="1217"/>
      <c r="K11" s="4019"/>
      <c r="L11" s="4020"/>
      <c r="M11" s="4020"/>
      <c r="N11" s="4020"/>
      <c r="O11" s="4020"/>
      <c r="P11" s="4022"/>
      <c r="Q11" s="4024"/>
      <c r="R11" s="4088" t="b">
        <f t="shared" si="0"/>
        <v>0</v>
      </c>
      <c r="S11" s="1009"/>
      <c r="T11" s="1009"/>
      <c r="U11" s="294"/>
      <c r="V11" s="4051" t="s">
        <v>1601</v>
      </c>
      <c r="W11" s="4086"/>
      <c r="X11" s="4087"/>
      <c r="Y11" s="4058"/>
      <c r="Z11" s="489"/>
      <c r="AA11" s="4066" t="s">
        <v>1602</v>
      </c>
      <c r="AB11" s="4030"/>
      <c r="AC11" s="4067"/>
      <c r="AD11" s="4030" t="s">
        <v>1603</v>
      </c>
      <c r="AE11" s="4030"/>
      <c r="AF11" s="4030"/>
      <c r="AG11" s="4030"/>
      <c r="AH11" s="4030"/>
      <c r="AI11" s="4030"/>
      <c r="AJ11" s="4031"/>
      <c r="AK11" s="450"/>
      <c r="AL11" s="444"/>
      <c r="AM11" s="2783"/>
      <c r="AN11" s="2784"/>
    </row>
    <row r="12" spans="1:40" ht="12" customHeight="1" x14ac:dyDescent="0.2">
      <c r="A12" s="444"/>
      <c r="B12" s="1223"/>
      <c r="C12" s="4050" t="s">
        <v>1381</v>
      </c>
      <c r="D12" s="4052">
        <f>PDs!$AA33</f>
        <v>2</v>
      </c>
      <c r="E12" s="4069">
        <f>IF(Tablas!$G$372,D12,CEILING(Ki!D12/2,1))</f>
        <v>1</v>
      </c>
      <c r="F12" s="4054" t="str">
        <f>IF(OR(Tablas!$G$375&gt;0,Tablas!$H$1398&gt;0,$I$10&lt;&gt;"No"),"-",PDs!$AA$27)</f>
        <v>-</v>
      </c>
      <c r="G12" s="4071"/>
      <c r="H12" s="4072"/>
      <c r="I12" s="4073"/>
      <c r="J12" s="1217"/>
      <c r="K12" s="4056" t="s">
        <v>1604</v>
      </c>
      <c r="L12" s="4057"/>
      <c r="M12" s="4057"/>
      <c r="N12" s="4057"/>
      <c r="O12" s="4057"/>
      <c r="P12" s="1662">
        <f>IF(Q12=0,30,"-")</f>
        <v>30</v>
      </c>
      <c r="Q12" s="1843"/>
      <c r="R12" s="1213" t="b">
        <f>P12="-"</f>
        <v>0</v>
      </c>
      <c r="S12" s="1009"/>
      <c r="T12" s="1009"/>
      <c r="U12" s="294"/>
      <c r="V12" s="4051"/>
      <c r="W12" s="4086"/>
      <c r="X12" s="4084"/>
      <c r="Y12" s="4059"/>
      <c r="Z12" s="489"/>
      <c r="AA12" s="4062"/>
      <c r="AB12" s="4063"/>
      <c r="AC12" s="4064"/>
      <c r="AD12" s="4078"/>
      <c r="AE12" s="4079"/>
      <c r="AF12" s="4079"/>
      <c r="AG12" s="4079"/>
      <c r="AH12" s="4079"/>
      <c r="AI12" s="4079"/>
      <c r="AJ12" s="4080"/>
      <c r="AK12" s="450"/>
      <c r="AL12" s="444"/>
      <c r="AM12" s="2783"/>
      <c r="AN12" s="2784"/>
    </row>
    <row r="13" spans="1:40" ht="12" customHeight="1" x14ac:dyDescent="0.2">
      <c r="A13" s="444"/>
      <c r="B13" s="1223"/>
      <c r="C13" s="4051"/>
      <c r="D13" s="4053"/>
      <c r="E13" s="4070"/>
      <c r="F13" s="4055"/>
      <c r="G13" s="4074"/>
      <c r="H13" s="3385"/>
      <c r="I13" s="3386"/>
      <c r="J13" s="1217"/>
      <c r="K13" s="490" t="s">
        <v>1605</v>
      </c>
      <c r="L13" s="4081" t="s">
        <v>1606</v>
      </c>
      <c r="M13" s="4081"/>
      <c r="N13" s="4081"/>
      <c r="O13" s="4081"/>
      <c r="P13" s="1662">
        <f>IF(Q13=0,20,"-")</f>
        <v>20</v>
      </c>
      <c r="Q13" s="1844"/>
      <c r="R13" s="1213" t="b">
        <f t="shared" ref="R13:R62" si="1">P13="-"</f>
        <v>0</v>
      </c>
      <c r="S13" s="1009"/>
      <c r="T13" s="1009"/>
      <c r="U13" s="294"/>
      <c r="V13" s="4051" t="s">
        <v>1607</v>
      </c>
      <c r="W13" s="4086"/>
      <c r="X13" s="4084"/>
      <c r="Y13" s="4059"/>
      <c r="Z13" s="397"/>
      <c r="AA13" s="3185"/>
      <c r="AB13" s="3186"/>
      <c r="AC13" s="4065"/>
      <c r="AD13" s="4082"/>
      <c r="AE13" s="3216"/>
      <c r="AF13" s="3216"/>
      <c r="AG13" s="3216"/>
      <c r="AH13" s="3216"/>
      <c r="AI13" s="3216"/>
      <c r="AJ13" s="4083"/>
      <c r="AK13" s="450"/>
      <c r="AL13" s="444"/>
      <c r="AM13" s="2783"/>
      <c r="AN13" s="2784"/>
    </row>
    <row r="14" spans="1:40" ht="12" customHeight="1" x14ac:dyDescent="0.2">
      <c r="A14" s="444"/>
      <c r="B14" s="1223"/>
      <c r="C14" s="4060" t="s">
        <v>1506</v>
      </c>
      <c r="D14" s="4061">
        <f>PDs!$AA34</f>
        <v>1</v>
      </c>
      <c r="E14" s="4090">
        <f>IF(Tablas!$G$372,D14,CEILING(Ki!D14/2,1))</f>
        <v>1</v>
      </c>
      <c r="F14" s="4068" t="str">
        <f>IF(OR(Tablas!$G$375&gt;0,Tablas!$H$1398&gt;0,$I$10&lt;&gt;"No"),"-",PDs!$AA$28)</f>
        <v>-</v>
      </c>
      <c r="G14" s="4075"/>
      <c r="H14" s="4076"/>
      <c r="I14" s="4077"/>
      <c r="J14" s="1217"/>
      <c r="K14" s="490" t="s">
        <v>1608</v>
      </c>
      <c r="L14" s="491" t="s">
        <v>1609</v>
      </c>
      <c r="M14" s="4085" t="s">
        <v>1610</v>
      </c>
      <c r="N14" s="4085"/>
      <c r="O14" s="4085"/>
      <c r="P14" s="1662">
        <f>IF(Q14=0,10,"-")</f>
        <v>10</v>
      </c>
      <c r="Q14" s="1844"/>
      <c r="R14" s="1213" t="b">
        <f t="shared" si="1"/>
        <v>0</v>
      </c>
      <c r="S14" s="1009"/>
      <c r="T14" s="1009"/>
      <c r="U14" s="294"/>
      <c r="V14" s="4051"/>
      <c r="W14" s="4086"/>
      <c r="X14" s="4084"/>
      <c r="Y14" s="4059"/>
      <c r="Z14" s="478"/>
      <c r="AA14" s="3185"/>
      <c r="AB14" s="3186"/>
      <c r="AC14" s="4065"/>
      <c r="AD14" s="4082"/>
      <c r="AE14" s="3216"/>
      <c r="AF14" s="3216"/>
      <c r="AG14" s="3216"/>
      <c r="AH14" s="3216"/>
      <c r="AI14" s="3216"/>
      <c r="AJ14" s="4083"/>
      <c r="AK14" s="450"/>
      <c r="AL14" s="444"/>
      <c r="AM14" s="2783"/>
      <c r="AN14" s="2784"/>
    </row>
    <row r="15" spans="1:40" ht="12" customHeight="1" x14ac:dyDescent="0.2">
      <c r="A15" s="444"/>
      <c r="B15" s="1223"/>
      <c r="C15" s="4060"/>
      <c r="D15" s="4061"/>
      <c r="E15" s="4090"/>
      <c r="F15" s="4068"/>
      <c r="G15" s="4075"/>
      <c r="H15" s="4076"/>
      <c r="I15" s="4077"/>
      <c r="J15" s="1217"/>
      <c r="K15" s="490" t="s">
        <v>1605</v>
      </c>
      <c r="L15" s="4085" t="s">
        <v>1611</v>
      </c>
      <c r="M15" s="4085"/>
      <c r="N15" s="4085"/>
      <c r="O15" s="4085"/>
      <c r="P15" s="1662">
        <f>IF(Q15=0,40,"-")</f>
        <v>40</v>
      </c>
      <c r="Q15" s="1844"/>
      <c r="R15" s="1213" t="b">
        <f t="shared" si="1"/>
        <v>0</v>
      </c>
      <c r="S15" s="1009"/>
      <c r="T15" s="1009"/>
      <c r="U15" s="294"/>
      <c r="V15" s="4051" t="s">
        <v>1612</v>
      </c>
      <c r="W15" s="4086"/>
      <c r="X15" s="4084"/>
      <c r="Y15" s="4059"/>
      <c r="Z15" s="492"/>
      <c r="AA15" s="3185"/>
      <c r="AB15" s="3186"/>
      <c r="AC15" s="4065"/>
      <c r="AD15" s="4082"/>
      <c r="AE15" s="3216"/>
      <c r="AF15" s="3216"/>
      <c r="AG15" s="3216"/>
      <c r="AH15" s="3216"/>
      <c r="AI15" s="3216"/>
      <c r="AJ15" s="4083"/>
      <c r="AK15" s="450"/>
      <c r="AL15" s="444"/>
      <c r="AM15" s="2783"/>
      <c r="AN15" s="2784"/>
    </row>
    <row r="16" spans="1:40" ht="12" customHeight="1" x14ac:dyDescent="0.2">
      <c r="A16" s="444"/>
      <c r="B16" s="1223"/>
      <c r="C16" s="4051" t="s">
        <v>1386</v>
      </c>
      <c r="D16" s="4053">
        <f>PDs!$AA35</f>
        <v>1</v>
      </c>
      <c r="E16" s="4091">
        <f>IF(Tablas!$G$372,D16,CEILING(Ki!D16/2,1))</f>
        <v>1</v>
      </c>
      <c r="F16" s="4055" t="str">
        <f>IF(OR(Tablas!$G$375&gt;0,Tablas!$H$1398&gt;0,$I$10&lt;&gt;"No"),"-",PDs!$AA$29)</f>
        <v>-</v>
      </c>
      <c r="G16" s="4074"/>
      <c r="H16" s="3385"/>
      <c r="I16" s="3386"/>
      <c r="J16" s="1217"/>
      <c r="K16" s="490" t="s">
        <v>1605</v>
      </c>
      <c r="L16" s="4085" t="s">
        <v>1613</v>
      </c>
      <c r="M16" s="4085"/>
      <c r="N16" s="4085"/>
      <c r="O16" s="4085"/>
      <c r="P16" s="1662">
        <f>IF(Q16=0,10,"-")</f>
        <v>10</v>
      </c>
      <c r="Q16" s="1844"/>
      <c r="R16" s="1213" t="b">
        <f t="shared" si="1"/>
        <v>0</v>
      </c>
      <c r="S16" s="1009"/>
      <c r="T16" s="1009"/>
      <c r="U16" s="294"/>
      <c r="V16" s="4051"/>
      <c r="W16" s="4086"/>
      <c r="X16" s="4084"/>
      <c r="Y16" s="4059"/>
      <c r="Z16" s="492"/>
      <c r="AA16" s="3185"/>
      <c r="AB16" s="3186"/>
      <c r="AC16" s="4065"/>
      <c r="AD16" s="4082"/>
      <c r="AE16" s="3216"/>
      <c r="AF16" s="3216"/>
      <c r="AG16" s="3216"/>
      <c r="AH16" s="3216"/>
      <c r="AI16" s="3216"/>
      <c r="AJ16" s="4083"/>
      <c r="AK16" s="450"/>
      <c r="AL16" s="444"/>
      <c r="AM16" s="2783"/>
      <c r="AN16" s="2784"/>
    </row>
    <row r="17" spans="1:40" ht="12" customHeight="1" x14ac:dyDescent="0.2">
      <c r="A17" s="444"/>
      <c r="B17" s="1223"/>
      <c r="C17" s="4051"/>
      <c r="D17" s="4053"/>
      <c r="E17" s="4091"/>
      <c r="F17" s="4055"/>
      <c r="G17" s="4074"/>
      <c r="H17" s="3385"/>
      <c r="I17" s="3386"/>
      <c r="J17" s="1217"/>
      <c r="K17" s="490" t="s">
        <v>1608</v>
      </c>
      <c r="L17" s="493" t="s">
        <v>1605</v>
      </c>
      <c r="M17" s="4081" t="s">
        <v>1614</v>
      </c>
      <c r="N17" s="4081"/>
      <c r="O17" s="4081"/>
      <c r="P17" s="1662">
        <f>IF(Q17=0,30,"-")</f>
        <v>30</v>
      </c>
      <c r="Q17" s="1844"/>
      <c r="R17" s="1213" t="b">
        <f t="shared" si="1"/>
        <v>0</v>
      </c>
      <c r="S17" s="1009"/>
      <c r="T17" s="1009"/>
      <c r="U17" s="294"/>
      <c r="V17" s="4051" t="s">
        <v>1615</v>
      </c>
      <c r="W17" s="4086"/>
      <c r="X17" s="4084"/>
      <c r="Y17" s="4059"/>
      <c r="Z17" s="494"/>
      <c r="AA17" s="3185"/>
      <c r="AB17" s="3186"/>
      <c r="AC17" s="4065"/>
      <c r="AD17" s="4082"/>
      <c r="AE17" s="3216"/>
      <c r="AF17" s="3216"/>
      <c r="AG17" s="3216"/>
      <c r="AH17" s="3216"/>
      <c r="AI17" s="3216"/>
      <c r="AJ17" s="4083"/>
      <c r="AK17" s="450"/>
      <c r="AL17" s="444"/>
      <c r="AM17" s="2783"/>
      <c r="AN17" s="2784"/>
    </row>
    <row r="18" spans="1:40" ht="12" customHeight="1" x14ac:dyDescent="0.2">
      <c r="A18" s="444"/>
      <c r="B18" s="1223"/>
      <c r="C18" s="4060" t="s">
        <v>1391</v>
      </c>
      <c r="D18" s="4061">
        <f>PDs!$AA36</f>
        <v>1</v>
      </c>
      <c r="E18" s="4090">
        <f>IF(Tablas!$G$372,D18,CEILING(Ki!D18/2,1))</f>
        <v>1</v>
      </c>
      <c r="F18" s="4068" t="str">
        <f>IF(OR(Tablas!$G$375&gt;0,Tablas!$H$1398&gt;0,$I$10&lt;&gt;"No"),"-",PDs!$AA$30)</f>
        <v>-</v>
      </c>
      <c r="G18" s="4075"/>
      <c r="H18" s="4076"/>
      <c r="I18" s="4077"/>
      <c r="J18" s="1217"/>
      <c r="K18" s="490" t="s">
        <v>1608</v>
      </c>
      <c r="L18" s="493" t="s">
        <v>1608</v>
      </c>
      <c r="M18" s="493" t="s">
        <v>1616</v>
      </c>
      <c r="N18" s="4089" t="s">
        <v>1617</v>
      </c>
      <c r="O18" s="4089"/>
      <c r="P18" s="1662">
        <f>IF(Q18=0,20,"-")</f>
        <v>20</v>
      </c>
      <c r="Q18" s="1844"/>
      <c r="R18" s="1213" t="b">
        <f t="shared" si="1"/>
        <v>0</v>
      </c>
      <c r="S18" s="1009"/>
      <c r="T18" s="1009"/>
      <c r="U18" s="294"/>
      <c r="V18" s="4051"/>
      <c r="W18" s="4086"/>
      <c r="X18" s="4084"/>
      <c r="Y18" s="4059"/>
      <c r="Z18" s="495"/>
      <c r="AA18" s="3185"/>
      <c r="AB18" s="3186"/>
      <c r="AC18" s="4065"/>
      <c r="AD18" s="4082"/>
      <c r="AE18" s="3216"/>
      <c r="AF18" s="3216"/>
      <c r="AG18" s="3216"/>
      <c r="AH18" s="3216"/>
      <c r="AI18" s="3216"/>
      <c r="AJ18" s="4083"/>
      <c r="AK18" s="450"/>
      <c r="AL18" s="444"/>
      <c r="AM18" s="2783"/>
      <c r="AN18" s="2784"/>
    </row>
    <row r="19" spans="1:40" ht="12" customHeight="1" x14ac:dyDescent="0.2">
      <c r="A19" s="444"/>
      <c r="B19" s="1223"/>
      <c r="C19" s="4060"/>
      <c r="D19" s="4061"/>
      <c r="E19" s="4090"/>
      <c r="F19" s="4068"/>
      <c r="G19" s="4075"/>
      <c r="H19" s="4076"/>
      <c r="I19" s="4077"/>
      <c r="J19" s="1217"/>
      <c r="K19" s="490" t="s">
        <v>1608</v>
      </c>
      <c r="L19" s="493" t="s">
        <v>1605</v>
      </c>
      <c r="M19" s="4081" t="s">
        <v>1618</v>
      </c>
      <c r="N19" s="4081"/>
      <c r="O19" s="4081"/>
      <c r="P19" s="1662">
        <f>IF(Q19=0,30,"-")</f>
        <v>30</v>
      </c>
      <c r="Q19" s="1844"/>
      <c r="R19" s="1213" t="b">
        <f t="shared" si="1"/>
        <v>0</v>
      </c>
      <c r="S19" s="1009"/>
      <c r="T19" s="1009"/>
      <c r="U19" s="294"/>
      <c r="V19" s="4051" t="s">
        <v>1619</v>
      </c>
      <c r="W19" s="4086"/>
      <c r="X19" s="4084"/>
      <c r="Y19" s="4059"/>
      <c r="Z19" s="495"/>
      <c r="AA19" s="3185"/>
      <c r="AB19" s="3186"/>
      <c r="AC19" s="4065"/>
      <c r="AD19" s="4082"/>
      <c r="AE19" s="3216"/>
      <c r="AF19" s="3216"/>
      <c r="AG19" s="3216"/>
      <c r="AH19" s="3216"/>
      <c r="AI19" s="3216"/>
      <c r="AJ19" s="4083"/>
      <c r="AK19" s="450"/>
      <c r="AL19" s="444"/>
      <c r="AM19" s="2783"/>
      <c r="AN19" s="2784"/>
    </row>
    <row r="20" spans="1:40" ht="12" customHeight="1" thickBot="1" x14ac:dyDescent="0.25">
      <c r="A20" s="444"/>
      <c r="B20" s="1223"/>
      <c r="C20" s="4051" t="s">
        <v>1399</v>
      </c>
      <c r="D20" s="4053">
        <f>PDs!$AA37</f>
        <v>2</v>
      </c>
      <c r="E20" s="4091">
        <f>IF(Tablas!$G$372,D20,CEILING(Ki!D20/2,1))</f>
        <v>1</v>
      </c>
      <c r="F20" s="4055" t="str">
        <f>IF(OR(Tablas!$G$375&gt;0,Tablas!$H$1398&gt;0,$I$10&lt;&gt;"No"),"-",PDs!$AA$31)</f>
        <v>-</v>
      </c>
      <c r="G20" s="4074"/>
      <c r="H20" s="3385"/>
      <c r="I20" s="3386"/>
      <c r="J20" s="1217"/>
      <c r="K20" s="490" t="s">
        <v>1608</v>
      </c>
      <c r="L20" s="493" t="s">
        <v>1608</v>
      </c>
      <c r="M20" s="493" t="s">
        <v>1605</v>
      </c>
      <c r="N20" s="4085" t="s">
        <v>1620</v>
      </c>
      <c r="O20" s="4085"/>
      <c r="P20" s="1662">
        <f>IF(Q20=0,30,"-")</f>
        <v>30</v>
      </c>
      <c r="Q20" s="1844"/>
      <c r="R20" s="1213" t="b">
        <f t="shared" si="1"/>
        <v>0</v>
      </c>
      <c r="S20" s="1009"/>
      <c r="T20" s="1009"/>
      <c r="U20" s="294"/>
      <c r="V20" s="4095"/>
      <c r="W20" s="4096"/>
      <c r="X20" s="4097"/>
      <c r="Y20" s="4098"/>
      <c r="Z20" s="495"/>
      <c r="AA20" s="4092"/>
      <c r="AB20" s="4093"/>
      <c r="AC20" s="4094"/>
      <c r="AD20" s="4106"/>
      <c r="AE20" s="4107"/>
      <c r="AF20" s="4107"/>
      <c r="AG20" s="4107"/>
      <c r="AH20" s="4107"/>
      <c r="AI20" s="4107"/>
      <c r="AJ20" s="4108"/>
      <c r="AK20" s="450"/>
      <c r="AL20" s="444"/>
      <c r="AM20" s="2783"/>
      <c r="AN20" s="2784"/>
    </row>
    <row r="21" spans="1:40" ht="12" customHeight="1" thickBot="1" x14ac:dyDescent="0.25">
      <c r="A21" s="444"/>
      <c r="B21" s="1223"/>
      <c r="C21" s="4051"/>
      <c r="D21" s="4053"/>
      <c r="E21" s="4091"/>
      <c r="F21" s="4055"/>
      <c r="G21" s="4074"/>
      <c r="H21" s="3385"/>
      <c r="I21" s="3386"/>
      <c r="J21" s="1217"/>
      <c r="K21" s="490" t="s">
        <v>1608</v>
      </c>
      <c r="L21" s="493" t="s">
        <v>1608</v>
      </c>
      <c r="M21" s="493" t="s">
        <v>1608</v>
      </c>
      <c r="N21" s="4081" t="s">
        <v>1621</v>
      </c>
      <c r="O21" s="4081"/>
      <c r="P21" s="1662">
        <f>IF(Q21=0,40,"-")</f>
        <v>40</v>
      </c>
      <c r="Q21" s="1844"/>
      <c r="R21" s="1213" t="b">
        <f t="shared" si="1"/>
        <v>0</v>
      </c>
      <c r="S21" s="1009"/>
      <c r="T21" s="1009"/>
      <c r="U21" s="294"/>
      <c r="AK21" s="450"/>
      <c r="AL21" s="444"/>
      <c r="AM21" s="2783"/>
      <c r="AN21" s="2784"/>
    </row>
    <row r="22" spans="1:40" ht="12" customHeight="1" thickBot="1" x14ac:dyDescent="0.25">
      <c r="A22" s="444"/>
      <c r="B22" s="1223"/>
      <c r="C22" s="4060" t="s">
        <v>1400</v>
      </c>
      <c r="D22" s="4061">
        <f>PDs!$AA38</f>
        <v>1</v>
      </c>
      <c r="E22" s="4090">
        <f>IF(Tablas!$G$372,D22,CEILING(Ki!D22/2,1))</f>
        <v>1</v>
      </c>
      <c r="F22" s="4068" t="str">
        <f>IF(OR(Tablas!$G$375&gt;0,Tablas!$H$1398&gt;0,$I$10&lt;&gt;"No"),"-",PDs!$AA$32)</f>
        <v>-</v>
      </c>
      <c r="G22" s="4075"/>
      <c r="H22" s="4076"/>
      <c r="I22" s="4077"/>
      <c r="J22" s="1217"/>
      <c r="K22" s="490" t="s">
        <v>1608</v>
      </c>
      <c r="L22" s="493" t="s">
        <v>1608</v>
      </c>
      <c r="M22" s="493" t="s">
        <v>1616</v>
      </c>
      <c r="N22" s="4085" t="s">
        <v>1622</v>
      </c>
      <c r="O22" s="4085"/>
      <c r="P22" s="1662">
        <f>IF(Q22=0,30,"-")</f>
        <v>30</v>
      </c>
      <c r="Q22" s="1844"/>
      <c r="R22" s="1213" t="b">
        <f t="shared" si="1"/>
        <v>0</v>
      </c>
      <c r="S22" s="1009"/>
      <c r="T22" s="1009"/>
      <c r="U22" s="294"/>
      <c r="V22" s="4099" t="s">
        <v>1645</v>
      </c>
      <c r="W22" s="4100"/>
      <c r="X22" s="4101"/>
      <c r="Y22" s="4102"/>
      <c r="Z22" s="4103"/>
      <c r="AA22" s="4104"/>
      <c r="AB22" s="4103"/>
      <c r="AC22" s="4104"/>
      <c r="AD22" s="4103"/>
      <c r="AE22" s="4104"/>
      <c r="AF22" s="4103"/>
      <c r="AG22" s="4104"/>
      <c r="AH22" s="4103"/>
      <c r="AI22" s="4104"/>
      <c r="AJ22" s="4105"/>
      <c r="AK22" s="450"/>
      <c r="AL22" s="444"/>
      <c r="AM22" s="2783"/>
      <c r="AN22" s="2784"/>
    </row>
    <row r="23" spans="1:40" ht="12" customHeight="1" thickBot="1" x14ac:dyDescent="0.25">
      <c r="A23" s="444"/>
      <c r="B23" s="1223"/>
      <c r="C23" s="4109"/>
      <c r="D23" s="4110"/>
      <c r="E23" s="4112"/>
      <c r="F23" s="4111"/>
      <c r="G23" s="4113"/>
      <c r="H23" s="4114"/>
      <c r="I23" s="4115"/>
      <c r="J23" s="1217"/>
      <c r="K23" s="490" t="s">
        <v>1608</v>
      </c>
      <c r="L23" s="493" t="s">
        <v>1608</v>
      </c>
      <c r="M23" s="496"/>
      <c r="N23" s="4081" t="s">
        <v>1623</v>
      </c>
      <c r="O23" s="4081"/>
      <c r="P23" s="1662">
        <f>IF(Q23=0,40,"-")</f>
        <v>40</v>
      </c>
      <c r="Q23" s="1844"/>
      <c r="R23" s="1213" t="b">
        <f t="shared" si="1"/>
        <v>0</v>
      </c>
      <c r="S23" s="1009"/>
      <c r="T23" s="1009"/>
      <c r="U23" s="497"/>
      <c r="AK23" s="450"/>
      <c r="AL23" s="444"/>
      <c r="AM23" s="2783"/>
      <c r="AN23" s="2784"/>
    </row>
    <row r="24" spans="1:40" ht="12" customHeight="1" thickBot="1" x14ac:dyDescent="0.25">
      <c r="A24" s="444"/>
      <c r="B24" s="1223"/>
      <c r="C24" s="1218" t="s">
        <v>1624</v>
      </c>
      <c r="D24" s="4052">
        <f>D12+D14+D16+D18+D20+D22</f>
        <v>8</v>
      </c>
      <c r="E24" s="4069">
        <f>E12+E14+E16+E18+E20+E22</f>
        <v>6</v>
      </c>
      <c r="F24" s="4054">
        <f>IF(OR(Tablas!$G$375&gt;0,Tablas!$H$1398&gt;0),((PDs!W31*6)+(PDs!V27+PDs!V28+PDs!V29+PDs!V30+PDs!V31+PDs!V32)),SUM(PDs!$AA$27:$AA$32))</f>
        <v>40</v>
      </c>
      <c r="G24" s="4121" t="str">
        <f>IF(I10&lt;&gt;"no","Con Unificación del Ki no se unifican las acumulaciones","")</f>
        <v>Con Unificación del Ki no se unifican las acumulaciones</v>
      </c>
      <c r="H24" s="4121"/>
      <c r="I24" s="4122"/>
      <c r="J24" s="1217"/>
      <c r="K24" s="490" t="s">
        <v>1608</v>
      </c>
      <c r="L24" s="493" t="s">
        <v>1616</v>
      </c>
      <c r="M24" s="4085" t="s">
        <v>1625</v>
      </c>
      <c r="N24" s="4085"/>
      <c r="O24" s="4085"/>
      <c r="P24" s="1662">
        <f>IF(Q24=0,20,"-")</f>
        <v>20</v>
      </c>
      <c r="Q24" s="1844"/>
      <c r="R24" s="1213" t="b">
        <f t="shared" si="1"/>
        <v>0</v>
      </c>
      <c r="S24" s="1009"/>
      <c r="T24" s="1009"/>
      <c r="U24" s="497"/>
      <c r="V24" s="4099" t="s">
        <v>1593</v>
      </c>
      <c r="W24" s="4100"/>
      <c r="X24" s="4100"/>
      <c r="Y24" s="4100"/>
      <c r="Z24" s="4100"/>
      <c r="AA24" s="4100"/>
      <c r="AB24" s="4100"/>
      <c r="AC24" s="4100"/>
      <c r="AD24" s="4100"/>
      <c r="AE24" s="4100"/>
      <c r="AF24" s="4100"/>
      <c r="AG24" s="4100"/>
      <c r="AH24" s="4100"/>
      <c r="AI24" s="4100"/>
      <c r="AJ24" s="4101"/>
      <c r="AK24" s="450"/>
      <c r="AL24" s="444"/>
      <c r="AM24" s="2783" t="s">
        <v>9582</v>
      </c>
      <c r="AN24" s="2784"/>
    </row>
    <row r="25" spans="1:40" ht="12" customHeight="1" thickBot="1" x14ac:dyDescent="0.25">
      <c r="A25" s="444"/>
      <c r="B25" s="1223"/>
      <c r="C25" s="498" t="s">
        <v>1357</v>
      </c>
      <c r="D25" s="4116"/>
      <c r="E25" s="4125"/>
      <c r="F25" s="4117"/>
      <c r="G25" s="4123"/>
      <c r="H25" s="4123"/>
      <c r="I25" s="4124"/>
      <c r="J25" s="1217"/>
      <c r="K25" s="490" t="s">
        <v>1605</v>
      </c>
      <c r="L25" s="4085" t="s">
        <v>1626</v>
      </c>
      <c r="M25" s="4085"/>
      <c r="N25" s="4085"/>
      <c r="O25" s="4085"/>
      <c r="P25" s="1662">
        <f>IF(Q25=0,50,"-")</f>
        <v>50</v>
      </c>
      <c r="Q25" s="1844"/>
      <c r="R25" s="1213" t="b">
        <f t="shared" si="1"/>
        <v>0</v>
      </c>
      <c r="S25" s="1009"/>
      <c r="T25" s="1009"/>
      <c r="U25" s="497">
        <f>IF(V26=0,0,1)</f>
        <v>0</v>
      </c>
      <c r="AK25" s="450"/>
      <c r="AL25" s="444"/>
      <c r="AM25" s="2783" t="s">
        <v>1373</v>
      </c>
      <c r="AN25" s="2784" t="s">
        <v>3250</v>
      </c>
    </row>
    <row r="26" spans="1:40" ht="12" customHeight="1" thickBot="1" x14ac:dyDescent="0.25">
      <c r="A26" s="444"/>
      <c r="B26" s="1223"/>
      <c r="J26" s="1217"/>
      <c r="K26" s="490" t="s">
        <v>1616</v>
      </c>
      <c r="L26" s="4085" t="s">
        <v>1627</v>
      </c>
      <c r="M26" s="4085"/>
      <c r="N26" s="4085"/>
      <c r="O26" s="4085"/>
      <c r="P26" s="1662">
        <f>IF(Q26=0,20,"-")</f>
        <v>20</v>
      </c>
      <c r="Q26" s="1844"/>
      <c r="R26" s="1213" t="b">
        <f t="shared" si="1"/>
        <v>0</v>
      </c>
      <c r="S26" s="1009"/>
      <c r="T26" s="1009"/>
      <c r="U26" s="497"/>
      <c r="V26" s="4118"/>
      <c r="W26" s="4119"/>
      <c r="X26" s="4119"/>
      <c r="Y26" s="4119"/>
      <c r="Z26" s="4119"/>
      <c r="AA26" s="4120"/>
      <c r="AB26" s="2242" t="s">
        <v>1508</v>
      </c>
      <c r="AD26" s="4118"/>
      <c r="AE26" s="4119"/>
      <c r="AF26" s="4119"/>
      <c r="AG26" s="4119"/>
      <c r="AH26" s="4119"/>
      <c r="AI26" s="4120"/>
      <c r="AJ26" s="2242" t="s">
        <v>1508</v>
      </c>
      <c r="AK26" s="450"/>
      <c r="AL26" s="444"/>
      <c r="AM26" s="278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84" t="str">
        <f>IFERROR(LEFT(AM26,LEN(AM26)-2),"")</f>
        <v/>
      </c>
    </row>
    <row r="27" spans="1:40" ht="12" customHeight="1" thickBot="1" x14ac:dyDescent="0.25">
      <c r="A27" s="444"/>
      <c r="B27" s="1223"/>
      <c r="C27" s="4099" t="s">
        <v>1628</v>
      </c>
      <c r="D27" s="4100"/>
      <c r="E27" s="4100"/>
      <c r="F27" s="4101"/>
      <c r="H27" s="4032" t="s">
        <v>1629</v>
      </c>
      <c r="I27" s="4034"/>
      <c r="J27" s="1217"/>
      <c r="K27" s="4056" t="s">
        <v>1630</v>
      </c>
      <c r="L27" s="4131"/>
      <c r="M27" s="4131"/>
      <c r="N27" s="4131"/>
      <c r="O27" s="4131"/>
      <c r="P27" s="1662">
        <f>IF(Q27=0,10,"-")</f>
        <v>10</v>
      </c>
      <c r="Q27" s="1844"/>
      <c r="R27" s="1213" t="b">
        <f t="shared" si="1"/>
        <v>0</v>
      </c>
      <c r="S27" s="1009"/>
      <c r="T27" s="1009"/>
      <c r="U27" s="497">
        <f>IF(V28=0,0,1)</f>
        <v>1</v>
      </c>
      <c r="V27" s="4132" t="str">
        <f>IF(V26="","",VLOOKUP(V26,'Tablas Técnicas'!$C$655:$H$838,6,FALSE))</f>
        <v/>
      </c>
      <c r="W27" s="4133"/>
      <c r="X27" s="4133"/>
      <c r="Y27" s="4133"/>
      <c r="Z27" s="2228" t="s">
        <v>1333</v>
      </c>
      <c r="AA27" s="2028" t="str">
        <f>IF(V26="","",VLOOKUP(V26,'Tablas Técnicas'!$C$655:$E$838,3,FALSE))</f>
        <v/>
      </c>
      <c r="AB27" s="2243">
        <f>IF(V26="",0,VLOOKUP(V26,'Tablas Técnicas'!$C$655:$K$838,5,FALSE))</f>
        <v>0</v>
      </c>
      <c r="AD27" s="4132" t="str">
        <f>IF(AD26="","",VLOOKUP(AD26,'Tablas Técnicas'!$C$655:$H$838,6,FALSE))</f>
        <v/>
      </c>
      <c r="AE27" s="4133"/>
      <c r="AF27" s="4133"/>
      <c r="AG27" s="4133"/>
      <c r="AH27" s="2228" t="s">
        <v>1333</v>
      </c>
      <c r="AI27" s="2028" t="str">
        <f>IF(AD26="","",VLOOKUP(AD26,'Tablas Técnicas'!$C$655:$E$838,3,FALSE))</f>
        <v/>
      </c>
      <c r="AJ27" s="2243">
        <f>IF(AD26="",0,VLOOKUP(AD26,'Tablas Técnicas'!$C$655:$K$838,5,FALSE))</f>
        <v>0</v>
      </c>
      <c r="AK27" s="450"/>
      <c r="AL27" s="444"/>
      <c r="AM27" s="2783"/>
      <c r="AN27" s="2784"/>
    </row>
    <row r="28" spans="1:40" ht="12" customHeight="1" x14ac:dyDescent="0.2">
      <c r="A28" s="444"/>
      <c r="B28" s="1223"/>
      <c r="C28" s="4151" t="s">
        <v>1631</v>
      </c>
      <c r="D28" s="4152"/>
      <c r="E28" s="4153" t="s">
        <v>1632</v>
      </c>
      <c r="F28" s="4154"/>
      <c r="G28" s="1326">
        <f>Tablas!H977</f>
        <v>0</v>
      </c>
      <c r="H28" s="4155"/>
      <c r="I28" s="4156"/>
      <c r="J28" s="1217"/>
      <c r="K28" s="490" t="s">
        <v>1616</v>
      </c>
      <c r="L28" s="4085" t="s">
        <v>1633</v>
      </c>
      <c r="M28" s="4085"/>
      <c r="N28" s="4085"/>
      <c r="O28" s="4085"/>
      <c r="P28" s="1662">
        <f>IF(Q28=0,20,"-")</f>
        <v>20</v>
      </c>
      <c r="Q28" s="1844"/>
      <c r="R28" s="1213" t="b">
        <f t="shared" si="1"/>
        <v>0</v>
      </c>
      <c r="S28" s="1009"/>
      <c r="T28" s="1009"/>
      <c r="U28" s="497"/>
      <c r="V28" s="4126" t="str">
        <f>IFERROR(VLOOKUP(V26,'Tablas Técnicas'!$C$655:$I$838,7,FALSE),"")</f>
        <v/>
      </c>
      <c r="W28" s="4127"/>
      <c r="X28" s="4127"/>
      <c r="Y28" s="4127"/>
      <c r="Z28" s="4127"/>
      <c r="AA28" s="4127"/>
      <c r="AB28" s="4128"/>
      <c r="AD28" s="4126" t="str">
        <f>IFERROR(VLOOKUP(AD26,'Tablas Técnicas'!$C$655:$I$838,7,FALSE),"")</f>
        <v/>
      </c>
      <c r="AE28" s="4127"/>
      <c r="AF28" s="4127"/>
      <c r="AG28" s="4127"/>
      <c r="AH28" s="4127"/>
      <c r="AI28" s="4127"/>
      <c r="AJ28" s="4128"/>
      <c r="AK28" s="450"/>
      <c r="AL28" s="444"/>
      <c r="AM28" s="2783"/>
      <c r="AN28" s="2784"/>
    </row>
    <row r="29" spans="1:40" ht="12" customHeight="1" x14ac:dyDescent="0.2">
      <c r="A29" s="444"/>
      <c r="B29" s="1223"/>
      <c r="C29" s="4145">
        <f>CM_final</f>
        <v>20</v>
      </c>
      <c r="D29" s="4146"/>
      <c r="E29" s="4146">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49"/>
      <c r="H29" s="4134"/>
      <c r="I29" s="4135"/>
      <c r="J29" s="1217"/>
      <c r="K29" s="499"/>
      <c r="L29" s="493" t="s">
        <v>1605</v>
      </c>
      <c r="M29" s="4085" t="s">
        <v>1634</v>
      </c>
      <c r="N29" s="4085"/>
      <c r="O29" s="4085"/>
      <c r="P29" s="1662">
        <f>IF(Q29=0,10,"-")</f>
        <v>10</v>
      </c>
      <c r="Q29" s="1844"/>
      <c r="R29" s="1213" t="b">
        <f t="shared" si="1"/>
        <v>0</v>
      </c>
      <c r="S29" s="1009"/>
      <c r="T29" s="1009"/>
      <c r="U29" s="497">
        <f>IF(V30=0,0,1)</f>
        <v>0</v>
      </c>
      <c r="V29" s="4126"/>
      <c r="W29" s="4127"/>
      <c r="X29" s="4127"/>
      <c r="Y29" s="4127"/>
      <c r="Z29" s="4127"/>
      <c r="AA29" s="4127"/>
      <c r="AB29" s="4128"/>
      <c r="AD29" s="4126"/>
      <c r="AE29" s="4127"/>
      <c r="AF29" s="4127"/>
      <c r="AG29" s="4127"/>
      <c r="AH29" s="4127"/>
      <c r="AI29" s="4127"/>
      <c r="AJ29" s="4128"/>
      <c r="AK29" s="450"/>
      <c r="AL29" s="444"/>
      <c r="AM29" s="2783"/>
      <c r="AN29" s="2784"/>
    </row>
    <row r="30" spans="1:40" ht="12" customHeight="1" x14ac:dyDescent="0.2">
      <c r="A30" s="444"/>
      <c r="B30" s="1223"/>
      <c r="C30" s="4147"/>
      <c r="D30" s="4148"/>
      <c r="E30" s="4148"/>
      <c r="F30" s="4150"/>
      <c r="H30" s="4129"/>
      <c r="I30" s="4130"/>
      <c r="J30" s="1217"/>
      <c r="K30" s="499"/>
      <c r="L30" s="493" t="s">
        <v>1608</v>
      </c>
      <c r="M30" s="493" t="s">
        <v>1616</v>
      </c>
      <c r="N30" s="1663" t="s">
        <v>8583</v>
      </c>
      <c r="O30" s="1663"/>
      <c r="P30" s="1662">
        <f>IF(Q30=0,20,"-")</f>
        <v>20</v>
      </c>
      <c r="Q30" s="1844"/>
      <c r="R30" s="1213" t="b">
        <f t="shared" si="1"/>
        <v>0</v>
      </c>
      <c r="S30" s="1009"/>
      <c r="T30" s="1009"/>
      <c r="U30" s="497"/>
      <c r="V30" s="4126"/>
      <c r="W30" s="4127"/>
      <c r="X30" s="4127"/>
      <c r="Y30" s="4127"/>
      <c r="Z30" s="4127"/>
      <c r="AA30" s="4127"/>
      <c r="AB30" s="4128"/>
      <c r="AD30" s="4126"/>
      <c r="AE30" s="4127"/>
      <c r="AF30" s="4127"/>
      <c r="AG30" s="4127"/>
      <c r="AH30" s="4127"/>
      <c r="AI30" s="4127"/>
      <c r="AJ30" s="4128"/>
      <c r="AK30" s="450"/>
      <c r="AL30" s="444"/>
      <c r="AM30" s="2783"/>
      <c r="AN30" s="2784"/>
    </row>
    <row r="31" spans="1:40" ht="12" customHeight="1" thickBot="1" x14ac:dyDescent="0.25">
      <c r="A31" s="444"/>
      <c r="B31" s="1223"/>
      <c r="C31" s="4142" t="str">
        <f>IF(E29&gt;C29,"Exceso de CM",IF(Tablas!$X$21,IF(E29&gt;C29*VLOOKUP(Nivel_Sobrenatural,Tablas!$S$9:$X$12,4,FALSE),"Exceso de CM inicial",""),""))</f>
        <v/>
      </c>
      <c r="D31" s="4143"/>
      <c r="E31" s="4143"/>
      <c r="F31" s="4144"/>
      <c r="H31" s="4129"/>
      <c r="I31" s="4130"/>
      <c r="J31" s="1217"/>
      <c r="K31" s="499"/>
      <c r="L31" s="493" t="s">
        <v>1616</v>
      </c>
      <c r="M31" s="4085" t="s">
        <v>1635</v>
      </c>
      <c r="N31" s="4085"/>
      <c r="O31" s="4085"/>
      <c r="P31" s="1662">
        <f>IF(Q31=0,20,"-")</f>
        <v>20</v>
      </c>
      <c r="Q31" s="1844"/>
      <c r="R31" s="1213" t="b">
        <f t="shared" si="1"/>
        <v>0</v>
      </c>
      <c r="S31" s="1009"/>
      <c r="T31" s="1009"/>
      <c r="U31" s="497">
        <f>IF(V32=0,0,1)</f>
        <v>0</v>
      </c>
      <c r="V31" s="4126" t="str">
        <f>IFERROR(IF(VLOOKUP(V26,'Tablas Técnicas'!$C$655:$J$838,8,FALSE)="","",VLOOKUP(V26,'Tablas Técnicas'!$C$655:$J$838,8,FALSE)),"")</f>
        <v/>
      </c>
      <c r="W31" s="4127"/>
      <c r="X31" s="4127"/>
      <c r="Y31" s="4127"/>
      <c r="Z31" s="4127"/>
      <c r="AA31" s="4127"/>
      <c r="AB31" s="4128"/>
      <c r="AD31" s="4126" t="str">
        <f>IFERROR(IF(VLOOKUP(AD26,'Tablas Técnicas'!$C$655:$J$838,8,FALSE)="","",VLOOKUP(AD26,'Tablas Técnicas'!$C$655:$J$838,8,FALSE)),"")</f>
        <v/>
      </c>
      <c r="AE31" s="4127"/>
      <c r="AF31" s="4127"/>
      <c r="AG31" s="4127"/>
      <c r="AH31" s="4127"/>
      <c r="AI31" s="4127"/>
      <c r="AJ31" s="4128"/>
      <c r="AK31" s="450"/>
      <c r="AL31" s="444"/>
      <c r="AM31" s="2783"/>
      <c r="AN31" s="2784"/>
    </row>
    <row r="32" spans="1:40" ht="12" customHeight="1" thickBot="1" x14ac:dyDescent="0.25">
      <c r="A32" s="444"/>
      <c r="B32" s="1223"/>
      <c r="H32" s="4134"/>
      <c r="I32" s="4135"/>
      <c r="J32" s="1217"/>
      <c r="K32" s="4056" t="s">
        <v>1636</v>
      </c>
      <c r="L32" s="4057"/>
      <c r="M32" s="4057"/>
      <c r="N32" s="4057"/>
      <c r="O32" s="4057"/>
      <c r="P32" s="1662">
        <f>IF(Q32=0,10,"-")</f>
        <v>10</v>
      </c>
      <c r="Q32" s="1844"/>
      <c r="R32" s="1213" t="b">
        <f t="shared" si="1"/>
        <v>0</v>
      </c>
      <c r="S32" s="1009"/>
      <c r="T32" s="1009"/>
      <c r="U32" s="497"/>
      <c r="V32" s="4139"/>
      <c r="W32" s="4140"/>
      <c r="X32" s="4140"/>
      <c r="Y32" s="4140"/>
      <c r="Z32" s="4140"/>
      <c r="AA32" s="4140"/>
      <c r="AB32" s="4141"/>
      <c r="AD32" s="4139"/>
      <c r="AE32" s="4140"/>
      <c r="AF32" s="4140"/>
      <c r="AG32" s="4140"/>
      <c r="AH32" s="4140"/>
      <c r="AI32" s="4140"/>
      <c r="AJ32" s="4141"/>
      <c r="AK32" s="450"/>
      <c r="AL32" s="444"/>
      <c r="AM32" s="2783"/>
      <c r="AN32" s="2784"/>
    </row>
    <row r="33" spans="1:40" ht="12" customHeight="1" thickBot="1" x14ac:dyDescent="0.25">
      <c r="A33" s="444"/>
      <c r="B33" s="1223"/>
      <c r="C33" s="4136" t="s">
        <v>1637</v>
      </c>
      <c r="D33" s="4137"/>
      <c r="E33" s="4137"/>
      <c r="F33" s="4138"/>
      <c r="H33" s="4134"/>
      <c r="I33" s="4135"/>
      <c r="J33" s="1217"/>
      <c r="K33" s="490" t="s">
        <v>1605</v>
      </c>
      <c r="L33" s="4131" t="s">
        <v>1638</v>
      </c>
      <c r="M33" s="4057"/>
      <c r="N33" s="4057"/>
      <c r="O33" s="4057"/>
      <c r="P33" s="1662">
        <f t="shared" ref="P33:P40" si="2">IF(Q33=0,10,"-")</f>
        <v>10</v>
      </c>
      <c r="Q33" s="1844"/>
      <c r="R33" s="1213" t="b">
        <f t="shared" si="1"/>
        <v>0</v>
      </c>
      <c r="S33" s="1009"/>
      <c r="T33" s="1009"/>
      <c r="U33" s="497">
        <f>IF(V34=0,0,1)</f>
        <v>0</v>
      </c>
      <c r="V33" s="2237"/>
      <c r="W33" s="2237"/>
      <c r="X33" s="2237"/>
      <c r="Y33" s="2237"/>
      <c r="Z33" s="2238"/>
      <c r="AA33" s="2239"/>
      <c r="AB33" s="2240"/>
      <c r="AD33" s="2237"/>
      <c r="AE33" s="2237"/>
      <c r="AF33" s="2237"/>
      <c r="AG33" s="2237"/>
      <c r="AH33" s="2238"/>
      <c r="AI33" s="2239"/>
      <c r="AJ33" s="2240"/>
      <c r="AK33" s="450"/>
      <c r="AL33" s="444"/>
      <c r="AM33" s="2783"/>
      <c r="AN33" s="2784"/>
    </row>
    <row r="34" spans="1:40" ht="12" customHeight="1" x14ac:dyDescent="0.2">
      <c r="A34" s="444"/>
      <c r="B34" s="1223"/>
      <c r="C34" s="4066" t="s">
        <v>1383</v>
      </c>
      <c r="D34" s="4030"/>
      <c r="E34" s="1846" t="s">
        <v>1426</v>
      </c>
      <c r="F34" s="1847" t="s">
        <v>1357</v>
      </c>
      <c r="H34" s="4129"/>
      <c r="I34" s="4130"/>
      <c r="J34" s="1217"/>
      <c r="K34" s="490" t="s">
        <v>1639</v>
      </c>
      <c r="L34" s="493" t="s">
        <v>1616</v>
      </c>
      <c r="M34" s="4131" t="s">
        <v>1640</v>
      </c>
      <c r="N34" s="4131"/>
      <c r="O34" s="4131"/>
      <c r="P34" s="1662">
        <f t="shared" si="2"/>
        <v>10</v>
      </c>
      <c r="Q34" s="1844"/>
      <c r="R34" s="1213" t="b">
        <f t="shared" si="1"/>
        <v>0</v>
      </c>
      <c r="S34" s="1009"/>
      <c r="T34" s="1009"/>
      <c r="U34" s="497"/>
      <c r="V34" s="4118"/>
      <c r="W34" s="4119"/>
      <c r="X34" s="4119"/>
      <c r="Y34" s="4119"/>
      <c r="Z34" s="4119"/>
      <c r="AA34" s="4120"/>
      <c r="AB34" s="2242" t="s">
        <v>1508</v>
      </c>
      <c r="AD34" s="4118"/>
      <c r="AE34" s="4119"/>
      <c r="AF34" s="4119"/>
      <c r="AG34" s="4119"/>
      <c r="AH34" s="4119"/>
      <c r="AI34" s="4120"/>
      <c r="AJ34" s="2242" t="s">
        <v>1508</v>
      </c>
      <c r="AK34" s="450"/>
      <c r="AL34" s="444"/>
      <c r="AM34" s="2783"/>
      <c r="AN34" s="2784"/>
    </row>
    <row r="35" spans="1:40" ht="12" customHeight="1" x14ac:dyDescent="0.2">
      <c r="A35" s="444"/>
      <c r="B35" s="1223"/>
      <c r="C35" s="4162" t="s">
        <v>1641</v>
      </c>
      <c r="D35" s="4163"/>
      <c r="E35" s="2568"/>
      <c r="F35" s="2029" t="str">
        <f>IF(Ki!P13="-",TRUNC((Ki!C29+Advertir_final)/2+E35+Tablas!$CD$225+IF(Tablas!$G$379&gt;0,10*PDs!$R$15,0),0),"-")</f>
        <v>-</v>
      </c>
      <c r="H35" s="4129"/>
      <c r="I35" s="4130"/>
      <c r="J35" s="1219"/>
      <c r="K35" s="490" t="s">
        <v>1639</v>
      </c>
      <c r="L35" s="444"/>
      <c r="M35" s="493" t="s">
        <v>1616</v>
      </c>
      <c r="N35" s="4164" t="s">
        <v>1642</v>
      </c>
      <c r="O35" s="4164"/>
      <c r="P35" s="1662">
        <f t="shared" si="2"/>
        <v>10</v>
      </c>
      <c r="Q35" s="1844"/>
      <c r="R35" s="1213" t="b">
        <f t="shared" si="1"/>
        <v>0</v>
      </c>
      <c r="S35" s="1009"/>
      <c r="T35" s="1009"/>
      <c r="U35" s="497">
        <f>IF(V36=0,0,1)</f>
        <v>1</v>
      </c>
      <c r="V35" s="4132" t="str">
        <f>IF(V34="","",VLOOKUP(V34,'Tablas Técnicas'!$C$655:$H$838,6,FALSE))</f>
        <v/>
      </c>
      <c r="W35" s="4133"/>
      <c r="X35" s="4133"/>
      <c r="Y35" s="4133"/>
      <c r="Z35" s="2228" t="s">
        <v>1333</v>
      </c>
      <c r="AA35" s="2028" t="str">
        <f>IF(V34="","",VLOOKUP(V34,'Tablas Técnicas'!$C$655:$E$838,3,FALSE))</f>
        <v/>
      </c>
      <c r="AB35" s="2243">
        <f>IF(V34="",0,VLOOKUP(V34,'Tablas Técnicas'!$C$655:$K$838,5,FALSE))</f>
        <v>0</v>
      </c>
      <c r="AD35" s="4132" t="str">
        <f>IF(AD34="","",VLOOKUP(AD34,'Tablas Técnicas'!$C$655:$H$838,6,FALSE))</f>
        <v/>
      </c>
      <c r="AE35" s="4133"/>
      <c r="AF35" s="4133"/>
      <c r="AG35" s="4133"/>
      <c r="AH35" s="2228" t="s">
        <v>1333</v>
      </c>
      <c r="AI35" s="2028" t="str">
        <f>IF(AD34="","",VLOOKUP(AD34,'Tablas Técnicas'!$C$655:$E$838,3,FALSE))</f>
        <v/>
      </c>
      <c r="AJ35" s="2243">
        <f>IF(AD34="",0,VLOOKUP(AD34,'Tablas Técnicas'!$C$655:$K$838,5,FALSE))</f>
        <v>0</v>
      </c>
      <c r="AK35" s="450"/>
      <c r="AL35" s="444"/>
      <c r="AM35" s="2783"/>
      <c r="AN35" s="2784"/>
    </row>
    <row r="36" spans="1:40" ht="12" customHeight="1" x14ac:dyDescent="0.2">
      <c r="A36" s="444"/>
      <c r="B36" s="1223"/>
      <c r="C36" s="4162" t="s">
        <v>1643</v>
      </c>
      <c r="D36" s="4163"/>
      <c r="E36" s="2569"/>
      <c r="F36" s="2030" t="str">
        <f>IF(OcultacióndelKi,TRUNC((Ocultarse_final+Ki!$C$29)/2+E36+IF(Raza="D'Anjayni",50,0)+IF(Raza="Nephilim D'Anjayni",30,0)+Tablas!$CE$225+IF(Tablas!$G$374&gt;0,10*PDs!$R$15,0),0),"-")</f>
        <v>-</v>
      </c>
      <c r="H36" s="4134"/>
      <c r="I36" s="4135"/>
      <c r="J36" s="1219"/>
      <c r="K36" s="490" t="s">
        <v>1605</v>
      </c>
      <c r="L36" s="4131" t="s">
        <v>1644</v>
      </c>
      <c r="M36" s="4057"/>
      <c r="N36" s="4057"/>
      <c r="O36" s="4057"/>
      <c r="P36" s="1662">
        <f t="shared" si="2"/>
        <v>10</v>
      </c>
      <c r="Q36" s="1844"/>
      <c r="R36" s="1213" t="b">
        <f t="shared" si="1"/>
        <v>0</v>
      </c>
      <c r="S36" s="1009"/>
      <c r="T36" s="1009"/>
      <c r="U36" s="497"/>
      <c r="V36" s="4126" t="str">
        <f>IFERROR(VLOOKUP(V34,'Tablas Técnicas'!$C$655:$I$838,7,FALSE),"")</f>
        <v/>
      </c>
      <c r="W36" s="4127"/>
      <c r="X36" s="4127"/>
      <c r="Y36" s="4127"/>
      <c r="Z36" s="4127"/>
      <c r="AA36" s="4127"/>
      <c r="AB36" s="4128"/>
      <c r="AD36" s="4126" t="str">
        <f>IFERROR(VLOOKUP(AD34,'Tablas Técnicas'!$C$655:$I$838,7,FALSE),"")</f>
        <v/>
      </c>
      <c r="AE36" s="4127"/>
      <c r="AF36" s="4127"/>
      <c r="AG36" s="4127"/>
      <c r="AH36" s="4127"/>
      <c r="AI36" s="4127"/>
      <c r="AJ36" s="4128"/>
      <c r="AK36" s="450"/>
      <c r="AL36" s="444"/>
      <c r="AM36" s="2783"/>
      <c r="AN36" s="2784"/>
    </row>
    <row r="37" spans="1:40" ht="12" customHeight="1" thickBot="1" x14ac:dyDescent="0.25">
      <c r="A37" s="444"/>
      <c r="B37" s="1223"/>
      <c r="C37" s="4157"/>
      <c r="D37" s="4158"/>
      <c r="E37" s="4158"/>
      <c r="F37" s="4159"/>
      <c r="H37" s="4160"/>
      <c r="I37" s="4161"/>
      <c r="J37" s="1219"/>
      <c r="K37" s="490" t="s">
        <v>1639</v>
      </c>
      <c r="L37" s="493" t="s">
        <v>1605</v>
      </c>
      <c r="M37" s="4131" t="s">
        <v>1645</v>
      </c>
      <c r="N37" s="4131"/>
      <c r="O37" s="4131"/>
      <c r="P37" s="1662">
        <f t="shared" si="2"/>
        <v>10</v>
      </c>
      <c r="Q37" s="1844"/>
      <c r="R37" s="1213" t="b">
        <f t="shared" si="1"/>
        <v>0</v>
      </c>
      <c r="S37" s="1009"/>
      <c r="T37" s="1009"/>
      <c r="U37" s="497">
        <f>IF(V38=0,0,1)</f>
        <v>0</v>
      </c>
      <c r="V37" s="4126"/>
      <c r="W37" s="4127"/>
      <c r="X37" s="4127"/>
      <c r="Y37" s="4127"/>
      <c r="Z37" s="4127"/>
      <c r="AA37" s="4127"/>
      <c r="AB37" s="4128"/>
      <c r="AD37" s="4126"/>
      <c r="AE37" s="4127"/>
      <c r="AF37" s="4127"/>
      <c r="AG37" s="4127"/>
      <c r="AH37" s="4127"/>
      <c r="AI37" s="4127"/>
      <c r="AJ37" s="4128"/>
      <c r="AK37" s="450"/>
      <c r="AL37" s="444"/>
      <c r="AM37" s="2783"/>
      <c r="AN37" s="2784"/>
    </row>
    <row r="38" spans="1:40" ht="12" customHeight="1" thickBot="1" x14ac:dyDescent="0.25">
      <c r="A38" s="444"/>
      <c r="B38" s="1223"/>
      <c r="J38" s="1219"/>
      <c r="K38" s="490" t="s">
        <v>1639</v>
      </c>
      <c r="L38" s="493" t="s">
        <v>1605</v>
      </c>
      <c r="M38" s="4131" t="s">
        <v>1646</v>
      </c>
      <c r="N38" s="4131"/>
      <c r="O38" s="4131"/>
      <c r="P38" s="1662">
        <f t="shared" si="2"/>
        <v>10</v>
      </c>
      <c r="Q38" s="1844"/>
      <c r="R38" s="1213" t="b">
        <f t="shared" si="1"/>
        <v>0</v>
      </c>
      <c r="S38" s="1009"/>
      <c r="T38" s="1009"/>
      <c r="U38" s="497"/>
      <c r="V38" s="4126"/>
      <c r="W38" s="4127"/>
      <c r="X38" s="4127"/>
      <c r="Y38" s="4127"/>
      <c r="Z38" s="4127"/>
      <c r="AA38" s="4127"/>
      <c r="AB38" s="4128"/>
      <c r="AD38" s="4126"/>
      <c r="AE38" s="4127"/>
      <c r="AF38" s="4127"/>
      <c r="AG38" s="4127"/>
      <c r="AH38" s="4127"/>
      <c r="AI38" s="4127"/>
      <c r="AJ38" s="4128"/>
      <c r="AK38" s="450"/>
      <c r="AL38" s="444"/>
      <c r="AM38" s="2783"/>
      <c r="AN38" s="2784"/>
    </row>
    <row r="39" spans="1:40" ht="12" customHeight="1" x14ac:dyDescent="0.2">
      <c r="A39" s="444"/>
      <c r="B39" s="1223"/>
      <c r="C39" s="4171" t="s">
        <v>1647</v>
      </c>
      <c r="D39" s="4172"/>
      <c r="E39" s="4172"/>
      <c r="F39" s="4173"/>
      <c r="G39" s="4174" t="s">
        <v>1648</v>
      </c>
      <c r="H39" s="4175"/>
      <c r="I39" s="1842">
        <f>IF(Tablas!$G$380&gt;0,2,1)-IF(Ki!C40="",0,1)-IF(Ki!C41="",0,1)</f>
        <v>1</v>
      </c>
      <c r="J39" s="1219"/>
      <c r="K39" s="490" t="s">
        <v>1639</v>
      </c>
      <c r="L39" s="493" t="s">
        <v>1605</v>
      </c>
      <c r="M39" s="4131" t="str">
        <f>"Alcance incrementado"</f>
        <v>Alcance incrementado</v>
      </c>
      <c r="N39" s="4131"/>
      <c r="O39" s="4131"/>
      <c r="P39" s="1662">
        <f t="shared" si="2"/>
        <v>10</v>
      </c>
      <c r="Q39" s="1844"/>
      <c r="R39" s="1213" t="b">
        <f t="shared" si="1"/>
        <v>0</v>
      </c>
      <c r="S39" s="1009"/>
      <c r="T39" s="1009"/>
      <c r="U39" s="497">
        <f>IF(V40=0,0,1)</f>
        <v>0</v>
      </c>
      <c r="V39" s="4126" t="str">
        <f>IFERROR(IF(VLOOKUP(V34,'Tablas Técnicas'!$C$655:$J$838,8,FALSE)="","",VLOOKUP(V34,'Tablas Técnicas'!$C$655:$J$838,8,FALSE)),"")</f>
        <v/>
      </c>
      <c r="W39" s="4127"/>
      <c r="X39" s="4127"/>
      <c r="Y39" s="4127"/>
      <c r="Z39" s="4127"/>
      <c r="AA39" s="4127"/>
      <c r="AB39" s="4128"/>
      <c r="AD39" s="4126" t="str">
        <f>IFERROR(IF(VLOOKUP(AD34,'Tablas Técnicas'!$C$655:$J$838,8,FALSE)="","",VLOOKUP(AD34,'Tablas Técnicas'!$C$655:$J$838,8,FALSE)),"")</f>
        <v/>
      </c>
      <c r="AE39" s="4127"/>
      <c r="AF39" s="4127"/>
      <c r="AG39" s="4127"/>
      <c r="AH39" s="4127"/>
      <c r="AI39" s="4127"/>
      <c r="AJ39" s="4128"/>
      <c r="AK39" s="450"/>
      <c r="AL39" s="444"/>
      <c r="AM39" s="2783"/>
      <c r="AN39" s="2784"/>
    </row>
    <row r="40" spans="1:40" ht="12" customHeight="1" thickBot="1" x14ac:dyDescent="0.25">
      <c r="A40" s="444"/>
      <c r="B40" s="1223"/>
      <c r="C40" s="4168"/>
      <c r="D40" s="4169"/>
      <c r="E40" s="4169"/>
      <c r="F40" s="4169"/>
      <c r="G40" s="4169"/>
      <c r="H40" s="4170"/>
      <c r="I40" s="570" t="str">
        <f>IF(C40=0,"",VLOOKUP(C40,Tablas!$D$1027:$M$1033,2))</f>
        <v/>
      </c>
      <c r="J40" s="1219"/>
      <c r="K40" s="490" t="s">
        <v>1639</v>
      </c>
      <c r="L40" s="493" t="s">
        <v>1616</v>
      </c>
      <c r="M40" s="4131" t="s">
        <v>1649</v>
      </c>
      <c r="N40" s="4131"/>
      <c r="O40" s="4131"/>
      <c r="P40" s="1662">
        <f t="shared" si="2"/>
        <v>10</v>
      </c>
      <c r="Q40" s="1844"/>
      <c r="R40" s="1213" t="b">
        <f t="shared" si="1"/>
        <v>0</v>
      </c>
      <c r="S40" s="1009"/>
      <c r="T40" s="1009"/>
      <c r="U40" s="497"/>
      <c r="V40" s="4139"/>
      <c r="W40" s="4140"/>
      <c r="X40" s="4140"/>
      <c r="Y40" s="4140"/>
      <c r="Z40" s="4140"/>
      <c r="AA40" s="4140"/>
      <c r="AB40" s="4141"/>
      <c r="AD40" s="4139"/>
      <c r="AE40" s="4140"/>
      <c r="AF40" s="4140"/>
      <c r="AG40" s="4140"/>
      <c r="AH40" s="4140"/>
      <c r="AI40" s="4140"/>
      <c r="AJ40" s="4141"/>
      <c r="AK40" s="450"/>
      <c r="AL40" s="444"/>
      <c r="AM40" s="2783"/>
      <c r="AN40" s="2784"/>
    </row>
    <row r="41" spans="1:40" ht="12" customHeight="1" thickBot="1" x14ac:dyDescent="0.25">
      <c r="A41" s="444"/>
      <c r="B41" s="1223"/>
      <c r="C41" s="4165"/>
      <c r="D41" s="4166"/>
      <c r="E41" s="4166"/>
      <c r="F41" s="4166"/>
      <c r="G41" s="4166"/>
      <c r="H41" s="4167"/>
      <c r="I41" s="571" t="str">
        <f>IF(C41=0,"",VLOOKUP(C41,Tablas!$D$1027:$M$1033,2))</f>
        <v/>
      </c>
      <c r="J41" s="1219"/>
      <c r="K41" s="490" t="s">
        <v>1605</v>
      </c>
      <c r="L41" s="4131" t="s">
        <v>1650</v>
      </c>
      <c r="M41" s="4057"/>
      <c r="N41" s="4057"/>
      <c r="O41" s="4057"/>
      <c r="P41" s="1662">
        <f>IF(Q41=0,20,"-")</f>
        <v>20</v>
      </c>
      <c r="Q41" s="1844"/>
      <c r="R41" s="1213" t="b">
        <f t="shared" si="1"/>
        <v>0</v>
      </c>
      <c r="S41" s="1009"/>
      <c r="T41" s="1009"/>
      <c r="U41" s="497">
        <f>IF(V42=0,0,1)</f>
        <v>0</v>
      </c>
      <c r="V41" s="2237"/>
      <c r="W41" s="2237"/>
      <c r="X41" s="2237"/>
      <c r="Y41" s="2237"/>
      <c r="Z41" s="2238"/>
      <c r="AA41" s="2239"/>
      <c r="AB41" s="2240"/>
      <c r="AD41" s="2237"/>
      <c r="AE41" s="2237"/>
      <c r="AF41" s="2237"/>
      <c r="AG41" s="2237"/>
      <c r="AH41" s="2238"/>
      <c r="AI41" s="2239"/>
      <c r="AJ41" s="2240"/>
      <c r="AK41" s="450"/>
      <c r="AL41" s="444"/>
      <c r="AM41" s="2783"/>
      <c r="AN41" s="2784"/>
    </row>
    <row r="42" spans="1:40" ht="12" customHeight="1" thickBot="1" x14ac:dyDescent="0.25">
      <c r="A42" s="444"/>
      <c r="B42" s="1223"/>
      <c r="J42" s="1220"/>
      <c r="K42" s="490" t="s">
        <v>1605</v>
      </c>
      <c r="L42" s="4131" t="s">
        <v>1651</v>
      </c>
      <c r="M42" s="4057"/>
      <c r="N42" s="4057"/>
      <c r="O42" s="4057"/>
      <c r="P42" s="1662">
        <f>IF(Q42=0,30,"-")</f>
        <v>30</v>
      </c>
      <c r="Q42" s="1844"/>
      <c r="R42" s="1213" t="b">
        <f t="shared" si="1"/>
        <v>0</v>
      </c>
      <c r="S42" s="1009"/>
      <c r="T42" s="1009"/>
      <c r="U42" s="497"/>
      <c r="V42" s="4118"/>
      <c r="W42" s="4119"/>
      <c r="X42" s="4119"/>
      <c r="Y42" s="4119"/>
      <c r="Z42" s="4119"/>
      <c r="AA42" s="4120"/>
      <c r="AB42" s="2242" t="s">
        <v>1508</v>
      </c>
      <c r="AD42" s="4118"/>
      <c r="AE42" s="4119"/>
      <c r="AF42" s="4119"/>
      <c r="AG42" s="4119"/>
      <c r="AH42" s="4119"/>
      <c r="AI42" s="4120"/>
      <c r="AJ42" s="2242" t="s">
        <v>1508</v>
      </c>
      <c r="AK42" s="450"/>
      <c r="AL42" s="444"/>
      <c r="AM42" s="2783"/>
      <c r="AN42" s="2784"/>
    </row>
    <row r="43" spans="1:40" ht="12" customHeight="1" x14ac:dyDescent="0.2">
      <c r="A43" s="444"/>
      <c r="B43" s="1223"/>
      <c r="C43" s="4017" t="s">
        <v>1652</v>
      </c>
      <c r="D43" s="4018"/>
      <c r="E43" s="4018"/>
      <c r="F43" s="4018"/>
      <c r="G43" s="4018"/>
      <c r="H43" s="4021">
        <f>IF(I43=0,70,"-")</f>
        <v>70</v>
      </c>
      <c r="I43" s="4023"/>
      <c r="J43" s="1220"/>
      <c r="K43" s="490" t="s">
        <v>1616</v>
      </c>
      <c r="L43" s="4131" t="s">
        <v>1653</v>
      </c>
      <c r="M43" s="4057"/>
      <c r="N43" s="4057"/>
      <c r="O43" s="4057"/>
      <c r="P43" s="1662">
        <f>IF(Q43=0,10,"-")</f>
        <v>10</v>
      </c>
      <c r="Q43" s="1844"/>
      <c r="R43" s="1213" t="b">
        <f t="shared" si="1"/>
        <v>0</v>
      </c>
      <c r="S43" s="1009"/>
      <c r="T43" s="1009"/>
      <c r="U43" s="497">
        <f>IF(V44=0,0,1)</f>
        <v>1</v>
      </c>
      <c r="V43" s="4132" t="str">
        <f>IF(V42="","",VLOOKUP(V42,'Tablas Técnicas'!$C$655:$H$838,6,FALSE))</f>
        <v/>
      </c>
      <c r="W43" s="4133"/>
      <c r="X43" s="4133"/>
      <c r="Y43" s="4133"/>
      <c r="Z43" s="2228" t="s">
        <v>1333</v>
      </c>
      <c r="AA43" s="2028" t="str">
        <f>IF(V42="","",VLOOKUP(V42,'Tablas Técnicas'!$C$655:$E$838,3,FALSE))</f>
        <v/>
      </c>
      <c r="AB43" s="2243">
        <f>IF(V42="",0,VLOOKUP(V42,'Tablas Técnicas'!$C$655:$K$838,5,FALSE))</f>
        <v>0</v>
      </c>
      <c r="AD43" s="4132" t="str">
        <f>IF(AD42="","",VLOOKUP(AD42,'Tablas Técnicas'!$C$655:$H$838,6,FALSE))</f>
        <v/>
      </c>
      <c r="AE43" s="4133"/>
      <c r="AF43" s="4133"/>
      <c r="AG43" s="4133"/>
      <c r="AH43" s="2228" t="s">
        <v>1333</v>
      </c>
      <c r="AI43" s="2028" t="str">
        <f>IF(AD42="","",VLOOKUP(AD42,'Tablas Técnicas'!$C$655:$E$838,3,FALSE))</f>
        <v/>
      </c>
      <c r="AJ43" s="2243">
        <f>IF(AD42="",0,VLOOKUP(AD42,'Tablas Técnicas'!$C$655:$K$838,5,FALSE))</f>
        <v>0</v>
      </c>
      <c r="AK43" s="450"/>
      <c r="AL43" s="444"/>
      <c r="AM43" s="2783"/>
      <c r="AN43" s="2784"/>
    </row>
    <row r="44" spans="1:40" ht="12" customHeight="1" thickBot="1" x14ac:dyDescent="0.25">
      <c r="A44" s="444"/>
      <c r="B44" s="1223"/>
      <c r="C44" s="4019"/>
      <c r="D44" s="4020"/>
      <c r="E44" s="4020"/>
      <c r="F44" s="4020"/>
      <c r="G44" s="4020"/>
      <c r="H44" s="4022"/>
      <c r="I44" s="4024"/>
      <c r="J44" s="1220"/>
      <c r="K44" s="4056" t="s">
        <v>1654</v>
      </c>
      <c r="L44" s="4057"/>
      <c r="M44" s="4057"/>
      <c r="N44" s="4057"/>
      <c r="O44" s="4057"/>
      <c r="P44" s="1662">
        <f t="shared" ref="P44:P53" si="3">IF(Q44=0,10,"-")</f>
        <v>10</v>
      </c>
      <c r="Q44" s="1844"/>
      <c r="R44" s="1213" t="b">
        <f t="shared" si="1"/>
        <v>0</v>
      </c>
      <c r="S44" s="1009"/>
      <c r="T44" s="1009"/>
      <c r="U44" s="497"/>
      <c r="V44" s="4126" t="str">
        <f>IFERROR(VLOOKUP(V42,'Tablas Técnicas'!$C$655:$I$838,7,FALSE),"")</f>
        <v/>
      </c>
      <c r="W44" s="4127"/>
      <c r="X44" s="4127"/>
      <c r="Y44" s="4127"/>
      <c r="Z44" s="4127"/>
      <c r="AA44" s="4127"/>
      <c r="AB44" s="4128"/>
      <c r="AD44" s="4126" t="str">
        <f>IFERROR(VLOOKUP(AD42,'Tablas Técnicas'!$C$655:$I$838,7,FALSE),"")</f>
        <v/>
      </c>
      <c r="AE44" s="4127"/>
      <c r="AF44" s="4127"/>
      <c r="AG44" s="4127"/>
      <c r="AH44" s="4127"/>
      <c r="AI44" s="4127"/>
      <c r="AJ44" s="4128"/>
      <c r="AK44" s="450"/>
      <c r="AL44" s="444"/>
      <c r="AM44" s="2783"/>
      <c r="AN44" s="2784"/>
    </row>
    <row r="45" spans="1:40" ht="12" customHeight="1" x14ac:dyDescent="0.2">
      <c r="A45" s="444"/>
      <c r="B45" s="1214" t="b">
        <f t="shared" ref="B45:B62" si="4">H45="-"</f>
        <v>0</v>
      </c>
      <c r="C45" s="4056" t="s">
        <v>1655</v>
      </c>
      <c r="D45" s="4057"/>
      <c r="E45" s="4057"/>
      <c r="F45" s="4057"/>
      <c r="G45" s="4057"/>
      <c r="H45" s="1662">
        <f>IF(I45=0,20,"-")</f>
        <v>20</v>
      </c>
      <c r="I45" s="1843"/>
      <c r="K45" s="490" t="s">
        <v>1605</v>
      </c>
      <c r="L45" s="4131" t="s">
        <v>1656</v>
      </c>
      <c r="M45" s="4057"/>
      <c r="N45" s="4057"/>
      <c r="O45" s="4057"/>
      <c r="P45" s="1662">
        <f t="shared" si="3"/>
        <v>10</v>
      </c>
      <c r="Q45" s="1844"/>
      <c r="R45" s="1213" t="b">
        <f t="shared" si="1"/>
        <v>0</v>
      </c>
      <c r="S45" s="1009"/>
      <c r="T45" s="1009"/>
      <c r="U45" s="497">
        <f>IF(V46=0,0,1)</f>
        <v>0</v>
      </c>
      <c r="V45" s="4126"/>
      <c r="W45" s="4127"/>
      <c r="X45" s="4127"/>
      <c r="Y45" s="4127"/>
      <c r="Z45" s="4127"/>
      <c r="AA45" s="4127"/>
      <c r="AB45" s="4128"/>
      <c r="AD45" s="4126"/>
      <c r="AE45" s="4127"/>
      <c r="AF45" s="4127"/>
      <c r="AG45" s="4127"/>
      <c r="AH45" s="4127"/>
      <c r="AI45" s="4127"/>
      <c r="AJ45" s="4128"/>
      <c r="AK45" s="450"/>
      <c r="AL45" s="444"/>
      <c r="AM45" s="2783"/>
      <c r="AN45" s="2784"/>
    </row>
    <row r="46" spans="1:40" ht="12" customHeight="1" x14ac:dyDescent="0.2">
      <c r="A46" s="444"/>
      <c r="B46" s="1214" t="b">
        <f t="shared" si="4"/>
        <v>0</v>
      </c>
      <c r="C46" s="490" t="s">
        <v>1616</v>
      </c>
      <c r="D46" s="4131" t="s">
        <v>1657</v>
      </c>
      <c r="E46" s="4057"/>
      <c r="F46" s="4057"/>
      <c r="G46" s="4057"/>
      <c r="H46" s="1662">
        <f>IF(I46=0,30,"-")</f>
        <v>30</v>
      </c>
      <c r="I46" s="1844"/>
      <c r="K46" s="490" t="s">
        <v>1639</v>
      </c>
      <c r="L46" s="493" t="s">
        <v>1605</v>
      </c>
      <c r="M46" s="4131" t="s">
        <v>1658</v>
      </c>
      <c r="N46" s="4131"/>
      <c r="O46" s="4131"/>
      <c r="P46" s="1662">
        <f t="shared" si="3"/>
        <v>10</v>
      </c>
      <c r="Q46" s="1844"/>
      <c r="R46" s="1213" t="b">
        <f t="shared" si="1"/>
        <v>0</v>
      </c>
      <c r="S46" s="1009"/>
      <c r="T46" s="1009"/>
      <c r="U46" s="497"/>
      <c r="V46" s="4126"/>
      <c r="W46" s="4127"/>
      <c r="X46" s="4127"/>
      <c r="Y46" s="4127"/>
      <c r="Z46" s="4127"/>
      <c r="AA46" s="4127"/>
      <c r="AB46" s="4128"/>
      <c r="AD46" s="4126"/>
      <c r="AE46" s="4127"/>
      <c r="AF46" s="4127"/>
      <c r="AG46" s="4127"/>
      <c r="AH46" s="4127"/>
      <c r="AI46" s="4127"/>
      <c r="AJ46" s="4128"/>
      <c r="AK46" s="450"/>
      <c r="AL46" s="444"/>
      <c r="AM46" s="2783"/>
      <c r="AN46" s="2784"/>
    </row>
    <row r="47" spans="1:40" ht="12" customHeight="1" x14ac:dyDescent="0.2">
      <c r="A47" s="444"/>
      <c r="B47" s="1214" t="b">
        <f t="shared" si="4"/>
        <v>0</v>
      </c>
      <c r="C47" s="4056" t="s">
        <v>1659</v>
      </c>
      <c r="D47" s="4131"/>
      <c r="E47" s="4131"/>
      <c r="F47" s="4131"/>
      <c r="G47" s="4131"/>
      <c r="H47" s="1662">
        <f>IF(I47=0,30,"-")</f>
        <v>30</v>
      </c>
      <c r="I47" s="1844"/>
      <c r="K47" s="490" t="s">
        <v>1639</v>
      </c>
      <c r="L47" s="493" t="s">
        <v>1616</v>
      </c>
      <c r="M47" s="4131" t="s">
        <v>1660</v>
      </c>
      <c r="N47" s="4131"/>
      <c r="O47" s="4131"/>
      <c r="P47" s="1662">
        <f t="shared" si="3"/>
        <v>10</v>
      </c>
      <c r="Q47" s="1844"/>
      <c r="R47" s="1213" t="b">
        <f t="shared" si="1"/>
        <v>0</v>
      </c>
      <c r="S47" s="1009"/>
      <c r="T47" s="1009"/>
      <c r="U47" s="497">
        <f>IF(V48=0,0,1)</f>
        <v>0</v>
      </c>
      <c r="V47" s="4126" t="str">
        <f>IFERROR(IF(VLOOKUP(V42,'Tablas Técnicas'!$C$655:$J$838,8,FALSE)="","",VLOOKUP(V42,'Tablas Técnicas'!$C$655:$J$838,8,FALSE)),"")</f>
        <v/>
      </c>
      <c r="W47" s="4127"/>
      <c r="X47" s="4127"/>
      <c r="Y47" s="4127"/>
      <c r="Z47" s="4127"/>
      <c r="AA47" s="4127"/>
      <c r="AB47" s="4128"/>
      <c r="AD47" s="4126" t="str">
        <f>IFERROR(IF(VLOOKUP(AD42,'Tablas Técnicas'!$C$655:$J$838,8,FALSE)="","",VLOOKUP(AD42,'Tablas Técnicas'!$C$655:$J$838,8,FALSE)),"")</f>
        <v/>
      </c>
      <c r="AE47" s="4127"/>
      <c r="AF47" s="4127"/>
      <c r="AG47" s="4127"/>
      <c r="AH47" s="4127"/>
      <c r="AI47" s="4127"/>
      <c r="AJ47" s="4128"/>
      <c r="AK47" s="450"/>
      <c r="AL47" s="444"/>
      <c r="AM47" s="2783"/>
      <c r="AN47" s="2784"/>
    </row>
    <row r="48" spans="1:40" ht="12" customHeight="1" thickBot="1" x14ac:dyDescent="0.25">
      <c r="A48" s="444"/>
      <c r="B48" s="1214" t="b">
        <f t="shared" si="4"/>
        <v>0</v>
      </c>
      <c r="C48" s="490" t="s">
        <v>1616</v>
      </c>
      <c r="D48" s="4131" t="s">
        <v>1661</v>
      </c>
      <c r="E48" s="4131"/>
      <c r="F48" s="4131"/>
      <c r="G48" s="4131"/>
      <c r="H48" s="1662">
        <f>IF(I48=0,20,"-")</f>
        <v>20</v>
      </c>
      <c r="I48" s="1844"/>
      <c r="K48" s="490" t="s">
        <v>1616</v>
      </c>
      <c r="L48" s="4131" t="s">
        <v>1662</v>
      </c>
      <c r="M48" s="4057"/>
      <c r="N48" s="4057"/>
      <c r="O48" s="4057"/>
      <c r="P48" s="1662">
        <f t="shared" si="3"/>
        <v>10</v>
      </c>
      <c r="Q48" s="1844"/>
      <c r="R48" s="1213" t="b">
        <f t="shared" si="1"/>
        <v>0</v>
      </c>
      <c r="S48" s="1009"/>
      <c r="T48" s="1009"/>
      <c r="U48" s="497"/>
      <c r="V48" s="4139"/>
      <c r="W48" s="4140"/>
      <c r="X48" s="4140"/>
      <c r="Y48" s="4140"/>
      <c r="Z48" s="4140"/>
      <c r="AA48" s="4140"/>
      <c r="AB48" s="4141"/>
      <c r="AD48" s="4139"/>
      <c r="AE48" s="4140"/>
      <c r="AF48" s="4140"/>
      <c r="AG48" s="4140"/>
      <c r="AH48" s="4140"/>
      <c r="AI48" s="4140"/>
      <c r="AJ48" s="4141"/>
      <c r="AK48" s="450"/>
      <c r="AL48" s="444"/>
      <c r="AM48" s="2783"/>
      <c r="AN48" s="2784"/>
    </row>
    <row r="49" spans="1:40" ht="12" customHeight="1" thickBot="1" x14ac:dyDescent="0.25">
      <c r="A49" s="444"/>
      <c r="B49" s="1214" t="b">
        <f t="shared" si="4"/>
        <v>0</v>
      </c>
      <c r="C49" s="4056" t="s">
        <v>1663</v>
      </c>
      <c r="D49" s="4131"/>
      <c r="E49" s="4131"/>
      <c r="F49" s="4131"/>
      <c r="G49" s="4131"/>
      <c r="H49" s="1662">
        <f>IF(I49=0,30,"-")</f>
        <v>30</v>
      </c>
      <c r="I49" s="1844"/>
      <c r="K49" s="4056" t="s">
        <v>1664</v>
      </c>
      <c r="L49" s="4057"/>
      <c r="M49" s="4057"/>
      <c r="N49" s="4057"/>
      <c r="O49" s="4057"/>
      <c r="P49" s="1662">
        <f t="shared" si="3"/>
        <v>10</v>
      </c>
      <c r="Q49" s="1844"/>
      <c r="R49" s="1213" t="b">
        <f t="shared" si="1"/>
        <v>0</v>
      </c>
      <c r="S49" s="1009"/>
      <c r="T49" s="1009"/>
      <c r="U49" s="497">
        <f>IF(V50=0,0,1)</f>
        <v>0</v>
      </c>
      <c r="V49" s="2237"/>
      <c r="W49" s="2237"/>
      <c r="X49" s="2237"/>
      <c r="Y49" s="2237"/>
      <c r="Z49" s="2238"/>
      <c r="AA49" s="2239"/>
      <c r="AB49" s="2240"/>
      <c r="AD49" s="2237"/>
      <c r="AE49" s="2237"/>
      <c r="AF49" s="2237"/>
      <c r="AG49" s="2237"/>
      <c r="AH49" s="2238"/>
      <c r="AI49" s="2239"/>
      <c r="AJ49" s="2240"/>
      <c r="AK49" s="450"/>
      <c r="AL49" s="444"/>
      <c r="AM49" s="2783"/>
      <c r="AN49" s="2784"/>
    </row>
    <row r="50" spans="1:40" ht="12" customHeight="1" x14ac:dyDescent="0.2">
      <c r="A50" s="444"/>
      <c r="B50" s="1214" t="b">
        <f t="shared" si="4"/>
        <v>0</v>
      </c>
      <c r="C50" s="490" t="s">
        <v>1616</v>
      </c>
      <c r="D50" s="4131" t="s">
        <v>1665</v>
      </c>
      <c r="E50" s="4131"/>
      <c r="F50" s="4131"/>
      <c r="G50" s="4131"/>
      <c r="H50" s="1662">
        <f>IF(I50=0,20,"-")</f>
        <v>20</v>
      </c>
      <c r="I50" s="1844"/>
      <c r="K50" s="490" t="s">
        <v>1605</v>
      </c>
      <c r="L50" s="4131" t="s">
        <v>1666</v>
      </c>
      <c r="M50" s="4057"/>
      <c r="N50" s="4057"/>
      <c r="O50" s="4057"/>
      <c r="P50" s="1662">
        <f>IF(AND(Q50=0,NOT(Raza="D'Anjayni"),NOT(Nephilim="Nephilim D'Anjayni")),10,"-")</f>
        <v>10</v>
      </c>
      <c r="Q50" s="1844"/>
      <c r="R50" s="1213" t="b">
        <f>P50="-"</f>
        <v>0</v>
      </c>
      <c r="S50" s="1009"/>
      <c r="T50" s="1009"/>
      <c r="U50" s="497"/>
      <c r="V50" s="4118"/>
      <c r="W50" s="4119"/>
      <c r="X50" s="4119"/>
      <c r="Y50" s="4119"/>
      <c r="Z50" s="4119"/>
      <c r="AA50" s="4120"/>
      <c r="AB50" s="2242" t="s">
        <v>1508</v>
      </c>
      <c r="AD50" s="4118"/>
      <c r="AE50" s="4119"/>
      <c r="AF50" s="4119"/>
      <c r="AG50" s="4119"/>
      <c r="AH50" s="4119"/>
      <c r="AI50" s="4120"/>
      <c r="AJ50" s="2242" t="s">
        <v>1508</v>
      </c>
      <c r="AK50" s="450"/>
      <c r="AL50" s="444"/>
      <c r="AM50" s="2783"/>
      <c r="AN50" s="2784"/>
    </row>
    <row r="51" spans="1:40" ht="12" customHeight="1" x14ac:dyDescent="0.2">
      <c r="A51" s="444"/>
      <c r="B51" s="1214" t="b">
        <f t="shared" si="4"/>
        <v>0</v>
      </c>
      <c r="C51" s="4056" t="s">
        <v>1667</v>
      </c>
      <c r="D51" s="4131"/>
      <c r="E51" s="4131"/>
      <c r="F51" s="4131"/>
      <c r="G51" s="4131"/>
      <c r="H51" s="1662">
        <f>IF(I51=0,30,"-")</f>
        <v>30</v>
      </c>
      <c r="I51" s="1844"/>
      <c r="K51" s="490" t="s">
        <v>1639</v>
      </c>
      <c r="L51" s="493" t="s">
        <v>1605</v>
      </c>
      <c r="M51" s="4131" t="s">
        <v>1668</v>
      </c>
      <c r="N51" s="4131"/>
      <c r="O51" s="4131"/>
      <c r="P51" s="1662">
        <f t="shared" si="3"/>
        <v>10</v>
      </c>
      <c r="Q51" s="1844"/>
      <c r="R51" s="1213" t="b">
        <f t="shared" si="1"/>
        <v>0</v>
      </c>
      <c r="S51" s="1009"/>
      <c r="T51" s="1009"/>
      <c r="U51" s="497">
        <f>IF(V52=0,0,1)</f>
        <v>1</v>
      </c>
      <c r="V51" s="4132" t="str">
        <f>IF(V50="","",VLOOKUP(V50,'Tablas Técnicas'!$C$655:$H$838,6,FALSE))</f>
        <v/>
      </c>
      <c r="W51" s="4133"/>
      <c r="X51" s="4133"/>
      <c r="Y51" s="4133"/>
      <c r="Z51" s="2228" t="s">
        <v>1333</v>
      </c>
      <c r="AA51" s="2028" t="str">
        <f>IF(V50="","",VLOOKUP(V50,'Tablas Técnicas'!$C$655:$E$838,3,FALSE))</f>
        <v/>
      </c>
      <c r="AB51" s="2243">
        <f>IF(V50="",0,VLOOKUP(V50,'Tablas Técnicas'!$C$655:$K$838,5,FALSE))</f>
        <v>0</v>
      </c>
      <c r="AD51" s="4132" t="str">
        <f>IF(AD50="","",VLOOKUP(AD50,'Tablas Técnicas'!$C$655:$H$838,6,FALSE))</f>
        <v/>
      </c>
      <c r="AE51" s="4133"/>
      <c r="AF51" s="4133"/>
      <c r="AG51" s="4133"/>
      <c r="AH51" s="2228" t="s">
        <v>1333</v>
      </c>
      <c r="AI51" s="2028" t="str">
        <f>IF(AD50="","",VLOOKUP(AD50,'Tablas Técnicas'!$C$655:$E$838,3,FALSE))</f>
        <v/>
      </c>
      <c r="AJ51" s="2243">
        <f>IF(AD50="",0,VLOOKUP(AD50,'Tablas Técnicas'!$C$655:$K$838,5,FALSE))</f>
        <v>0</v>
      </c>
      <c r="AK51" s="450"/>
      <c r="AL51" s="444"/>
      <c r="AM51" s="2783"/>
      <c r="AN51" s="2784"/>
    </row>
    <row r="52" spans="1:40" ht="12" customHeight="1" x14ac:dyDescent="0.2">
      <c r="A52" s="444"/>
      <c r="B52" s="1214" t="b">
        <f t="shared" si="4"/>
        <v>0</v>
      </c>
      <c r="C52" s="490" t="s">
        <v>1616</v>
      </c>
      <c r="D52" s="4131" t="s">
        <v>1669</v>
      </c>
      <c r="E52" s="4131"/>
      <c r="F52" s="4131"/>
      <c r="G52" s="4131"/>
      <c r="H52" s="1662">
        <f>IF(I52=0,20,"-")</f>
        <v>20</v>
      </c>
      <c r="I52" s="1844"/>
      <c r="K52" s="490" t="s">
        <v>1639</v>
      </c>
      <c r="L52" s="493" t="s">
        <v>1616</v>
      </c>
      <c r="M52" s="4131" t="s">
        <v>1670</v>
      </c>
      <c r="N52" s="4131"/>
      <c r="O52" s="4131"/>
      <c r="P52" s="1662">
        <f t="shared" si="3"/>
        <v>10</v>
      </c>
      <c r="Q52" s="1844"/>
      <c r="R52" s="1213" t="b">
        <f t="shared" si="1"/>
        <v>0</v>
      </c>
      <c r="S52" s="1009"/>
      <c r="T52" s="1009"/>
      <c r="U52" s="497"/>
      <c r="V52" s="4126" t="str">
        <f>IFERROR(VLOOKUP(V50,'Tablas Técnicas'!$C$655:$I$838,7,FALSE),"")</f>
        <v/>
      </c>
      <c r="W52" s="4127"/>
      <c r="X52" s="4127"/>
      <c r="Y52" s="4127"/>
      <c r="Z52" s="4127"/>
      <c r="AA52" s="4127"/>
      <c r="AB52" s="4128"/>
      <c r="AD52" s="4126" t="str">
        <f>IFERROR(VLOOKUP(AD50,'Tablas Técnicas'!$C$655:$I$838,7,FALSE),"")</f>
        <v/>
      </c>
      <c r="AE52" s="4127"/>
      <c r="AF52" s="4127"/>
      <c r="AG52" s="4127"/>
      <c r="AH52" s="4127"/>
      <c r="AI52" s="4127"/>
      <c r="AJ52" s="4128"/>
      <c r="AK52" s="450"/>
      <c r="AL52" s="444"/>
      <c r="AM52" s="2783"/>
      <c r="AN52" s="2784"/>
    </row>
    <row r="53" spans="1:40" ht="12" customHeight="1" x14ac:dyDescent="0.2">
      <c r="A53" s="444"/>
      <c r="B53" s="1214" t="b">
        <f t="shared" si="4"/>
        <v>0</v>
      </c>
      <c r="C53" s="4056" t="s">
        <v>1671</v>
      </c>
      <c r="D53" s="4057"/>
      <c r="E53" s="4057"/>
      <c r="F53" s="4057"/>
      <c r="G53" s="4057"/>
      <c r="H53" s="1662">
        <f>IF(I53=0,30,"-")</f>
        <v>30</v>
      </c>
      <c r="I53" s="1844"/>
      <c r="K53" s="490" t="s">
        <v>1605</v>
      </c>
      <c r="L53" s="4131" t="s">
        <v>1672</v>
      </c>
      <c r="M53" s="4057"/>
      <c r="N53" s="4057"/>
      <c r="O53" s="4057"/>
      <c r="P53" s="1662">
        <f t="shared" si="3"/>
        <v>10</v>
      </c>
      <c r="Q53" s="1844"/>
      <c r="R53" s="1213" t="b">
        <f t="shared" si="1"/>
        <v>0</v>
      </c>
      <c r="S53" s="1009"/>
      <c r="T53" s="1009"/>
      <c r="U53" s="497">
        <f>IF(V54=0,0,1)</f>
        <v>0</v>
      </c>
      <c r="V53" s="4126"/>
      <c r="W53" s="4127"/>
      <c r="X53" s="4127"/>
      <c r="Y53" s="4127"/>
      <c r="Z53" s="4127"/>
      <c r="AA53" s="4127"/>
      <c r="AB53" s="4128"/>
      <c r="AD53" s="4126"/>
      <c r="AE53" s="4127"/>
      <c r="AF53" s="4127"/>
      <c r="AG53" s="4127"/>
      <c r="AH53" s="4127"/>
      <c r="AI53" s="4127"/>
      <c r="AJ53" s="4128"/>
      <c r="AK53" s="450"/>
      <c r="AL53" s="444"/>
      <c r="AM53" s="2783"/>
      <c r="AN53" s="2784"/>
    </row>
    <row r="54" spans="1:40" ht="12" customHeight="1" x14ac:dyDescent="0.2">
      <c r="A54" s="444"/>
      <c r="B54" s="1214" t="b">
        <f t="shared" si="4"/>
        <v>0</v>
      </c>
      <c r="C54" s="4056" t="s">
        <v>1673</v>
      </c>
      <c r="D54" s="4057"/>
      <c r="E54" s="4057"/>
      <c r="F54" s="4057"/>
      <c r="G54" s="4057"/>
      <c r="H54" s="1662">
        <f>IF(I54=0,30,"-")</f>
        <v>30</v>
      </c>
      <c r="I54" s="1844"/>
      <c r="K54" s="490" t="s">
        <v>1639</v>
      </c>
      <c r="L54" s="493" t="s">
        <v>1605</v>
      </c>
      <c r="M54" s="4131" t="s">
        <v>1674</v>
      </c>
      <c r="N54" s="4131"/>
      <c r="O54" s="4131"/>
      <c r="P54" s="1662">
        <f>IF(Q54=0,20,"-")</f>
        <v>20</v>
      </c>
      <c r="Q54" s="1844"/>
      <c r="R54" s="1213" t="b">
        <f t="shared" si="1"/>
        <v>0</v>
      </c>
      <c r="S54" s="1009"/>
      <c r="T54" s="1009"/>
      <c r="U54" s="497"/>
      <c r="V54" s="4126"/>
      <c r="W54" s="4127"/>
      <c r="X54" s="4127"/>
      <c r="Y54" s="4127"/>
      <c r="Z54" s="4127"/>
      <c r="AA54" s="4127"/>
      <c r="AB54" s="4128"/>
      <c r="AD54" s="4126"/>
      <c r="AE54" s="4127"/>
      <c r="AF54" s="4127"/>
      <c r="AG54" s="4127"/>
      <c r="AH54" s="4127"/>
      <c r="AI54" s="4127"/>
      <c r="AJ54" s="4128"/>
      <c r="AK54" s="450"/>
      <c r="AL54" s="444"/>
      <c r="AM54" s="2783"/>
      <c r="AN54" s="2784"/>
    </row>
    <row r="55" spans="1:40" ht="12" customHeight="1" x14ac:dyDescent="0.2">
      <c r="A55" s="444"/>
      <c r="B55" s="1214" t="b">
        <f t="shared" si="4"/>
        <v>0</v>
      </c>
      <c r="C55" s="490" t="s">
        <v>1616</v>
      </c>
      <c r="D55" s="4131" t="s">
        <v>1675</v>
      </c>
      <c r="E55" s="4057"/>
      <c r="F55" s="4057"/>
      <c r="G55" s="4057"/>
      <c r="H55" s="1662">
        <f>IF(I55=0,30,"-")</f>
        <v>30</v>
      </c>
      <c r="I55" s="1844"/>
      <c r="K55" s="490" t="s">
        <v>1639</v>
      </c>
      <c r="L55" s="493" t="s">
        <v>1605</v>
      </c>
      <c r="M55" s="4131" t="s">
        <v>1676</v>
      </c>
      <c r="N55" s="4131"/>
      <c r="O55" s="4131"/>
      <c r="P55" s="1662">
        <f>IF(Q55=0,20,"-")</f>
        <v>20</v>
      </c>
      <c r="Q55" s="1844"/>
      <c r="R55" s="1213" t="b">
        <f t="shared" si="1"/>
        <v>0</v>
      </c>
      <c r="S55" s="1009"/>
      <c r="T55" s="1009"/>
      <c r="U55" s="497">
        <f>IF(V56=0,0,1)</f>
        <v>0</v>
      </c>
      <c r="V55" s="4126" t="str">
        <f>IFERROR(IF(VLOOKUP(V50,'Tablas Técnicas'!$C$655:$J$838,8,FALSE)="","",VLOOKUP(V50,'Tablas Técnicas'!$C$655:$J$838,8,FALSE)),"")</f>
        <v/>
      </c>
      <c r="W55" s="4127"/>
      <c r="X55" s="4127"/>
      <c r="Y55" s="4127"/>
      <c r="Z55" s="4127"/>
      <c r="AA55" s="4127"/>
      <c r="AB55" s="4128"/>
      <c r="AD55" s="4126" t="str">
        <f>IFERROR(IF(VLOOKUP(AD50,'Tablas Técnicas'!$C$655:$J$838,8,FALSE)="","",VLOOKUP(AD50,'Tablas Técnicas'!$C$655:$J$838,8,FALSE)),"")</f>
        <v/>
      </c>
      <c r="AE55" s="4127"/>
      <c r="AF55" s="4127"/>
      <c r="AG55" s="4127"/>
      <c r="AH55" s="4127"/>
      <c r="AI55" s="4127"/>
      <c r="AJ55" s="4128"/>
      <c r="AK55" s="450"/>
      <c r="AL55" s="444"/>
      <c r="AM55" s="2783"/>
      <c r="AN55" s="2784"/>
    </row>
    <row r="56" spans="1:40" ht="12" customHeight="1" thickBot="1" x14ac:dyDescent="0.25">
      <c r="A56" s="444"/>
      <c r="B56" s="1214" t="b">
        <f t="shared" si="4"/>
        <v>0</v>
      </c>
      <c r="C56" s="4056" t="s">
        <v>1677</v>
      </c>
      <c r="D56" s="4057"/>
      <c r="E56" s="4057"/>
      <c r="F56" s="4057"/>
      <c r="G56" s="4057"/>
      <c r="H56" s="1662">
        <f>IF(I56=0,10,"-")</f>
        <v>10</v>
      </c>
      <c r="I56" s="1844"/>
      <c r="K56" s="490" t="s">
        <v>1639</v>
      </c>
      <c r="L56" s="493" t="s">
        <v>1616</v>
      </c>
      <c r="M56" s="4131" t="s">
        <v>1678</v>
      </c>
      <c r="N56" s="4131"/>
      <c r="O56" s="4131"/>
      <c r="P56" s="1662">
        <f>IF(Q56=0,20,"-")</f>
        <v>20</v>
      </c>
      <c r="Q56" s="1844"/>
      <c r="R56" s="1213" t="b">
        <f t="shared" si="1"/>
        <v>0</v>
      </c>
      <c r="S56" s="1009"/>
      <c r="T56" s="1009"/>
      <c r="U56" s="497"/>
      <c r="V56" s="4139"/>
      <c r="W56" s="4140"/>
      <c r="X56" s="4140"/>
      <c r="Y56" s="4140"/>
      <c r="Z56" s="4140"/>
      <c r="AA56" s="4140"/>
      <c r="AB56" s="4141"/>
      <c r="AD56" s="4139"/>
      <c r="AE56" s="4140"/>
      <c r="AF56" s="4140"/>
      <c r="AG56" s="4140"/>
      <c r="AH56" s="4140"/>
      <c r="AI56" s="4140"/>
      <c r="AJ56" s="4141"/>
      <c r="AK56" s="450"/>
      <c r="AL56" s="444"/>
      <c r="AM56" s="2783"/>
      <c r="AN56" s="2784"/>
    </row>
    <row r="57" spans="1:40" ht="12" customHeight="1" thickBot="1" x14ac:dyDescent="0.25">
      <c r="A57" s="444"/>
      <c r="B57" s="1214" t="b">
        <f t="shared" si="4"/>
        <v>0</v>
      </c>
      <c r="C57" s="490" t="s">
        <v>1605</v>
      </c>
      <c r="D57" s="4131" t="s">
        <v>1679</v>
      </c>
      <c r="E57" s="4057"/>
      <c r="F57" s="4057"/>
      <c r="G57" s="4057"/>
      <c r="H57" s="1662">
        <f>IF(I57=0,10,"-")</f>
        <v>10</v>
      </c>
      <c r="I57" s="1844"/>
      <c r="K57" s="490" t="s">
        <v>1605</v>
      </c>
      <c r="L57" s="4131" t="s">
        <v>1680</v>
      </c>
      <c r="M57" s="4057"/>
      <c r="N57" s="4057"/>
      <c r="O57" s="4057"/>
      <c r="P57" s="1662">
        <f>IF(Q57=0,20,"-")</f>
        <v>20</v>
      </c>
      <c r="Q57" s="1844"/>
      <c r="R57" s="1213" t="b">
        <f t="shared" si="1"/>
        <v>0</v>
      </c>
      <c r="S57" s="1009"/>
      <c r="T57" s="1009"/>
      <c r="U57" s="497">
        <f>IF(V58=0,0,1)</f>
        <v>0</v>
      </c>
      <c r="V57" s="2237"/>
      <c r="W57" s="2237"/>
      <c r="X57" s="2237"/>
      <c r="Y57" s="2237"/>
      <c r="Z57" s="2238"/>
      <c r="AA57" s="2239"/>
      <c r="AB57" s="2240"/>
      <c r="AD57" s="2237"/>
      <c r="AE57" s="2237"/>
      <c r="AF57" s="2237"/>
      <c r="AG57" s="2237"/>
      <c r="AH57" s="2238"/>
      <c r="AI57" s="2239"/>
      <c r="AJ57" s="2240"/>
      <c r="AK57" s="450"/>
      <c r="AL57" s="444"/>
      <c r="AM57" s="2783"/>
      <c r="AN57" s="2784"/>
    </row>
    <row r="58" spans="1:40" ht="12" customHeight="1" x14ac:dyDescent="0.2">
      <c r="A58" s="444"/>
      <c r="B58" s="1214" t="b">
        <f t="shared" si="4"/>
        <v>0</v>
      </c>
      <c r="C58" s="490" t="s">
        <v>1605</v>
      </c>
      <c r="D58" s="4131" t="s">
        <v>1681</v>
      </c>
      <c r="E58" s="4057"/>
      <c r="F58" s="4057"/>
      <c r="G58" s="4057"/>
      <c r="H58" s="1662">
        <f>IF(I58=0,20,"-")</f>
        <v>20</v>
      </c>
      <c r="I58" s="1844"/>
      <c r="K58" s="490" t="s">
        <v>1639</v>
      </c>
      <c r="L58" s="493" t="s">
        <v>1616</v>
      </c>
      <c r="M58" s="4131" t="s">
        <v>1682</v>
      </c>
      <c r="N58" s="4131"/>
      <c r="O58" s="4131"/>
      <c r="P58" s="1662">
        <f>IF(Q58=0,20,"-")</f>
        <v>20</v>
      </c>
      <c r="Q58" s="1844"/>
      <c r="R58" s="1213" t="b">
        <f t="shared" si="1"/>
        <v>0</v>
      </c>
      <c r="S58" s="1009"/>
      <c r="T58" s="1009"/>
      <c r="U58" s="497"/>
      <c r="V58" s="4118"/>
      <c r="W58" s="4119"/>
      <c r="X58" s="4119"/>
      <c r="Y58" s="4119"/>
      <c r="Z58" s="4119"/>
      <c r="AA58" s="4120"/>
      <c r="AB58" s="2242" t="s">
        <v>1508</v>
      </c>
      <c r="AD58" s="4118"/>
      <c r="AE58" s="4119"/>
      <c r="AF58" s="4119"/>
      <c r="AG58" s="4119"/>
      <c r="AH58" s="4119"/>
      <c r="AI58" s="4120"/>
      <c r="AJ58" s="2242" t="s">
        <v>1508</v>
      </c>
      <c r="AK58" s="450"/>
      <c r="AL58" s="444"/>
      <c r="AM58" s="2783"/>
      <c r="AN58" s="2784"/>
    </row>
    <row r="59" spans="1:40" ht="12" customHeight="1" x14ac:dyDescent="0.2">
      <c r="A59" s="444"/>
      <c r="B59" s="1214" t="b">
        <f t="shared" si="4"/>
        <v>0</v>
      </c>
      <c r="C59" s="490" t="s">
        <v>1616</v>
      </c>
      <c r="D59" s="4131" t="s">
        <v>1683</v>
      </c>
      <c r="E59" s="4057"/>
      <c r="F59" s="4057"/>
      <c r="G59" s="4057"/>
      <c r="H59" s="1662">
        <f>IF(I59=0,20,"-")</f>
        <v>20</v>
      </c>
      <c r="I59" s="1844"/>
      <c r="K59" s="490" t="s">
        <v>1639</v>
      </c>
      <c r="L59" s="493"/>
      <c r="M59" s="493" t="s">
        <v>1616</v>
      </c>
      <c r="N59" s="1663" t="s">
        <v>1684</v>
      </c>
      <c r="O59" s="1663"/>
      <c r="P59" s="1662">
        <f>IF(Q59=0,10,"-")</f>
        <v>10</v>
      </c>
      <c r="Q59" s="1844"/>
      <c r="R59" s="1213" t="b">
        <f t="shared" si="1"/>
        <v>0</v>
      </c>
      <c r="S59" s="1009"/>
      <c r="T59" s="1009"/>
      <c r="U59" s="497">
        <f>IF(V60=0,0,1)</f>
        <v>1</v>
      </c>
      <c r="V59" s="4132" t="str">
        <f>IF(V58="","",VLOOKUP(V58,'Tablas Técnicas'!$C$655:$H$838,6,FALSE))</f>
        <v/>
      </c>
      <c r="W59" s="4133"/>
      <c r="X59" s="4133"/>
      <c r="Y59" s="4133"/>
      <c r="Z59" s="2228" t="s">
        <v>1333</v>
      </c>
      <c r="AA59" s="2028" t="str">
        <f>IF(V58="","",VLOOKUP(V58,'Tablas Técnicas'!$C$655:$E$838,3,FALSE))</f>
        <v/>
      </c>
      <c r="AB59" s="2243">
        <f>IF(V58="",0,VLOOKUP(V58,'Tablas Técnicas'!$C$655:$K$838,5,FALSE))</f>
        <v>0</v>
      </c>
      <c r="AD59" s="4132" t="str">
        <f>IF(AD58="","",VLOOKUP(AD58,'Tablas Técnicas'!$C$655:$H$838,6,FALSE))</f>
        <v/>
      </c>
      <c r="AE59" s="4133"/>
      <c r="AF59" s="4133"/>
      <c r="AG59" s="4133"/>
      <c r="AH59" s="2228" t="s">
        <v>1333</v>
      </c>
      <c r="AI59" s="2028" t="str">
        <f>IF(AD58="","",VLOOKUP(AD58,'Tablas Técnicas'!$C$655:$E$838,3,FALSE))</f>
        <v/>
      </c>
      <c r="AJ59" s="2243">
        <f>IF(AD58="",0,VLOOKUP(AD58,'Tablas Técnicas'!$C$655:$K$838,5,FALSE))</f>
        <v>0</v>
      </c>
      <c r="AK59" s="450"/>
      <c r="AL59" s="444"/>
      <c r="AM59" s="2783"/>
      <c r="AN59" s="2784"/>
    </row>
    <row r="60" spans="1:40" ht="12" customHeight="1" x14ac:dyDescent="0.3">
      <c r="A60" s="444"/>
      <c r="B60" s="1214" t="b">
        <f t="shared" si="4"/>
        <v>0</v>
      </c>
      <c r="C60" s="500"/>
      <c r="D60" s="493" t="s">
        <v>1616</v>
      </c>
      <c r="E60" s="4131" t="s">
        <v>1685</v>
      </c>
      <c r="F60" s="4131"/>
      <c r="G60" s="4131"/>
      <c r="H60" s="1662">
        <f>IF(I60=0,40,"-")</f>
        <v>40</v>
      </c>
      <c r="I60" s="1844"/>
      <c r="K60" s="490" t="s">
        <v>1616</v>
      </c>
      <c r="L60" s="4131" t="s">
        <v>1686</v>
      </c>
      <c r="M60" s="4131"/>
      <c r="N60" s="4131"/>
      <c r="O60" s="4131"/>
      <c r="P60" s="1662">
        <f>IF(Q60=0,20,"-")</f>
        <v>20</v>
      </c>
      <c r="Q60" s="1844"/>
      <c r="R60" s="1213" t="b">
        <f t="shared" si="1"/>
        <v>0</v>
      </c>
      <c r="S60" s="1009"/>
      <c r="T60" s="1009"/>
      <c r="U60" s="497"/>
      <c r="V60" s="4126" t="str">
        <f>IFERROR(VLOOKUP(V58,'Tablas Técnicas'!$C$655:$I$838,7,FALSE),"")</f>
        <v/>
      </c>
      <c r="W60" s="4127"/>
      <c r="X60" s="4127"/>
      <c r="Y60" s="4127"/>
      <c r="Z60" s="4127"/>
      <c r="AA60" s="4127"/>
      <c r="AB60" s="4128"/>
      <c r="AD60" s="4126" t="str">
        <f>IFERROR(VLOOKUP(AD58,'Tablas Técnicas'!$C$655:$I$838,7,FALSE),"")</f>
        <v/>
      </c>
      <c r="AE60" s="4127"/>
      <c r="AF60" s="4127"/>
      <c r="AG60" s="4127"/>
      <c r="AH60" s="4127"/>
      <c r="AI60" s="4127"/>
      <c r="AJ60" s="4128"/>
      <c r="AK60" s="450"/>
      <c r="AL60" s="444"/>
      <c r="AM60" s="2783"/>
      <c r="AN60" s="2784"/>
    </row>
    <row r="61" spans="1:40" ht="12" customHeight="1" x14ac:dyDescent="0.2">
      <c r="A61" s="444"/>
      <c r="B61" s="1214" t="b">
        <f t="shared" si="4"/>
        <v>0</v>
      </c>
      <c r="C61" s="4056" t="s">
        <v>1687</v>
      </c>
      <c r="D61" s="4057"/>
      <c r="E61" s="4057"/>
      <c r="F61" s="4057"/>
      <c r="G61" s="4057"/>
      <c r="H61" s="1662">
        <f>IF(I61=0,30,"-")</f>
        <v>30</v>
      </c>
      <c r="I61" s="1844"/>
      <c r="K61" s="499"/>
      <c r="L61" s="493" t="s">
        <v>1616</v>
      </c>
      <c r="M61" s="4131" t="s">
        <v>1688</v>
      </c>
      <c r="N61" s="4131"/>
      <c r="O61" s="4131"/>
      <c r="P61" s="1662">
        <f>IF(Q61=0,20,"-")</f>
        <v>20</v>
      </c>
      <c r="Q61" s="1844"/>
      <c r="R61" s="1213" t="b">
        <f t="shared" si="1"/>
        <v>0</v>
      </c>
      <c r="S61" s="1009"/>
      <c r="T61" s="1009"/>
      <c r="U61" s="497">
        <f>IF(V62=0,0,1)</f>
        <v>0</v>
      </c>
      <c r="V61" s="4126"/>
      <c r="W61" s="4127"/>
      <c r="X61" s="4127"/>
      <c r="Y61" s="4127"/>
      <c r="Z61" s="4127"/>
      <c r="AA61" s="4127"/>
      <c r="AB61" s="4128"/>
      <c r="AD61" s="4126"/>
      <c r="AE61" s="4127"/>
      <c r="AF61" s="4127"/>
      <c r="AG61" s="4127"/>
      <c r="AH61" s="4127"/>
      <c r="AI61" s="4127"/>
      <c r="AJ61" s="4128"/>
      <c r="AK61" s="450"/>
      <c r="AL61" s="444"/>
      <c r="AM61" s="2783"/>
      <c r="AN61" s="2784"/>
    </row>
    <row r="62" spans="1:40" ht="12" customHeight="1" x14ac:dyDescent="0.2">
      <c r="A62" s="444"/>
      <c r="B62" s="1214" t="b">
        <f t="shared" si="4"/>
        <v>0</v>
      </c>
      <c r="C62" s="4056" t="s">
        <v>1689</v>
      </c>
      <c r="D62" s="4057"/>
      <c r="E62" s="4057"/>
      <c r="F62" s="4057"/>
      <c r="G62" s="4057"/>
      <c r="H62" s="1662">
        <f>IF(I62=0,10,"-")</f>
        <v>10</v>
      </c>
      <c r="I62" s="1844"/>
      <c r="K62" s="4056" t="s">
        <v>1690</v>
      </c>
      <c r="L62" s="4057"/>
      <c r="M62" s="4057"/>
      <c r="N62" s="4057"/>
      <c r="O62" s="4057"/>
      <c r="P62" s="1662">
        <f>IF(Q62=0,50,"-")</f>
        <v>50</v>
      </c>
      <c r="Q62" s="1844"/>
      <c r="R62" s="1213" t="b">
        <f t="shared" si="1"/>
        <v>0</v>
      </c>
      <c r="S62" s="1009"/>
      <c r="T62" s="1009"/>
      <c r="U62" s="497"/>
      <c r="V62" s="4126"/>
      <c r="W62" s="4127"/>
      <c r="X62" s="4127"/>
      <c r="Y62" s="4127"/>
      <c r="Z62" s="4127"/>
      <c r="AA62" s="4127"/>
      <c r="AB62" s="4128"/>
      <c r="AD62" s="4126"/>
      <c r="AE62" s="4127"/>
      <c r="AF62" s="4127"/>
      <c r="AG62" s="4127"/>
      <c r="AH62" s="4127"/>
      <c r="AI62" s="4127"/>
      <c r="AJ62" s="4128"/>
      <c r="AK62" s="450"/>
      <c r="AL62" s="444"/>
      <c r="AM62" s="2783"/>
      <c r="AN62" s="2784"/>
    </row>
    <row r="63" spans="1:40" ht="12" customHeight="1" x14ac:dyDescent="0.2">
      <c r="A63" s="444"/>
      <c r="B63" s="1224">
        <f>IF(COUNTIF(HabilidadesEsenciales_Adquiridas,"Inhumanidad")+COUNTIF(Principal!V30:AE35,"Inhumanidad")&gt;0,1,0)</f>
        <v>0</v>
      </c>
      <c r="C63" s="4056" t="s">
        <v>1691</v>
      </c>
      <c r="D63" s="4057"/>
      <c r="E63" s="4057"/>
      <c r="F63" s="4057"/>
      <c r="G63" s="4057"/>
      <c r="H63" s="1662">
        <f>IF(I63=0,20,"-")</f>
        <v>20</v>
      </c>
      <c r="I63" s="1844"/>
      <c r="K63" s="4056" t="s">
        <v>1691</v>
      </c>
      <c r="L63" s="4131"/>
      <c r="M63" s="4131"/>
      <c r="N63" s="4131"/>
      <c r="O63" s="4131"/>
      <c r="P63" s="1662">
        <f>IF(Q63=0,30,"-")</f>
        <v>30</v>
      </c>
      <c r="Q63" s="1844"/>
      <c r="R63" s="1213"/>
      <c r="S63" s="1009"/>
      <c r="T63" s="1009"/>
      <c r="U63" s="497">
        <f>IF(V64=0,0,1)</f>
        <v>0</v>
      </c>
      <c r="V63" s="4126" t="str">
        <f>IFERROR(IF(VLOOKUP(V58,'Tablas Técnicas'!$C$655:$J$838,8,FALSE)="","",VLOOKUP(V58,'Tablas Técnicas'!$C$655:$J$838,8,FALSE)),"")</f>
        <v/>
      </c>
      <c r="W63" s="4127"/>
      <c r="X63" s="4127"/>
      <c r="Y63" s="4127"/>
      <c r="Z63" s="4127"/>
      <c r="AA63" s="4127"/>
      <c r="AB63" s="4128"/>
      <c r="AD63" s="4126" t="str">
        <f>IFERROR(IF(VLOOKUP(AD58,'Tablas Técnicas'!$C$655:$J$838,8,FALSE)="","",VLOOKUP(AD58,'Tablas Técnicas'!$C$655:$J$838,8,FALSE)),"")</f>
        <v/>
      </c>
      <c r="AE63" s="4127"/>
      <c r="AF63" s="4127"/>
      <c r="AG63" s="4127"/>
      <c r="AH63" s="4127"/>
      <c r="AI63" s="4127"/>
      <c r="AJ63" s="4128"/>
      <c r="AK63" s="450"/>
      <c r="AL63" s="444"/>
      <c r="AM63" s="2783"/>
      <c r="AN63" s="2784"/>
    </row>
    <row r="64" spans="1:40" ht="12" customHeight="1" thickBot="1" x14ac:dyDescent="0.25">
      <c r="A64" s="444"/>
      <c r="B64" s="1224">
        <f>IF(COUNTIF(HabilidadesEsenciales_Adquiridas,"Zen")+COUNTIF(Principal!V30:AE35,"Zen")&gt;0,1,0)</f>
        <v>0</v>
      </c>
      <c r="C64" s="501" t="s">
        <v>1616</v>
      </c>
      <c r="D64" s="4176" t="s">
        <v>1692</v>
      </c>
      <c r="E64" s="4177"/>
      <c r="F64" s="4177"/>
      <c r="G64" s="4177"/>
      <c r="H64" s="1751">
        <f>IF(I64=0,40,"-")</f>
        <v>40</v>
      </c>
      <c r="I64" s="1845"/>
      <c r="K64" s="501" t="s">
        <v>1616</v>
      </c>
      <c r="L64" s="4176" t="s">
        <v>1692</v>
      </c>
      <c r="M64" s="4176"/>
      <c r="N64" s="4176"/>
      <c r="O64" s="4176"/>
      <c r="P64" s="1751">
        <f t="shared" ref="P64" si="5">IF(Q64=0,50,"-")</f>
        <v>50</v>
      </c>
      <c r="Q64" s="1845"/>
      <c r="R64" s="1213"/>
      <c r="S64" s="1009"/>
      <c r="T64" s="1009"/>
      <c r="U64" s="502"/>
      <c r="V64" s="4139"/>
      <c r="W64" s="4140"/>
      <c r="X64" s="4140"/>
      <c r="Y64" s="4140"/>
      <c r="Z64" s="4140"/>
      <c r="AA64" s="4140"/>
      <c r="AB64" s="4141"/>
      <c r="AD64" s="4139"/>
      <c r="AE64" s="4140"/>
      <c r="AF64" s="4140"/>
      <c r="AG64" s="4140"/>
      <c r="AH64" s="4140"/>
      <c r="AI64" s="4140"/>
      <c r="AJ64" s="4141"/>
      <c r="AK64" s="450"/>
      <c r="AL64" s="444"/>
      <c r="AM64" s="2783"/>
      <c r="AN64" s="2784"/>
    </row>
    <row r="65" spans="1:40" ht="12" customHeight="1" thickBot="1" x14ac:dyDescent="0.25">
      <c r="A65" s="444"/>
      <c r="B65" s="1224"/>
      <c r="C65" s="2474"/>
      <c r="D65" s="1157"/>
      <c r="E65" s="347"/>
      <c r="F65" s="347"/>
      <c r="G65" s="347"/>
      <c r="H65" s="2475"/>
      <c r="I65" s="2539"/>
      <c r="J65" s="347"/>
      <c r="K65" s="2474"/>
      <c r="L65" s="1157"/>
      <c r="M65" s="1157"/>
      <c r="N65" s="1157"/>
      <c r="O65" s="1157"/>
      <c r="P65" s="2475"/>
      <c r="Q65" s="2539"/>
      <c r="R65" s="1213"/>
      <c r="S65" s="1009"/>
      <c r="T65" s="1009"/>
      <c r="U65" s="502"/>
      <c r="V65" s="2473"/>
      <c r="W65" s="2473"/>
      <c r="X65" s="2473"/>
      <c r="Y65" s="2473"/>
      <c r="Z65" s="2473"/>
      <c r="AA65" s="2473"/>
      <c r="AB65" s="2473"/>
      <c r="AC65" s="347"/>
      <c r="AD65" s="2473"/>
      <c r="AE65" s="2473"/>
      <c r="AF65" s="2473"/>
      <c r="AG65" s="2473"/>
      <c r="AH65" s="2473"/>
      <c r="AI65" s="2473"/>
      <c r="AJ65" s="2473"/>
      <c r="AK65" s="450"/>
      <c r="AL65" s="444"/>
      <c r="AM65" s="2783"/>
      <c r="AN65" s="2784"/>
    </row>
    <row r="66" spans="1:40" ht="12" customHeight="1" thickBot="1" x14ac:dyDescent="0.25">
      <c r="A66" s="444"/>
      <c r="B66" s="1224"/>
      <c r="C66" s="3026" t="s">
        <v>9904</v>
      </c>
      <c r="D66" s="3027"/>
      <c r="E66" s="3027"/>
      <c r="F66" s="3027"/>
      <c r="G66" s="3027"/>
      <c r="H66" s="3027"/>
      <c r="I66" s="3027"/>
      <c r="J66" s="3027"/>
      <c r="K66" s="3027"/>
      <c r="L66" s="3027"/>
      <c r="M66" s="3027"/>
      <c r="N66" s="3027"/>
      <c r="O66" s="3027"/>
      <c r="P66" s="3027"/>
      <c r="Q66" s="3028"/>
      <c r="R66" s="1213"/>
      <c r="S66" s="1009"/>
      <c r="T66" s="1009"/>
      <c r="U66" s="502"/>
      <c r="V66" s="4118"/>
      <c r="W66" s="4119"/>
      <c r="X66" s="4119"/>
      <c r="Y66" s="4119"/>
      <c r="Z66" s="4119"/>
      <c r="AA66" s="4120"/>
      <c r="AB66" s="2242" t="s">
        <v>1508</v>
      </c>
      <c r="AC66" s="347"/>
      <c r="AD66" s="4118"/>
      <c r="AE66" s="4119"/>
      <c r="AF66" s="4119"/>
      <c r="AG66" s="4119"/>
      <c r="AH66" s="4119"/>
      <c r="AI66" s="4120"/>
      <c r="AJ66" s="2242" t="s">
        <v>1508</v>
      </c>
      <c r="AK66" s="450"/>
      <c r="AL66" s="444"/>
      <c r="AM66" s="2783"/>
      <c r="AN66" s="2784"/>
    </row>
    <row r="67" spans="1:40" ht="12" customHeight="1" x14ac:dyDescent="0.2">
      <c r="A67" s="444"/>
      <c r="B67" s="1224"/>
      <c r="C67" s="4178"/>
      <c r="D67" s="4179"/>
      <c r="E67" s="4179"/>
      <c r="F67" s="4179"/>
      <c r="G67" s="4179"/>
      <c r="H67" s="4179"/>
      <c r="I67" s="4179"/>
      <c r="J67" s="4179"/>
      <c r="K67" s="4179"/>
      <c r="L67" s="4179"/>
      <c r="M67" s="4179"/>
      <c r="N67" s="4179"/>
      <c r="O67" s="4179"/>
      <c r="P67" s="4179"/>
      <c r="Q67" s="4180"/>
      <c r="R67" s="1213"/>
      <c r="S67" s="1009"/>
      <c r="T67" s="1009"/>
      <c r="U67" s="502"/>
      <c r="V67" s="4132" t="str">
        <f>IF(V66="","",VLOOKUP(V66,'Tablas Técnicas'!$C$655:$H$838,6,FALSE))</f>
        <v/>
      </c>
      <c r="W67" s="4133"/>
      <c r="X67" s="4133"/>
      <c r="Y67" s="4133"/>
      <c r="Z67" s="2228" t="s">
        <v>1333</v>
      </c>
      <c r="AA67" s="2028" t="str">
        <f>IF(V66="","",VLOOKUP(V66,'Tablas Técnicas'!$C$655:$E$838,3,FALSE))</f>
        <v/>
      </c>
      <c r="AB67" s="2243">
        <f>IF(V66="",0,VLOOKUP(V66,'Tablas Técnicas'!$C$655:$K$838,5,FALSE))</f>
        <v>0</v>
      </c>
      <c r="AC67" s="347"/>
      <c r="AD67" s="4132" t="str">
        <f>IF(AD66="","",VLOOKUP(AD66,'Tablas Técnicas'!$C$655:$H$838,6,FALSE))</f>
        <v/>
      </c>
      <c r="AE67" s="4133"/>
      <c r="AF67" s="4133"/>
      <c r="AG67" s="4133"/>
      <c r="AH67" s="2228" t="s">
        <v>1333</v>
      </c>
      <c r="AI67" s="2028" t="str">
        <f>IF(AD66="","",VLOOKUP(AD66,'Tablas Técnicas'!$C$655:$E$838,3,FALSE))</f>
        <v/>
      </c>
      <c r="AJ67" s="2243">
        <f>IF(AD66="",0,VLOOKUP(AD66,'Tablas Técnicas'!$C$655:$K$838,5,FALSE))</f>
        <v>0</v>
      </c>
      <c r="AK67" s="450"/>
      <c r="AL67" s="444"/>
      <c r="AM67" s="2783"/>
      <c r="AN67" s="2784"/>
    </row>
    <row r="68" spans="1:40" ht="12" customHeight="1" x14ac:dyDescent="0.2">
      <c r="A68" s="444"/>
      <c r="B68" s="1224"/>
      <c r="C68" s="4178"/>
      <c r="D68" s="4179"/>
      <c r="E68" s="4179"/>
      <c r="F68" s="4179"/>
      <c r="G68" s="4179"/>
      <c r="H68" s="4179"/>
      <c r="I68" s="4179"/>
      <c r="J68" s="4179"/>
      <c r="K68" s="4179"/>
      <c r="L68" s="4179"/>
      <c r="M68" s="4179"/>
      <c r="N68" s="4179"/>
      <c r="O68" s="4179"/>
      <c r="P68" s="4179"/>
      <c r="Q68" s="4180"/>
      <c r="R68" s="1213"/>
      <c r="S68" s="1009"/>
      <c r="T68" s="1009"/>
      <c r="U68" s="502"/>
      <c r="V68" s="4126" t="str">
        <f>IFERROR(VLOOKUP(V66,'Tablas Técnicas'!$C$655:$I$838,7,FALSE),"")</f>
        <v/>
      </c>
      <c r="W68" s="4127"/>
      <c r="X68" s="4127"/>
      <c r="Y68" s="4127"/>
      <c r="Z68" s="4127"/>
      <c r="AA68" s="4127"/>
      <c r="AB68" s="4128"/>
      <c r="AC68" s="347"/>
      <c r="AD68" s="4126" t="str">
        <f>IFERROR(VLOOKUP(AD66,'Tablas Técnicas'!$C$655:$I$838,7,FALSE),"")</f>
        <v/>
      </c>
      <c r="AE68" s="4127"/>
      <c r="AF68" s="4127"/>
      <c r="AG68" s="4127"/>
      <c r="AH68" s="4127"/>
      <c r="AI68" s="4127"/>
      <c r="AJ68" s="4128"/>
      <c r="AK68" s="450"/>
      <c r="AL68" s="444"/>
      <c r="AM68" s="2783"/>
      <c r="AN68" s="2784"/>
    </row>
    <row r="69" spans="1:40" ht="12" customHeight="1" x14ac:dyDescent="0.2">
      <c r="A69" s="444"/>
      <c r="B69" s="1224"/>
      <c r="C69" s="4178"/>
      <c r="D69" s="4179"/>
      <c r="E69" s="4179"/>
      <c r="F69" s="4179"/>
      <c r="G69" s="4179"/>
      <c r="H69" s="4179"/>
      <c r="I69" s="4179"/>
      <c r="J69" s="4179"/>
      <c r="K69" s="4179"/>
      <c r="L69" s="4179"/>
      <c r="M69" s="4179"/>
      <c r="N69" s="4179"/>
      <c r="O69" s="4179"/>
      <c r="P69" s="4179"/>
      <c r="Q69" s="4180"/>
      <c r="R69" s="1213"/>
      <c r="S69" s="1009"/>
      <c r="T69" s="1009"/>
      <c r="U69" s="502"/>
      <c r="V69" s="4126"/>
      <c r="W69" s="4127"/>
      <c r="X69" s="4127"/>
      <c r="Y69" s="4127"/>
      <c r="Z69" s="4127"/>
      <c r="AA69" s="4127"/>
      <c r="AB69" s="4128"/>
      <c r="AC69" s="347"/>
      <c r="AD69" s="4126"/>
      <c r="AE69" s="4127"/>
      <c r="AF69" s="4127"/>
      <c r="AG69" s="4127"/>
      <c r="AH69" s="4127"/>
      <c r="AI69" s="4127"/>
      <c r="AJ69" s="4128"/>
      <c r="AK69" s="450"/>
      <c r="AL69" s="444"/>
      <c r="AM69" s="2783"/>
      <c r="AN69" s="2784"/>
    </row>
    <row r="70" spans="1:40" ht="12" customHeight="1" x14ac:dyDescent="0.2">
      <c r="A70" s="444"/>
      <c r="B70" s="1224"/>
      <c r="C70" s="4178"/>
      <c r="D70" s="4179"/>
      <c r="E70" s="4179"/>
      <c r="F70" s="4179"/>
      <c r="G70" s="4179"/>
      <c r="H70" s="4179"/>
      <c r="I70" s="4179"/>
      <c r="J70" s="4179"/>
      <c r="K70" s="4179"/>
      <c r="L70" s="4179"/>
      <c r="M70" s="4179"/>
      <c r="N70" s="4179"/>
      <c r="O70" s="4179"/>
      <c r="P70" s="4179"/>
      <c r="Q70" s="4180"/>
      <c r="R70" s="1213"/>
      <c r="S70" s="1009"/>
      <c r="T70" s="1009"/>
      <c r="U70" s="502"/>
      <c r="V70" s="4126"/>
      <c r="W70" s="4127"/>
      <c r="X70" s="4127"/>
      <c r="Y70" s="4127"/>
      <c r="Z70" s="4127"/>
      <c r="AA70" s="4127"/>
      <c r="AB70" s="4128"/>
      <c r="AC70" s="347"/>
      <c r="AD70" s="4126"/>
      <c r="AE70" s="4127"/>
      <c r="AF70" s="4127"/>
      <c r="AG70" s="4127"/>
      <c r="AH70" s="4127"/>
      <c r="AI70" s="4127"/>
      <c r="AJ70" s="4128"/>
      <c r="AK70" s="450"/>
      <c r="AL70" s="444"/>
      <c r="AM70" s="2783"/>
      <c r="AN70" s="2784"/>
    </row>
    <row r="71" spans="1:40" ht="12" customHeight="1" x14ac:dyDescent="0.2">
      <c r="A71" s="444"/>
      <c r="B71" s="1224"/>
      <c r="C71" s="4178"/>
      <c r="D71" s="4179"/>
      <c r="E71" s="4179"/>
      <c r="F71" s="4179"/>
      <c r="G71" s="4179"/>
      <c r="H71" s="4179"/>
      <c r="I71" s="4179"/>
      <c r="J71" s="4179"/>
      <c r="K71" s="4179"/>
      <c r="L71" s="4179"/>
      <c r="M71" s="4179"/>
      <c r="N71" s="4179"/>
      <c r="O71" s="4179"/>
      <c r="P71" s="4179"/>
      <c r="Q71" s="4180"/>
      <c r="R71" s="1213"/>
      <c r="S71" s="1009"/>
      <c r="T71" s="1009"/>
      <c r="U71" s="502"/>
      <c r="V71" s="4126" t="str">
        <f>IFERROR(IF(VLOOKUP(V66,'Tablas Técnicas'!$C$655:$J$838,8,FALSE)="","",VLOOKUP(V66,'Tablas Técnicas'!$C$655:$J$838,8,FALSE)),"")</f>
        <v/>
      </c>
      <c r="W71" s="4127"/>
      <c r="X71" s="4127"/>
      <c r="Y71" s="4127"/>
      <c r="Z71" s="4127"/>
      <c r="AA71" s="4127"/>
      <c r="AB71" s="4128"/>
      <c r="AC71" s="347"/>
      <c r="AD71" s="4126" t="str">
        <f>IFERROR(IF(VLOOKUP(AD66,'Tablas Técnicas'!$C$655:$J$838,8,FALSE)="","",VLOOKUP(AD66,'Tablas Técnicas'!$C$655:$J$838,8,FALSE)),"")</f>
        <v/>
      </c>
      <c r="AE71" s="4127"/>
      <c r="AF71" s="4127"/>
      <c r="AG71" s="4127"/>
      <c r="AH71" s="4127"/>
      <c r="AI71" s="4127"/>
      <c r="AJ71" s="4128"/>
      <c r="AK71" s="450"/>
      <c r="AL71" s="444"/>
      <c r="AM71" s="2783"/>
      <c r="AN71" s="2784"/>
    </row>
    <row r="72" spans="1:40" ht="12" customHeight="1" thickBot="1" x14ac:dyDescent="0.25">
      <c r="A72" s="444"/>
      <c r="B72" s="1224"/>
      <c r="C72" s="4181"/>
      <c r="D72" s="4182"/>
      <c r="E72" s="4182"/>
      <c r="F72" s="4182"/>
      <c r="G72" s="4182"/>
      <c r="H72" s="4182"/>
      <c r="I72" s="4182"/>
      <c r="J72" s="4182"/>
      <c r="K72" s="4182"/>
      <c r="L72" s="4182"/>
      <c r="M72" s="4182"/>
      <c r="N72" s="4182"/>
      <c r="O72" s="4182"/>
      <c r="P72" s="4182"/>
      <c r="Q72" s="4183"/>
      <c r="R72" s="1213"/>
      <c r="S72" s="1009"/>
      <c r="T72" s="1009"/>
      <c r="U72" s="502"/>
      <c r="V72" s="4139"/>
      <c r="W72" s="4140"/>
      <c r="X72" s="4140"/>
      <c r="Y72" s="4140"/>
      <c r="Z72" s="4140"/>
      <c r="AA72" s="4140"/>
      <c r="AB72" s="4141"/>
      <c r="AC72" s="347"/>
      <c r="AD72" s="4139"/>
      <c r="AE72" s="4140"/>
      <c r="AF72" s="4140"/>
      <c r="AG72" s="4140"/>
      <c r="AH72" s="4140"/>
      <c r="AI72" s="4140"/>
      <c r="AJ72" s="4141"/>
      <c r="AK72" s="450"/>
      <c r="AL72" s="444"/>
      <c r="AM72" s="2783"/>
      <c r="AN72" s="2784"/>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2783"/>
      <c r="AN73" s="2784"/>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2783"/>
      <c r="AN74" s="278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1095" priority="115" stopIfTrue="1">
      <formula>H28=0</formula>
    </cfRule>
  </conditionalFormatting>
  <conditionalFormatting sqref="Y11:Y20">
    <cfRule type="expression" dxfId="1094" priority="114" stopIfTrue="1">
      <formula>X11=0</formula>
    </cfRule>
  </conditionalFormatting>
  <conditionalFormatting sqref="C56:G56">
    <cfRule type="expression" dxfId="1093" priority="112" stopIfTrue="1">
      <formula>AND(NOT($H$43="-"),$H$56="-")</formula>
    </cfRule>
    <cfRule type="expression" dxfId="1092" priority="113" stopIfTrue="1">
      <formula>$H$56="-"</formula>
    </cfRule>
  </conditionalFormatting>
  <conditionalFormatting sqref="D57:G57">
    <cfRule type="expression" dxfId="1091" priority="111" stopIfTrue="1">
      <formula>AND(NOT($H$56="-"),$H$57="-")</formula>
    </cfRule>
  </conditionalFormatting>
  <conditionalFormatting sqref="D58:G58">
    <cfRule type="expression" dxfId="1090" priority="109" stopIfTrue="1">
      <formula>AND(NOT($H$56="-"),$H$58="-")</formula>
    </cfRule>
    <cfRule type="expression" dxfId="1089" priority="110" stopIfTrue="1">
      <formula>$H$58="-"</formula>
    </cfRule>
  </conditionalFormatting>
  <conditionalFormatting sqref="H28:I28">
    <cfRule type="expression" dxfId="1088" priority="108" stopIfTrue="1">
      <formula>$G$28=0</formula>
    </cfRule>
  </conditionalFormatting>
  <conditionalFormatting sqref="K12:O12">
    <cfRule type="expression" dxfId="1087" priority="107" stopIfTrue="1">
      <formula>AND(NOT($P$10="-"),$P$12="-")</formula>
    </cfRule>
  </conditionalFormatting>
  <conditionalFormatting sqref="L13:O13">
    <cfRule type="expression" dxfId="1086" priority="105" stopIfTrue="1">
      <formula>AND(NOT($P$12="-"),$P$13="-")</formula>
    </cfRule>
    <cfRule type="expression" dxfId="1085" priority="106" stopIfTrue="1">
      <formula>$P$13="-"</formula>
    </cfRule>
  </conditionalFormatting>
  <conditionalFormatting sqref="M14:O14">
    <cfRule type="expression" dxfId="1084" priority="104" stopIfTrue="1">
      <formula>AND(NOT($P$13="-"),$P$14="-")</formula>
    </cfRule>
  </conditionalFormatting>
  <conditionalFormatting sqref="L15:O15">
    <cfRule type="expression" dxfId="1083" priority="103" stopIfTrue="1">
      <formula>AND(NOT($P$12="-"),$P$15="-")</formula>
    </cfRule>
  </conditionalFormatting>
  <conditionalFormatting sqref="L16:O16">
    <cfRule type="expression" dxfId="1082" priority="101" stopIfTrue="1">
      <formula>AND(NOT($P$12="-"),$P$16="-")</formula>
    </cfRule>
    <cfRule type="expression" dxfId="1081" priority="102" stopIfTrue="1">
      <formula>$P$16="-"</formula>
    </cfRule>
  </conditionalFormatting>
  <conditionalFormatting sqref="M17:O17">
    <cfRule type="expression" dxfId="1080" priority="100" stopIfTrue="1">
      <formula>AND(NOT($P$16="-"),$P$17="-")</formula>
    </cfRule>
  </conditionalFormatting>
  <conditionalFormatting sqref="N18:O18">
    <cfRule type="expression" dxfId="1079" priority="99" stopIfTrue="1">
      <formula>AND(NOT($P$17="-"),$P$18="-")</formula>
    </cfRule>
  </conditionalFormatting>
  <conditionalFormatting sqref="M19:O19">
    <cfRule type="expression" dxfId="1078" priority="98" stopIfTrue="1">
      <formula>AND(NOT($P$16="-"),$P$19="-")</formula>
    </cfRule>
  </conditionalFormatting>
  <conditionalFormatting sqref="N20:O20">
    <cfRule type="expression" dxfId="1077" priority="97" stopIfTrue="1">
      <formula>AND(NOT($P$19="-"),$P$20="-")</formula>
    </cfRule>
  </conditionalFormatting>
  <conditionalFormatting sqref="N21:O21">
    <cfRule type="expression" dxfId="1076" priority="96" stopIfTrue="1">
      <formula>AND(NOT($P$20="-"),$P$21="-")</formula>
    </cfRule>
  </conditionalFormatting>
  <conditionalFormatting sqref="N22:O22">
    <cfRule type="expression" dxfId="1075" priority="95" stopIfTrue="1">
      <formula>AND(NOT($P$19="-"),$P$22="-")</formula>
    </cfRule>
  </conditionalFormatting>
  <conditionalFormatting sqref="N23:O23">
    <cfRule type="expression" dxfId="1074" priority="94" stopIfTrue="1">
      <formula>AND(NOT($P$22="-"),$P$23="-")</formula>
    </cfRule>
  </conditionalFormatting>
  <conditionalFormatting sqref="M24:O24">
    <cfRule type="expression" dxfId="1073" priority="93" stopIfTrue="1">
      <formula>AND(NOT($P$16="-"),$P$24="-")</formula>
    </cfRule>
  </conditionalFormatting>
  <conditionalFormatting sqref="L25:O25">
    <cfRule type="expression" dxfId="1072" priority="92" stopIfTrue="1">
      <formula>AND(NOT($P$12="-"),$P$25="-")</formula>
    </cfRule>
  </conditionalFormatting>
  <conditionalFormatting sqref="L26:O26">
    <cfRule type="expression" dxfId="1071" priority="91" stopIfTrue="1">
      <formula>AND(NOT($P$12="-"),$P$26="-")</formula>
    </cfRule>
  </conditionalFormatting>
  <conditionalFormatting sqref="K27:O27">
    <cfRule type="expression" dxfId="1070" priority="90" stopIfTrue="1">
      <formula>AND(NOT($P$10="-"),$P$27="-")</formula>
    </cfRule>
  </conditionalFormatting>
  <conditionalFormatting sqref="L28:O28">
    <cfRule type="expression" dxfId="1069" priority="89" stopIfTrue="1">
      <formula>AND(NOT($P$27="-"),$P$28="-")</formula>
    </cfRule>
  </conditionalFormatting>
  <conditionalFormatting sqref="M29:O29">
    <cfRule type="expression" dxfId="1068" priority="88" stopIfTrue="1">
      <formula>AND(NOT($P$28="-"),$P$29="-")</formula>
    </cfRule>
  </conditionalFormatting>
  <conditionalFormatting sqref="N30:O30">
    <cfRule type="expression" dxfId="1067" priority="87" stopIfTrue="1">
      <formula>AND(NOT($P$28="-"),$P$30="-")</formula>
    </cfRule>
  </conditionalFormatting>
  <conditionalFormatting sqref="M31:O31">
    <cfRule type="expression" dxfId="1066" priority="15">
      <formula>$P$31="-"</formula>
    </cfRule>
    <cfRule type="expression" dxfId="1065" priority="86" stopIfTrue="1">
      <formula>AND(NOT($P$28="-"),$P$31="-")</formula>
    </cfRule>
  </conditionalFormatting>
  <conditionalFormatting sqref="K32:O32">
    <cfRule type="expression" dxfId="1064" priority="85" stopIfTrue="1">
      <formula>AND(NOT($P$10="-"),$P$32="-")</formula>
    </cfRule>
  </conditionalFormatting>
  <conditionalFormatting sqref="L33:O33">
    <cfRule type="expression" dxfId="1063" priority="83" stopIfTrue="1">
      <formula>AND(NOT($P$32="-"),$P$33="-")</formula>
    </cfRule>
    <cfRule type="expression" dxfId="1062" priority="84" stopIfTrue="1">
      <formula>$P$33="-"</formula>
    </cfRule>
  </conditionalFormatting>
  <conditionalFormatting sqref="M37:O37">
    <cfRule type="expression" dxfId="1061" priority="14">
      <formula>$P$37="-"</formula>
    </cfRule>
    <cfRule type="expression" dxfId="1060" priority="82" stopIfTrue="1">
      <formula>AND(NOT($P$36="-"),$P$37="-")</formula>
    </cfRule>
  </conditionalFormatting>
  <conditionalFormatting sqref="M38:O38">
    <cfRule type="expression" dxfId="1059" priority="80" stopIfTrue="1">
      <formula>AND(NOT($P$36="-"),$P$38="-")</formula>
    </cfRule>
    <cfRule type="expression" dxfId="1058" priority="81" stopIfTrue="1">
      <formula>$P$38="-"</formula>
    </cfRule>
  </conditionalFormatting>
  <conditionalFormatting sqref="M40:O40">
    <cfRule type="expression" dxfId="1057" priority="78" stopIfTrue="1">
      <formula>AND(NOT($P$36="-"),$P$40="-")</formula>
    </cfRule>
    <cfRule type="expression" dxfId="1056" priority="79" stopIfTrue="1">
      <formula>$P$40="-"</formula>
    </cfRule>
  </conditionalFormatting>
  <conditionalFormatting sqref="L41:O41">
    <cfRule type="expression" dxfId="1055" priority="77" stopIfTrue="1">
      <formula>AND(NOT($P$32="-"),$P$41="-")</formula>
    </cfRule>
  </conditionalFormatting>
  <conditionalFormatting sqref="L42:O42">
    <cfRule type="expression" dxfId="1054" priority="76" stopIfTrue="1">
      <formula>AND(NOT($P$32="-"),$P$42="-")</formula>
    </cfRule>
  </conditionalFormatting>
  <conditionalFormatting sqref="L43:O43">
    <cfRule type="expression" dxfId="1053" priority="75" stopIfTrue="1">
      <formula>AND(NOT($P$32="-"),$P$43="-")</formula>
    </cfRule>
  </conditionalFormatting>
  <conditionalFormatting sqref="K44:O44">
    <cfRule type="expression" dxfId="1052" priority="74" stopIfTrue="1">
      <formula>AND(NOT($P$10="-"),$P$44="-")</formula>
    </cfRule>
  </conditionalFormatting>
  <conditionalFormatting sqref="L45:O45">
    <cfRule type="expression" dxfId="1051" priority="73" stopIfTrue="1">
      <formula>AND(NOT($P$44="-"),$P$45="-")</formula>
    </cfRule>
  </conditionalFormatting>
  <conditionalFormatting sqref="M46:O46">
    <cfRule type="expression" dxfId="1050" priority="72" stopIfTrue="1">
      <formula>AND(NOT($P$45="-"),$P$46="-")</formula>
    </cfRule>
  </conditionalFormatting>
  <conditionalFormatting sqref="M47:O47">
    <cfRule type="expression" dxfId="1049" priority="71" stopIfTrue="1">
      <formula>AND(NOT($P$45="-"),$P$47="-")</formula>
    </cfRule>
  </conditionalFormatting>
  <conditionalFormatting sqref="L48:O48">
    <cfRule type="expression" dxfId="1048" priority="70" stopIfTrue="1">
      <formula>AND(NOT($P$44="-"),$P$48="-")</formula>
    </cfRule>
  </conditionalFormatting>
  <conditionalFormatting sqref="K49:O49">
    <cfRule type="expression" dxfId="1047" priority="69" stopIfTrue="1">
      <formula>AND(NOT($P$10="-"),$P$49="-")</formula>
    </cfRule>
  </conditionalFormatting>
  <conditionalFormatting sqref="L50:O50">
    <cfRule type="expression" dxfId="1046" priority="13">
      <formula>$P$50="-"</formula>
    </cfRule>
    <cfRule type="expression" dxfId="1045" priority="67" stopIfTrue="1">
      <formula>AND(NOT($P$49="-"),Raza&lt;&gt;"D'Anjayni",Nephilim&lt;&gt;"Nephilim D'Anjayni",$P$50="-")</formula>
    </cfRule>
  </conditionalFormatting>
  <conditionalFormatting sqref="M51:O52">
    <cfRule type="expression" dxfId="1044" priority="65" stopIfTrue="1">
      <formula>AND(NOT(OcultacióndelKi),$P51="-")</formula>
    </cfRule>
  </conditionalFormatting>
  <conditionalFormatting sqref="L53:O53">
    <cfRule type="expression" dxfId="1043" priority="64" stopIfTrue="1">
      <formula>AND(NOT($P$49="-"),$P$53="-")</formula>
    </cfRule>
  </conditionalFormatting>
  <conditionalFormatting sqref="M54:O54">
    <cfRule type="expression" dxfId="1042" priority="63" stopIfTrue="1">
      <formula>AND(NOT($P$53="-"),$P$54="-")</formula>
    </cfRule>
  </conditionalFormatting>
  <conditionalFormatting sqref="M55:O55">
    <cfRule type="expression" dxfId="1041" priority="62" stopIfTrue="1">
      <formula>AND(NOT($P$53="-"),$P$55="-")</formula>
    </cfRule>
  </conditionalFormatting>
  <conditionalFormatting sqref="M56:O56">
    <cfRule type="expression" dxfId="1040" priority="61" stopIfTrue="1">
      <formula>AND(NOT($P$53="-"),$P$56="-")</formula>
    </cfRule>
  </conditionalFormatting>
  <conditionalFormatting sqref="L57:O57">
    <cfRule type="expression" dxfId="1039" priority="59" stopIfTrue="1">
      <formula>AND(NOT($P$49="-"),$P$57="-")</formula>
    </cfRule>
    <cfRule type="expression" dxfId="1038" priority="60" stopIfTrue="1">
      <formula>$P$57="-"</formula>
    </cfRule>
  </conditionalFormatting>
  <conditionalFormatting sqref="M58:O58">
    <cfRule type="expression" dxfId="1037" priority="58" stopIfTrue="1">
      <formula>AND(NOT($P$57="-"),$P$58="-")</formula>
    </cfRule>
  </conditionalFormatting>
  <conditionalFormatting sqref="N59:O59">
    <cfRule type="expression" dxfId="1036" priority="57" stopIfTrue="1">
      <formula>AND(NOT($P$57="-"),$P$59="-")</formula>
    </cfRule>
  </conditionalFormatting>
  <conditionalFormatting sqref="L60:O60">
    <cfRule type="expression" dxfId="1035" priority="56" stopIfTrue="1">
      <formula>AND(NOT($P$49="-"),$P$60="-")</formula>
    </cfRule>
  </conditionalFormatting>
  <conditionalFormatting sqref="M61:O61">
    <cfRule type="expression" dxfId="1034" priority="55" stopIfTrue="1">
      <formula>AND(NOT($P$60="-"),$P$61="-")</formula>
    </cfRule>
  </conditionalFormatting>
  <conditionalFormatting sqref="K62:O62">
    <cfRule type="expression" dxfId="1033" priority="54" stopIfTrue="1">
      <formula>AND(NOT($P$10="-"),$P$62="-")</formula>
    </cfRule>
  </conditionalFormatting>
  <conditionalFormatting sqref="C45:G45">
    <cfRule type="expression" dxfId="1032" priority="53" stopIfTrue="1">
      <formula>AND(NOT($H$43="-"),$H$45="-")</formula>
    </cfRule>
  </conditionalFormatting>
  <conditionalFormatting sqref="D46:G46">
    <cfRule type="expression" dxfId="1031" priority="52" stopIfTrue="1">
      <formula>AND(NOT($H$45="-"),$H$46="-")</formula>
    </cfRule>
  </conditionalFormatting>
  <conditionalFormatting sqref="C47:G47">
    <cfRule type="expression" dxfId="1030" priority="51" stopIfTrue="1">
      <formula>AND(NOT($H$43="-"),$H$47="-")</formula>
    </cfRule>
  </conditionalFormatting>
  <conditionalFormatting sqref="D48:G48">
    <cfRule type="expression" dxfId="1029" priority="50" stopIfTrue="1">
      <formula>AND(NOT($H$47="-"),$H$48="-")</formula>
    </cfRule>
  </conditionalFormatting>
  <conditionalFormatting sqref="C49:G49">
    <cfRule type="expression" dxfId="1028" priority="49" stopIfTrue="1">
      <formula>AND(NOT($H$43="-"),$H$49="-")</formula>
    </cfRule>
  </conditionalFormatting>
  <conditionalFormatting sqref="D50:G50">
    <cfRule type="expression" dxfId="1027" priority="48" stopIfTrue="1">
      <formula>AND(NOT($H$49="-"),$H$50="-")</formula>
    </cfRule>
  </conditionalFormatting>
  <conditionalFormatting sqref="C51:G51">
    <cfRule type="expression" dxfId="1026" priority="47" stopIfTrue="1">
      <formula>AND(NOT($H$43="-"),$H$51="-")</formula>
    </cfRule>
  </conditionalFormatting>
  <conditionalFormatting sqref="D52:G52">
    <cfRule type="expression" dxfId="1025" priority="46" stopIfTrue="1">
      <formula>AND(NOT($H$51="-"),$H$52="-")</formula>
    </cfRule>
  </conditionalFormatting>
  <conditionalFormatting sqref="C53:G53">
    <cfRule type="expression" dxfId="1024" priority="45" stopIfTrue="1">
      <formula>AND(NOT($H$43="-"),$H$53="-")</formula>
    </cfRule>
  </conditionalFormatting>
  <conditionalFormatting sqref="C54:G54">
    <cfRule type="expression" dxfId="1023" priority="44" stopIfTrue="1">
      <formula>AND(NOT($H$43="-"),$H$54="-")</formula>
    </cfRule>
  </conditionalFormatting>
  <conditionalFormatting sqref="D59:G59">
    <cfRule type="expression" dxfId="1022" priority="43" stopIfTrue="1">
      <formula>AND(NOT($H$56="-"),$H$59="-")</formula>
    </cfRule>
  </conditionalFormatting>
  <conditionalFormatting sqref="E60:G60">
    <cfRule type="expression" dxfId="1021" priority="42" stopIfTrue="1">
      <formula>AND(NOT($H$59="-"),$H$60="-")</formula>
    </cfRule>
  </conditionalFormatting>
  <conditionalFormatting sqref="I39">
    <cfRule type="cellIs" dxfId="1020" priority="41" stopIfTrue="1" operator="lessThan">
      <formula>0</formula>
    </cfRule>
  </conditionalFormatting>
  <conditionalFormatting sqref="C61:G61">
    <cfRule type="expression" dxfId="1019" priority="40" stopIfTrue="1">
      <formula>AND(NOT($H$43="-"),$H$61="-")</formula>
    </cfRule>
  </conditionalFormatting>
  <conditionalFormatting sqref="C62:G62">
    <cfRule type="expression" dxfId="1018" priority="39" stopIfTrue="1">
      <formula>AND(NOT($H$43="-"),$H$62="-")</formula>
    </cfRule>
  </conditionalFormatting>
  <conditionalFormatting sqref="E29:F30">
    <cfRule type="cellIs" dxfId="1017" priority="38" stopIfTrue="1" operator="greaterThan">
      <formula>$C$29</formula>
    </cfRule>
  </conditionalFormatting>
  <conditionalFormatting sqref="M34:O34">
    <cfRule type="expression" dxfId="1016" priority="37" stopIfTrue="1">
      <formula>AND(NOT($P$33="-"),$P$34="-")</formula>
    </cfRule>
  </conditionalFormatting>
  <conditionalFormatting sqref="N35:O35">
    <cfRule type="expression" dxfId="1015" priority="35" stopIfTrue="1">
      <formula>AND(NOT($P$34="-"),$P$35="-")</formula>
    </cfRule>
    <cfRule type="expression" dxfId="1014" priority="36" stopIfTrue="1">
      <formula>$P$35="-"</formula>
    </cfRule>
  </conditionalFormatting>
  <conditionalFormatting sqref="L36:O36">
    <cfRule type="expression" dxfId="1013" priority="33" stopIfTrue="1">
      <formula>AND(NOT($P$32="-"),$P$36="-")</formula>
    </cfRule>
    <cfRule type="expression" dxfId="1012" priority="34" stopIfTrue="1">
      <formula>AND($P$36="-",$M$39="Alcance incrementado")</formula>
    </cfRule>
  </conditionalFormatting>
  <conditionalFormatting sqref="M39:O39">
    <cfRule type="expression" dxfId="1011" priority="31" stopIfTrue="1">
      <formula>AND(NOT($P$36="-"),$P$39="-")</formula>
    </cfRule>
    <cfRule type="expression" dxfId="1010" priority="32" stopIfTrue="1">
      <formula>AND($P$39="-",$M$39="Aura incrementada")</formula>
    </cfRule>
  </conditionalFormatting>
  <conditionalFormatting sqref="D55:G55">
    <cfRule type="expression" dxfId="1009" priority="30" stopIfTrue="1">
      <formula>AND(NOT($H$54="-"),$H$55="-")</formula>
    </cfRule>
  </conditionalFormatting>
  <conditionalFormatting sqref="K63:O63">
    <cfRule type="expression" dxfId="1008" priority="4833" stopIfTrue="1">
      <formula>AND(NOT($P$10="-"),$P$63="-",NOT($B$63=1))</formula>
    </cfRule>
    <cfRule type="expression" dxfId="1007" priority="4834" stopIfTrue="1">
      <formula>$P$63="-"</formula>
    </cfRule>
  </conditionalFormatting>
  <conditionalFormatting sqref="L64:O65">
    <cfRule type="expression" dxfId="1006" priority="4835" stopIfTrue="1">
      <formula>AND(NOT($P$63="-"),$P$64="-",NOT($B$64=1))</formula>
    </cfRule>
    <cfRule type="expression" dxfId="1005" priority="4836" stopIfTrue="1">
      <formula>$P$64="-"</formula>
    </cfRule>
  </conditionalFormatting>
  <conditionalFormatting sqref="C63:G63">
    <cfRule type="expression" dxfId="1004" priority="4837" stopIfTrue="1">
      <formula>AND(NOT($H$43="-"),$H$63="-",NOT($B$63=1))</formula>
    </cfRule>
    <cfRule type="expression" dxfId="1003" priority="4838" stopIfTrue="1">
      <formula>$H$63="-"</formula>
    </cfRule>
  </conditionalFormatting>
  <conditionalFormatting sqref="D64:G65">
    <cfRule type="expression" dxfId="1002" priority="4839" stopIfTrue="1">
      <formula>AND(NOT($H$63="-"),$H$64="-",NOT($B$64=1))</formula>
    </cfRule>
    <cfRule type="expression" dxfId="1001" priority="4840" stopIfTrue="1">
      <formula>$H$64="-"</formula>
    </cfRule>
  </conditionalFormatting>
  <conditionalFormatting sqref="AI22:AJ22">
    <cfRule type="expression" dxfId="1000" priority="21">
      <formula>$Q$37=60</formula>
    </cfRule>
  </conditionalFormatting>
  <conditionalFormatting sqref="AG22:AH22">
    <cfRule type="expression" dxfId="999" priority="20">
      <formula>$Q$37&gt;=50</formula>
    </cfRule>
  </conditionalFormatting>
  <conditionalFormatting sqref="AE22:AF22">
    <cfRule type="expression" dxfId="998" priority="19">
      <formula>$Q$37&gt;=40</formula>
    </cfRule>
  </conditionalFormatting>
  <conditionalFormatting sqref="AC22:AD22">
    <cfRule type="expression" dxfId="997" priority="18">
      <formula>$Q$37&gt;=30</formula>
    </cfRule>
  </conditionalFormatting>
  <conditionalFormatting sqref="AA22:AB22">
    <cfRule type="expression" dxfId="996" priority="17">
      <formula>$Q$37&gt;=20</formula>
    </cfRule>
  </conditionalFormatting>
  <conditionalFormatting sqref="Y22:Z22">
    <cfRule type="expression" dxfId="995" priority="16">
      <formula>$Q$37&gt;=10</formula>
    </cfRule>
  </conditionalFormatting>
  <conditionalFormatting sqref="V26">
    <cfRule type="expression" dxfId="994" priority="12">
      <formula>LEN(V26)&gt;50</formula>
    </cfRule>
  </conditionalFormatting>
  <conditionalFormatting sqref="AD26">
    <cfRule type="expression" dxfId="993" priority="11">
      <formula>LEN(AD26)&gt;50</formula>
    </cfRule>
  </conditionalFormatting>
  <conditionalFormatting sqref="V34">
    <cfRule type="expression" dxfId="992" priority="10">
      <formula>LEN(V34)&gt;50</formula>
    </cfRule>
  </conditionalFormatting>
  <conditionalFormatting sqref="AD34">
    <cfRule type="expression" dxfId="991" priority="9">
      <formula>LEN(AD34)&gt;50</formula>
    </cfRule>
  </conditionalFormatting>
  <conditionalFormatting sqref="V42">
    <cfRule type="expression" dxfId="990" priority="8">
      <formula>LEN(V42)&gt;50</formula>
    </cfRule>
  </conditionalFormatting>
  <conditionalFormatting sqref="AD42">
    <cfRule type="expression" dxfId="989" priority="7">
      <formula>LEN(AD42)&gt;50</formula>
    </cfRule>
  </conditionalFormatting>
  <conditionalFormatting sqref="V50">
    <cfRule type="expression" dxfId="988" priority="6">
      <formula>LEN(V50)&gt;50</formula>
    </cfRule>
  </conditionalFormatting>
  <conditionalFormatting sqref="AD50">
    <cfRule type="expression" dxfId="987" priority="5">
      <formula>LEN(AD50)&gt;50</formula>
    </cfRule>
  </conditionalFormatting>
  <conditionalFormatting sqref="V58">
    <cfRule type="expression" dxfId="986" priority="4">
      <formula>LEN(V58)&gt;50</formula>
    </cfRule>
  </conditionalFormatting>
  <conditionalFormatting sqref="AD58">
    <cfRule type="expression" dxfId="985" priority="3">
      <formula>LEN(AD58)&gt;50</formula>
    </cfRule>
  </conditionalFormatting>
  <conditionalFormatting sqref="V66">
    <cfRule type="expression" dxfId="984" priority="2">
      <formula>LEN(V66)&gt;50</formula>
    </cfRule>
  </conditionalFormatting>
  <conditionalFormatting sqref="AD66">
    <cfRule type="expression" dxfId="983"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2" customWidth="1"/>
    <col min="2" max="2" width="5.7109375" style="2370" customWidth="1"/>
    <col min="3" max="3" width="5.7109375" style="2192" customWidth="1"/>
    <col min="4" max="4" width="5.7109375" style="2194" customWidth="1"/>
    <col min="5" max="25" width="5.7109375" style="2192" customWidth="1"/>
    <col min="26" max="26" width="6" style="2192" bestFit="1" customWidth="1"/>
    <col min="27" max="33" width="5.7109375" style="2192" customWidth="1"/>
    <col min="34" max="34" width="5.7109375" style="2370" customWidth="1"/>
    <col min="35" max="35" width="2.7109375" style="2190" customWidth="1"/>
    <col min="36" max="42" width="5.7109375" style="2190" customWidth="1"/>
    <col min="43" max="43" width="5.7109375" style="2191" customWidth="1"/>
    <col min="44" max="49" width="5.7109375" style="2192" customWidth="1"/>
    <col min="50" max="50" width="5" style="2192" customWidth="1"/>
    <col min="51" max="51" width="5.7109375" style="2190" customWidth="1"/>
    <col min="52" max="16384" width="5.7109375" style="2192"/>
  </cols>
  <sheetData>
    <row r="1" spans="1:51" ht="12" customHeight="1" thickBot="1" x14ac:dyDescent="0.25">
      <c r="A1" s="2188"/>
      <c r="B1" s="2366"/>
      <c r="C1" s="2188"/>
      <c r="D1" s="2188"/>
      <c r="E1" s="2189"/>
      <c r="F1" s="2188"/>
      <c r="G1" s="2188"/>
      <c r="H1" s="2188"/>
      <c r="I1" s="2188"/>
      <c r="J1" s="2188"/>
      <c r="K1" s="2188"/>
      <c r="L1" s="2188"/>
      <c r="M1" s="2188"/>
      <c r="N1" s="2188"/>
      <c r="O1" s="2188"/>
      <c r="P1" s="2188"/>
      <c r="Q1" s="2188"/>
      <c r="R1" s="2188"/>
      <c r="S1" s="2188"/>
      <c r="T1" s="2188"/>
      <c r="U1" s="2188"/>
      <c r="V1" s="2188"/>
      <c r="W1" s="2188"/>
      <c r="X1" s="2188"/>
      <c r="Y1" s="2188"/>
      <c r="Z1" s="2188"/>
      <c r="AA1" s="2188"/>
      <c r="AB1" s="2188"/>
      <c r="AC1" s="2188"/>
      <c r="AD1" s="2188"/>
      <c r="AE1" s="2188"/>
      <c r="AF1" s="2188"/>
      <c r="AG1" s="2188"/>
      <c r="AH1" s="2366"/>
      <c r="AI1" s="2188"/>
      <c r="AJ1" s="2785" t="s">
        <v>9024</v>
      </c>
      <c r="AK1" s="2785"/>
      <c r="AL1" s="2785"/>
      <c r="AM1" s="2785"/>
      <c r="AN1" s="2785"/>
      <c r="AO1" s="2785"/>
      <c r="AP1" s="2785"/>
      <c r="AQ1" s="2785"/>
      <c r="AR1" s="2786"/>
      <c r="AS1" s="2786"/>
      <c r="AT1" s="2786"/>
      <c r="AU1" s="2787"/>
      <c r="AV1" s="2787"/>
      <c r="AW1" s="2787"/>
      <c r="AX1" s="2787"/>
      <c r="AY1" s="2785"/>
    </row>
    <row r="2" spans="1:51" ht="12" customHeight="1" thickBot="1" x14ac:dyDescent="0.25">
      <c r="A2" s="2487"/>
      <c r="B2" s="2367"/>
      <c r="C2" s="2307"/>
      <c r="D2" s="2307"/>
      <c r="E2" s="2193"/>
      <c r="F2" s="2307"/>
      <c r="G2" s="2307"/>
      <c r="H2" s="2307"/>
      <c r="I2" s="2307"/>
      <c r="J2" s="2307"/>
      <c r="K2" s="2307"/>
      <c r="L2" s="2307"/>
      <c r="M2" s="2307"/>
      <c r="N2" s="2307"/>
      <c r="O2" s="2307"/>
      <c r="P2" s="2307"/>
      <c r="Q2" s="2307"/>
      <c r="R2" s="2307"/>
      <c r="S2" s="2307"/>
      <c r="T2" s="2307"/>
      <c r="U2" s="2307"/>
      <c r="V2" s="2307"/>
      <c r="W2" s="2307"/>
      <c r="X2" s="2307"/>
      <c r="Y2" s="2307"/>
      <c r="Z2" s="2307"/>
      <c r="AA2" s="2307"/>
      <c r="AB2" s="2307"/>
      <c r="AC2" s="2307"/>
      <c r="AD2" s="2307"/>
      <c r="AE2" s="2307"/>
      <c r="AF2" s="2307"/>
      <c r="AG2" s="2307"/>
      <c r="AH2" s="2495"/>
      <c r="AI2" s="2188"/>
      <c r="AJ2" s="2788" t="s">
        <v>9594</v>
      </c>
      <c r="AK2" s="2785"/>
      <c r="AL2" s="2785"/>
      <c r="AM2" s="2785"/>
      <c r="AN2" s="2785"/>
      <c r="AO2" s="2785"/>
      <c r="AP2" s="2785"/>
      <c r="AQ2" s="2785"/>
      <c r="AR2" s="2786"/>
      <c r="AS2" s="2786"/>
      <c r="AT2" s="2786"/>
      <c r="AU2" s="2787"/>
      <c r="AV2" s="2787"/>
      <c r="AW2" s="2787"/>
      <c r="AX2" s="2787"/>
      <c r="AY2" s="2785"/>
    </row>
    <row r="3" spans="1:51" ht="12" customHeight="1" x14ac:dyDescent="0.2">
      <c r="A3" s="2487"/>
      <c r="B3" s="2368"/>
      <c r="C3" s="4039"/>
      <c r="D3" s="4040"/>
      <c r="E3" s="4040"/>
      <c r="F3" s="4040"/>
      <c r="G3" s="4040"/>
      <c r="H3" s="4040"/>
      <c r="I3" s="448"/>
      <c r="J3" s="448"/>
      <c r="K3" s="448"/>
      <c r="L3" s="448"/>
      <c r="M3" s="448"/>
      <c r="N3" s="448"/>
      <c r="O3" s="448"/>
      <c r="P3" s="448"/>
      <c r="Q3" s="448"/>
      <c r="R3" s="448"/>
      <c r="S3" s="448"/>
      <c r="T3" s="448"/>
      <c r="U3" s="448"/>
      <c r="V3" s="448"/>
      <c r="W3" s="448"/>
      <c r="X3" s="448"/>
      <c r="Y3" s="448"/>
      <c r="Z3" s="448"/>
      <c r="AA3" s="448"/>
      <c r="AB3" s="448"/>
      <c r="AC3" s="448"/>
      <c r="AD3" s="4234"/>
      <c r="AE3" s="4234"/>
      <c r="AF3" s="4234"/>
      <c r="AG3" s="4235"/>
      <c r="AH3" s="2496"/>
      <c r="AI3" s="2188"/>
      <c r="AJ3" s="2785" t="s">
        <v>1464</v>
      </c>
      <c r="AK3" s="2785"/>
      <c r="AL3" s="2785"/>
      <c r="AM3" s="2785"/>
      <c r="AN3" s="2785"/>
      <c r="AO3" s="2785"/>
      <c r="AP3" s="2785"/>
      <c r="AQ3" s="2785"/>
      <c r="AR3" s="2786"/>
      <c r="AS3" s="2786"/>
      <c r="AT3" s="2786"/>
      <c r="AU3" s="2787"/>
      <c r="AV3" s="2787"/>
      <c r="AW3" s="2787"/>
      <c r="AX3" s="2787"/>
      <c r="AY3" s="2785"/>
    </row>
    <row r="4" spans="1:51" ht="12" customHeight="1" x14ac:dyDescent="0.2">
      <c r="A4" s="2487"/>
      <c r="B4" s="2368"/>
      <c r="C4" s="4041"/>
      <c r="D4" s="4042"/>
      <c r="E4" s="4042"/>
      <c r="F4" s="4042"/>
      <c r="G4" s="4042"/>
      <c r="H4" s="4042"/>
      <c r="I4" s="356"/>
      <c r="J4" s="3024" t="s">
        <v>1331</v>
      </c>
      <c r="K4" s="3024"/>
      <c r="L4" s="3025" t="str">
        <f>IF(OR(General!$F$22="",General!$F$22=0),"",General!$F$22)</f>
        <v/>
      </c>
      <c r="M4" s="3025"/>
      <c r="N4" s="3025"/>
      <c r="O4" s="3025"/>
      <c r="P4" s="3025"/>
      <c r="Q4" s="3025"/>
      <c r="R4" s="3025"/>
      <c r="S4" s="3025"/>
      <c r="T4" s="3025"/>
      <c r="U4" s="2315"/>
      <c r="V4" s="2315"/>
      <c r="W4" s="4037" t="s">
        <v>9858</v>
      </c>
      <c r="X4" s="4038"/>
      <c r="Y4" s="4038"/>
      <c r="Z4" s="4038"/>
      <c r="AA4" s="4038"/>
      <c r="AB4" s="4038"/>
      <c r="AC4" s="2315"/>
      <c r="AD4" s="4236"/>
      <c r="AE4" s="4236"/>
      <c r="AF4" s="4236"/>
      <c r="AG4" s="4237"/>
      <c r="AH4" s="2496"/>
      <c r="AI4" s="2188"/>
      <c r="AJ4" s="2785" t="s">
        <v>5840</v>
      </c>
      <c r="AK4" s="2785"/>
      <c r="AL4" s="2785"/>
      <c r="AM4" s="2785"/>
      <c r="AN4" s="2785"/>
      <c r="AO4" s="2785"/>
      <c r="AP4" s="2785"/>
      <c r="AQ4" s="2786"/>
      <c r="AR4" s="2787"/>
      <c r="AS4" s="2787"/>
      <c r="AT4" s="2787"/>
      <c r="AU4" s="2787"/>
      <c r="AV4" s="2787"/>
      <c r="AW4" s="2787"/>
      <c r="AX4" s="2787"/>
      <c r="AY4" s="2785"/>
    </row>
    <row r="5" spans="1:51" ht="12" customHeight="1" x14ac:dyDescent="0.2">
      <c r="A5" s="2487"/>
      <c r="B5" s="2368"/>
      <c r="C5" s="4041"/>
      <c r="D5" s="4042"/>
      <c r="E5" s="4042"/>
      <c r="F5" s="4042"/>
      <c r="G5" s="4042"/>
      <c r="H5" s="4042"/>
      <c r="I5" s="356"/>
      <c r="J5" s="3017" t="s">
        <v>1332</v>
      </c>
      <c r="K5" s="3017"/>
      <c r="L5" s="2838" t="str">
        <f>PDs!$J$8</f>
        <v>Novel</v>
      </c>
      <c r="M5" s="2838"/>
      <c r="N5" s="2838"/>
      <c r="O5" s="2605" t="s">
        <v>1333</v>
      </c>
      <c r="P5" s="2593" t="str">
        <f>Principal!$O$6</f>
        <v>1</v>
      </c>
      <c r="Q5" s="2188"/>
      <c r="R5" s="2188"/>
      <c r="S5" s="2315"/>
      <c r="T5" s="2315"/>
      <c r="U5" s="2315"/>
      <c r="V5" s="2315"/>
      <c r="W5" s="4038"/>
      <c r="X5" s="4038"/>
      <c r="Y5" s="4038"/>
      <c r="Z5" s="4038"/>
      <c r="AA5" s="4038"/>
      <c r="AB5" s="4038"/>
      <c r="AC5" s="2188"/>
      <c r="AD5" s="4236"/>
      <c r="AE5" s="4236"/>
      <c r="AF5" s="4236"/>
      <c r="AG5" s="4237"/>
      <c r="AH5" s="2496"/>
      <c r="AI5" s="2188"/>
      <c r="AJ5" s="2785" t="s">
        <v>9118</v>
      </c>
      <c r="AK5" s="2785"/>
      <c r="AL5" s="2785"/>
      <c r="AM5" s="2785"/>
      <c r="AN5" s="2785"/>
      <c r="AO5" s="2785"/>
      <c r="AP5" s="2785"/>
      <c r="AQ5" s="2786"/>
      <c r="AR5" s="2787"/>
      <c r="AS5" s="2787"/>
      <c r="AT5" s="2787"/>
      <c r="AU5" s="2787"/>
      <c r="AV5" s="2787"/>
      <c r="AW5" s="2787"/>
      <c r="AX5" s="2787"/>
      <c r="AY5" s="2785"/>
    </row>
    <row r="6" spans="1:51" ht="12" customHeight="1" x14ac:dyDescent="0.2">
      <c r="A6" s="2487"/>
      <c r="B6" s="2368"/>
      <c r="C6" s="4041"/>
      <c r="D6" s="4042"/>
      <c r="E6" s="4042"/>
      <c r="F6" s="4042"/>
      <c r="G6" s="4042"/>
      <c r="H6" s="4042"/>
      <c r="I6" s="356"/>
      <c r="J6" s="4037" t="s">
        <v>3269</v>
      </c>
      <c r="K6" s="4038"/>
      <c r="L6" s="4038"/>
      <c r="M6" s="4038"/>
      <c r="N6" s="4038"/>
      <c r="O6" s="4038"/>
      <c r="P6" s="4038"/>
      <c r="Q6" s="2188"/>
      <c r="R6" s="2188"/>
      <c r="S6" s="2315"/>
      <c r="T6" s="2315"/>
      <c r="U6" s="2315"/>
      <c r="V6" s="4332"/>
      <c r="W6" s="4333"/>
      <c r="X6" s="4333"/>
      <c r="Y6" s="4333"/>
      <c r="Z6" s="4333"/>
      <c r="AA6" s="4333"/>
      <c r="AB6" s="4333"/>
      <c r="AC6" s="4334"/>
      <c r="AD6" s="4236"/>
      <c r="AE6" s="4236"/>
      <c r="AF6" s="4236"/>
      <c r="AG6" s="4237"/>
      <c r="AH6" s="2496"/>
      <c r="AI6" s="2188"/>
      <c r="AJ6" s="2785" t="s">
        <v>9121</v>
      </c>
      <c r="AK6" s="2785"/>
      <c r="AL6" s="2785"/>
      <c r="AM6" s="2785"/>
      <c r="AN6" s="2785"/>
      <c r="AO6" s="2785"/>
      <c r="AP6" s="2785"/>
      <c r="AQ6" s="2786"/>
      <c r="AR6" s="2787"/>
      <c r="AS6" s="2787"/>
      <c r="AT6" s="2787"/>
      <c r="AU6" s="2787"/>
      <c r="AV6" s="2787"/>
      <c r="AW6" s="2787"/>
      <c r="AX6" s="2787"/>
      <c r="AY6" s="2785"/>
    </row>
    <row r="7" spans="1:51" ht="12" customHeight="1" x14ac:dyDescent="0.2">
      <c r="A7" s="2487"/>
      <c r="B7" s="2368"/>
      <c r="C7" s="4041"/>
      <c r="D7" s="4042"/>
      <c r="E7" s="4042"/>
      <c r="F7" s="4042"/>
      <c r="G7" s="4042"/>
      <c r="H7" s="4042"/>
      <c r="I7" s="356"/>
      <c r="J7" s="4038"/>
      <c r="K7" s="4038"/>
      <c r="L7" s="4038"/>
      <c r="M7" s="4038"/>
      <c r="N7" s="4038"/>
      <c r="O7" s="4038"/>
      <c r="P7" s="4038"/>
      <c r="Q7" s="2315"/>
      <c r="R7" s="2315"/>
      <c r="S7" s="2315"/>
      <c r="T7" s="2315"/>
      <c r="U7" s="2315"/>
      <c r="V7" s="4335"/>
      <c r="W7" s="4336"/>
      <c r="X7" s="4336"/>
      <c r="Y7" s="4336"/>
      <c r="Z7" s="4336"/>
      <c r="AA7" s="4336"/>
      <c r="AB7" s="4336"/>
      <c r="AC7" s="4337"/>
      <c r="AD7" s="4236"/>
      <c r="AE7" s="4236"/>
      <c r="AF7" s="4236"/>
      <c r="AG7" s="4237"/>
      <c r="AH7" s="2496"/>
      <c r="AI7" s="2188"/>
      <c r="AJ7" s="2789"/>
      <c r="AK7" s="2785"/>
      <c r="AL7" s="2785"/>
      <c r="AM7" s="2785"/>
      <c r="AN7" s="2785"/>
      <c r="AO7" s="2785"/>
      <c r="AP7" s="2785"/>
      <c r="AQ7" s="2786"/>
      <c r="AR7" s="2787"/>
      <c r="AS7" s="2787"/>
      <c r="AT7" s="2787"/>
      <c r="AU7" s="2787"/>
      <c r="AV7" s="2787"/>
      <c r="AW7" s="2787"/>
      <c r="AX7" s="2787"/>
      <c r="AY7" s="2785"/>
    </row>
    <row r="8" spans="1:51" ht="12" customHeight="1" thickBot="1" x14ac:dyDescent="0.25">
      <c r="A8" s="2487"/>
      <c r="B8" s="2368"/>
      <c r="C8" s="4043"/>
      <c r="D8" s="4044"/>
      <c r="E8" s="4044"/>
      <c r="F8" s="4044"/>
      <c r="G8" s="4044"/>
      <c r="H8" s="4044"/>
      <c r="I8" s="452"/>
      <c r="J8" s="452"/>
      <c r="K8" s="452"/>
      <c r="L8" s="452"/>
      <c r="M8" s="452"/>
      <c r="N8" s="452"/>
      <c r="O8" s="452"/>
      <c r="P8" s="452"/>
      <c r="Q8" s="452"/>
      <c r="R8" s="452"/>
      <c r="S8" s="452"/>
      <c r="T8" s="452"/>
      <c r="U8" s="452"/>
      <c r="V8" s="452"/>
      <c r="W8" s="452"/>
      <c r="X8" s="452"/>
      <c r="Y8" s="452"/>
      <c r="Z8" s="452"/>
      <c r="AA8" s="452"/>
      <c r="AB8" s="452"/>
      <c r="AC8" s="452"/>
      <c r="AD8" s="4238"/>
      <c r="AE8" s="4238"/>
      <c r="AF8" s="4238"/>
      <c r="AG8" s="4239"/>
      <c r="AH8" s="2496"/>
      <c r="AI8" s="2188"/>
      <c r="AJ8" s="2788" t="s">
        <v>2882</v>
      </c>
      <c r="AK8" s="2785"/>
      <c r="AL8" s="2785"/>
      <c r="AM8" s="2785"/>
      <c r="AN8" s="2785"/>
      <c r="AO8" s="2785"/>
      <c r="AP8" s="2785"/>
      <c r="AQ8" s="2786"/>
      <c r="AR8" s="2787"/>
      <c r="AS8" s="2787"/>
      <c r="AT8" s="2787"/>
      <c r="AU8" s="2787"/>
      <c r="AV8" s="2787"/>
      <c r="AW8" s="2787"/>
      <c r="AX8" s="2787"/>
      <c r="AY8" s="2785"/>
    </row>
    <row r="9" spans="1:51" ht="12" customHeight="1" x14ac:dyDescent="0.2">
      <c r="A9" s="2487"/>
      <c r="B9" s="2368">
        <v>0</v>
      </c>
      <c r="D9" s="2192"/>
      <c r="E9" s="2194"/>
      <c r="AH9" s="2496"/>
      <c r="AI9" s="2188"/>
      <c r="AJ9" s="2785" t="s">
        <v>9089</v>
      </c>
      <c r="AK9" s="2785"/>
      <c r="AL9" s="2785"/>
      <c r="AM9" s="2785"/>
      <c r="AN9" s="2785"/>
      <c r="AO9" s="2785"/>
      <c r="AP9" s="2785"/>
      <c r="AQ9" s="2786"/>
      <c r="AR9" s="2787"/>
      <c r="AS9" s="2787"/>
      <c r="AT9" s="2787"/>
      <c r="AU9" s="2787"/>
      <c r="AV9" s="2787"/>
      <c r="AW9" s="2787"/>
      <c r="AX9" s="2787"/>
      <c r="AY9" s="2785"/>
    </row>
    <row r="10" spans="1:51" ht="12" customHeight="1" x14ac:dyDescent="0.2">
      <c r="A10" s="2487"/>
      <c r="B10" s="2368"/>
      <c r="C10" s="2316"/>
      <c r="D10" s="2316"/>
      <c r="E10" s="2316"/>
      <c r="F10" s="2316"/>
      <c r="G10" s="2302"/>
      <c r="H10" s="2316"/>
      <c r="I10" s="2316"/>
      <c r="J10" s="2316"/>
      <c r="K10" s="2316"/>
      <c r="L10" s="2316"/>
      <c r="M10" s="2316"/>
      <c r="N10" s="2316"/>
      <c r="O10" s="2316"/>
      <c r="P10" s="2316"/>
      <c r="Q10" s="2316"/>
      <c r="R10" s="2316"/>
      <c r="S10" s="2316"/>
      <c r="T10" s="2316"/>
      <c r="U10" s="2316"/>
      <c r="V10" s="2316"/>
      <c r="W10" s="2316"/>
      <c r="X10" s="2316"/>
      <c r="Y10" s="2316"/>
      <c r="Z10" s="2316"/>
      <c r="AA10" s="2316"/>
      <c r="AB10" s="2316"/>
      <c r="AC10" s="2316"/>
      <c r="AD10" s="2316"/>
      <c r="AE10" s="2316"/>
      <c r="AF10" s="2316"/>
      <c r="AG10" s="2316"/>
      <c r="AH10" s="2496"/>
      <c r="AI10" s="2188"/>
      <c r="AJ10" s="2785" t="s">
        <v>526</v>
      </c>
      <c r="AK10" s="2785"/>
      <c r="AL10" s="2785"/>
      <c r="AM10" s="2785"/>
      <c r="AN10" s="2785"/>
      <c r="AO10" s="2785"/>
      <c r="AP10" s="2785"/>
      <c r="AQ10" s="2785"/>
      <c r="AR10" s="2785"/>
      <c r="AS10" s="2785"/>
      <c r="AT10" s="2785"/>
      <c r="AU10" s="2785"/>
      <c r="AV10" s="2785"/>
      <c r="AW10" s="2787"/>
      <c r="AX10" s="2787"/>
      <c r="AY10" s="2785"/>
    </row>
    <row r="11" spans="1:51" ht="12" customHeight="1" thickBot="1" x14ac:dyDescent="0.25">
      <c r="A11" s="2487"/>
      <c r="B11" s="2368"/>
      <c r="C11" s="2301"/>
      <c r="D11" s="2301"/>
      <c r="E11" s="2301"/>
      <c r="F11" s="2301"/>
      <c r="G11" s="2301"/>
      <c r="H11" s="2301"/>
      <c r="I11" s="2301"/>
      <c r="J11" s="2301"/>
      <c r="K11" s="2301"/>
      <c r="L11" s="2301"/>
      <c r="M11" s="2301"/>
      <c r="N11" s="2301"/>
      <c r="O11" s="2301"/>
      <c r="P11" s="2301"/>
      <c r="Q11" s="2301"/>
      <c r="R11" s="2301"/>
      <c r="S11" s="2301"/>
      <c r="T11" s="2301"/>
      <c r="U11" s="2301"/>
      <c r="V11" s="2301"/>
      <c r="W11" s="2301"/>
      <c r="X11" s="2301"/>
      <c r="Y11" s="2301"/>
      <c r="Z11" s="2301"/>
      <c r="AA11" s="2301"/>
      <c r="AB11" s="2301"/>
      <c r="AC11" s="2301"/>
      <c r="AD11" s="2301"/>
      <c r="AE11" s="2301"/>
      <c r="AF11" s="2301"/>
      <c r="AG11" s="2301"/>
      <c r="AH11" s="2496"/>
      <c r="AI11" s="2188"/>
      <c r="AJ11" s="4327"/>
      <c r="AK11" s="4327"/>
      <c r="AL11" s="4327"/>
      <c r="AM11" s="4327"/>
      <c r="AN11" s="4327"/>
      <c r="AO11" s="4327"/>
      <c r="AP11" s="4327"/>
      <c r="AQ11" s="4327"/>
      <c r="AR11" s="4327"/>
      <c r="AS11" s="4327"/>
      <c r="AT11" s="4327"/>
      <c r="AU11" s="4327"/>
      <c r="AV11" s="4327"/>
      <c r="AW11" s="4327"/>
      <c r="AX11" s="4327"/>
      <c r="AY11" s="4327"/>
    </row>
    <row r="12" spans="1:51" ht="12" customHeight="1" x14ac:dyDescent="0.2">
      <c r="A12" s="2487"/>
      <c r="B12" s="2368">
        <v>1</v>
      </c>
      <c r="C12" s="4324" t="str">
        <f>"Técnica "&amp;B12</f>
        <v>Técnica 1</v>
      </c>
      <c r="D12" s="4318" t="s">
        <v>8999</v>
      </c>
      <c r="E12" s="4319"/>
      <c r="F12" s="4319"/>
      <c r="G12" s="4319"/>
      <c r="H12" s="4319"/>
      <c r="I12" s="4319"/>
      <c r="J12" s="4319"/>
      <c r="K12" s="4319"/>
      <c r="L12" s="4319"/>
      <c r="M12" s="4319"/>
      <c r="N12" s="4320"/>
      <c r="O12" s="4284" t="s">
        <v>1333</v>
      </c>
      <c r="P12" s="4286">
        <v>1</v>
      </c>
      <c r="Q12" s="4203" t="s">
        <v>9083</v>
      </c>
      <c r="R12" s="4280"/>
      <c r="S12" s="4282" t="s">
        <v>1389</v>
      </c>
      <c r="T12" s="4204" t="s">
        <v>1514</v>
      </c>
      <c r="U12" s="4268">
        <f>MAX(IF(P12=3,60,IF(P12=2,40,20)),MIN(IF(P12=3,200,IF(P12=2,100,50)),SUM(N16:N23)-10*Y21+AC21+IF(S12="Si",10*P12,0)+IF(COUNTIF(K16:M20,"Mantenido")&gt;0,P12*10)+MAX(IF(COUNTIF(K16:M20,"Sostenimiento Menor")&gt;0,P12*20)+IF(COUNTIF(K16:M20,"Sostenimiento Mayor")&gt;0,P12*30))))</f>
        <v>20</v>
      </c>
      <c r="V12" s="4203" t="s">
        <v>9084</v>
      </c>
      <c r="W12" s="4204"/>
      <c r="X12" s="4207" t="str">
        <f>IFERROR(LEFT(AK28&amp;AL28&amp;AM28&amp;AN28&amp;AO28&amp;AP28,LEN(AK28&amp;AL28&amp;AM28&amp;AN28&amp;AO28&amp;AP28)-2),"")</f>
        <v/>
      </c>
      <c r="Y12" s="4207"/>
      <c r="Z12" s="4207"/>
      <c r="AA12" s="4207"/>
      <c r="AB12" s="4207"/>
      <c r="AC12" s="4207"/>
      <c r="AD12" s="4207"/>
      <c r="AE12" s="4207"/>
      <c r="AF12" s="4207"/>
      <c r="AG12" s="4208"/>
      <c r="AH12" s="2496"/>
      <c r="AI12" s="4328"/>
      <c r="AJ12" s="2790" t="s">
        <v>9632</v>
      </c>
      <c r="AK12" s="2790"/>
      <c r="AL12" s="2790"/>
      <c r="AM12" s="2790"/>
      <c r="AN12" s="2790"/>
      <c r="AO12" s="2790"/>
      <c r="AP12" s="2790"/>
      <c r="AQ12" s="2790"/>
      <c r="AR12" s="2790"/>
      <c r="AS12" s="2785"/>
      <c r="AT12" s="2785"/>
      <c r="AU12" s="2785"/>
      <c r="AV12" s="2785"/>
      <c r="AW12" s="2787"/>
      <c r="AX12" s="2787"/>
      <c r="AY12" s="2785"/>
    </row>
    <row r="13" spans="1:51" ht="12" customHeight="1" x14ac:dyDescent="0.2">
      <c r="A13" s="2487"/>
      <c r="B13" s="2368">
        <v>1</v>
      </c>
      <c r="C13" s="4325"/>
      <c r="D13" s="4321"/>
      <c r="E13" s="4322"/>
      <c r="F13" s="4322"/>
      <c r="G13" s="4322"/>
      <c r="H13" s="4322"/>
      <c r="I13" s="4322"/>
      <c r="J13" s="4322"/>
      <c r="K13" s="4322"/>
      <c r="L13" s="4322"/>
      <c r="M13" s="4322"/>
      <c r="N13" s="4323"/>
      <c r="O13" s="4285"/>
      <c r="P13" s="4283"/>
      <c r="Q13" s="4205"/>
      <c r="R13" s="4281"/>
      <c r="S13" s="4283"/>
      <c r="T13" s="4206"/>
      <c r="U13" s="4269"/>
      <c r="V13" s="4205"/>
      <c r="W13" s="4206"/>
      <c r="X13" s="4209"/>
      <c r="Y13" s="4209"/>
      <c r="Z13" s="4209"/>
      <c r="AA13" s="4209"/>
      <c r="AB13" s="4209"/>
      <c r="AC13" s="4209"/>
      <c r="AD13" s="4209"/>
      <c r="AE13" s="4209"/>
      <c r="AF13" s="4209"/>
      <c r="AG13" s="4210"/>
      <c r="AH13" s="2496"/>
      <c r="AI13" s="4328"/>
      <c r="AJ13" s="2790"/>
      <c r="AK13" s="2790" t="s">
        <v>9633</v>
      </c>
      <c r="AL13" s="2790" t="s">
        <v>10237</v>
      </c>
      <c r="AM13" s="2791"/>
      <c r="AN13" s="2791"/>
      <c r="AO13" s="2791"/>
      <c r="AP13" s="2791"/>
      <c r="AQ13" s="2791"/>
      <c r="AR13" s="2790"/>
      <c r="AS13" s="2785"/>
      <c r="AT13" s="2785"/>
      <c r="AU13" s="2785"/>
      <c r="AV13" s="2785"/>
      <c r="AW13" s="2787"/>
      <c r="AX13" s="4327" t="s">
        <v>9602</v>
      </c>
      <c r="AY13" s="4327"/>
    </row>
    <row r="14" spans="1:51" ht="12" customHeight="1" x14ac:dyDescent="0.2">
      <c r="A14" s="2487"/>
      <c r="B14" s="2368">
        <v>1</v>
      </c>
      <c r="C14" s="4325"/>
      <c r="D14" s="4213" t="s">
        <v>2910</v>
      </c>
      <c r="E14" s="4214"/>
      <c r="F14" s="4214"/>
      <c r="G14" s="4214"/>
      <c r="H14" s="4214"/>
      <c r="I14" s="4214"/>
      <c r="J14" s="4214"/>
      <c r="K14" s="4290" t="s">
        <v>9935</v>
      </c>
      <c r="L14" s="4290"/>
      <c r="M14" s="4290"/>
      <c r="N14" s="4214" t="s">
        <v>1508</v>
      </c>
      <c r="O14" s="4290" t="s">
        <v>2908</v>
      </c>
      <c r="P14" s="4290" t="s">
        <v>9085</v>
      </c>
      <c r="Q14" s="4214" t="s">
        <v>1372</v>
      </c>
      <c r="R14" s="4214"/>
      <c r="S14" s="4214"/>
      <c r="T14" s="4214"/>
      <c r="U14" s="4214"/>
      <c r="V14" s="4202" t="s">
        <v>1381</v>
      </c>
      <c r="W14" s="4185"/>
      <c r="X14" s="4202" t="s">
        <v>1506</v>
      </c>
      <c r="Y14" s="4287"/>
      <c r="Z14" s="4185" t="s">
        <v>1386</v>
      </c>
      <c r="AA14" s="4185"/>
      <c r="AB14" s="4202" t="s">
        <v>1391</v>
      </c>
      <c r="AC14" s="4287"/>
      <c r="AD14" s="4185" t="s">
        <v>1399</v>
      </c>
      <c r="AE14" s="4185"/>
      <c r="AF14" s="4202" t="s">
        <v>1400</v>
      </c>
      <c r="AG14" s="4186"/>
      <c r="AH14" s="2496"/>
      <c r="AI14" s="4328"/>
      <c r="AJ14" s="2785"/>
      <c r="AK14" s="2785"/>
      <c r="AL14" s="2785" t="s">
        <v>9910</v>
      </c>
      <c r="AM14" s="2785"/>
      <c r="AN14" s="2785"/>
      <c r="AO14" s="2785"/>
      <c r="AP14" s="2785"/>
      <c r="AQ14" s="2785"/>
      <c r="AR14" s="2787"/>
      <c r="AS14" s="2787" t="s">
        <v>9622</v>
      </c>
      <c r="AT14" s="2787" t="s">
        <v>9623</v>
      </c>
      <c r="AU14" s="2785" t="s">
        <v>9611</v>
      </c>
      <c r="AV14" s="2785" t="s">
        <v>9612</v>
      </c>
      <c r="AW14" s="2787" t="s">
        <v>1508</v>
      </c>
      <c r="AX14" s="2787" t="s">
        <v>9087</v>
      </c>
      <c r="AY14" s="2785" t="s">
        <v>9088</v>
      </c>
    </row>
    <row r="15" spans="1:51" ht="12" customHeight="1" x14ac:dyDescent="0.2">
      <c r="A15" s="2487"/>
      <c r="B15" s="2368">
        <v>1</v>
      </c>
      <c r="C15" s="4325"/>
      <c r="D15" s="4288"/>
      <c r="E15" s="4289"/>
      <c r="F15" s="4289"/>
      <c r="G15" s="4289"/>
      <c r="H15" s="4289"/>
      <c r="I15" s="4289"/>
      <c r="J15" s="4289"/>
      <c r="K15" s="4291"/>
      <c r="L15" s="4291"/>
      <c r="M15" s="4291"/>
      <c r="N15" s="4215"/>
      <c r="O15" s="4291"/>
      <c r="P15" s="4292"/>
      <c r="Q15" s="4215"/>
      <c r="R15" s="4215"/>
      <c r="S15" s="4215"/>
      <c r="T15" s="4215"/>
      <c r="U15" s="4215"/>
      <c r="V15" s="2373" t="s">
        <v>9601</v>
      </c>
      <c r="W15" s="2488" t="s">
        <v>2914</v>
      </c>
      <c r="X15" s="2373" t="s">
        <v>9601</v>
      </c>
      <c r="Y15" s="2488" t="s">
        <v>2914</v>
      </c>
      <c r="Z15" s="2373" t="s">
        <v>9601</v>
      </c>
      <c r="AA15" s="2488" t="s">
        <v>2914</v>
      </c>
      <c r="AB15" s="2373" t="s">
        <v>9601</v>
      </c>
      <c r="AC15" s="2488" t="s">
        <v>2914</v>
      </c>
      <c r="AD15" s="2373" t="s">
        <v>9601</v>
      </c>
      <c r="AE15" s="2488" t="s">
        <v>2914</v>
      </c>
      <c r="AF15" s="2373" t="s">
        <v>9601</v>
      </c>
      <c r="AG15" s="2195" t="s">
        <v>2914</v>
      </c>
      <c r="AH15" s="2496"/>
      <c r="AI15" s="4328"/>
      <c r="AJ15" s="2785"/>
      <c r="AK15" s="2785" t="s">
        <v>9603</v>
      </c>
      <c r="AL15" s="2785">
        <v>1</v>
      </c>
      <c r="AM15" s="2785">
        <v>2</v>
      </c>
      <c r="AN15" s="2785">
        <v>3</v>
      </c>
      <c r="AO15" s="2785">
        <v>4</v>
      </c>
      <c r="AP15" s="2785">
        <v>5</v>
      </c>
      <c r="AQ15" s="2785">
        <v>6</v>
      </c>
      <c r="AR15" s="2785">
        <v>7</v>
      </c>
      <c r="AS15" s="2787"/>
      <c r="AT15" s="2785" t="s">
        <v>9634</v>
      </c>
      <c r="AU15" s="2787"/>
      <c r="AV15" s="2787"/>
      <c r="AW15" s="2787" t="s">
        <v>9634</v>
      </c>
      <c r="AX15" s="2787"/>
      <c r="AY15" s="2785"/>
    </row>
    <row r="16" spans="1:51" ht="12" customHeight="1" x14ac:dyDescent="0.2">
      <c r="A16" s="2487"/>
      <c r="B16" s="2368">
        <v>1</v>
      </c>
      <c r="C16" s="4325"/>
      <c r="D16" s="4293" t="s">
        <v>9089</v>
      </c>
      <c r="E16" s="4294"/>
      <c r="F16" s="4295"/>
      <c r="G16" s="4296"/>
      <c r="H16" s="4296"/>
      <c r="I16" s="4296"/>
      <c r="J16" s="4240"/>
      <c r="K16" s="4297" t="s">
        <v>1464</v>
      </c>
      <c r="L16" s="4298"/>
      <c r="M16" s="4299"/>
      <c r="N16" s="2374">
        <f>IF(AW16&gt;0,IF(VLOOKUP(F16,'Tablas Técnicas'!$O$9:$X$88,10,0),MAX(5,AW16-5),AW16),0)</f>
        <v>0</v>
      </c>
      <c r="O16" s="2374" t="str">
        <f>AS16&amp;" / "&amp;AT16</f>
        <v>0 / 0</v>
      </c>
      <c r="P16" s="2374" t="str">
        <f t="array" ref="P16">W16+Y16+AA16+AC16+AE16+AG16&amp;" / "&amp;IF(K16&lt;&gt;"Mantenido",0,SUM(IF($AL16:$AR16='Tablas Técnicas'!$L$10:$L$643,'Tablas Técnicas'!$H$10:$H$643,0)))</f>
        <v>0 / 0</v>
      </c>
      <c r="Q16" s="4300" t="str">
        <f>IFERROR(VLOOKUP(F16,'Tablas Técnicas'!$O$9:$T$88,5,FALSE),"")</f>
        <v/>
      </c>
      <c r="R16" s="4300"/>
      <c r="S16" s="4300"/>
      <c r="T16" s="4300"/>
      <c r="U16" s="4300"/>
      <c r="V16" s="2324"/>
      <c r="W16" s="2325"/>
      <c r="X16" s="2324"/>
      <c r="Y16" s="2326"/>
      <c r="Z16" s="2327"/>
      <c r="AA16" s="2325"/>
      <c r="AB16" s="2324"/>
      <c r="AC16" s="2326"/>
      <c r="AD16" s="2327"/>
      <c r="AE16" s="2325"/>
      <c r="AF16" s="2324"/>
      <c r="AG16" s="2328"/>
      <c r="AH16" s="2496"/>
      <c r="AI16" s="4328"/>
      <c r="AJ16" s="2785">
        <v>1</v>
      </c>
      <c r="AK16" s="2785">
        <f>P12</f>
        <v>1</v>
      </c>
      <c r="AL16" s="2785" t="str">
        <f>IF(AND(ISNUMBER(MATCH($F16,'Tablas Técnicas'!$L$10:$L$643,0)),INDEX($D29:$D35,Tablas!A$1)="",COUNTIF(AM16:$AS16,$F16)=0),$F16,IF(INDEX($D29:$D35,Tablas!A$1)="","",$F16&amp;INDEX($D29:$D35,Tablas!A$1)))</f>
        <v/>
      </c>
      <c r="AM16" s="2785" t="str">
        <f>IF(AND(ISNUMBER(MATCH($F16,'Tablas Técnicas'!$L$10:$L$643,0)),INDEX($D29:$D35,Tablas!B$1)="",COUNTIF(AN16:$AS16,$F16)=0),$F16,IF(INDEX($D29:$D35,Tablas!B$1)="","",$F16&amp;INDEX($D29:$D35,Tablas!B$1)))</f>
        <v/>
      </c>
      <c r="AN16" s="2785" t="str">
        <f>IF(AND(ISNUMBER(MATCH($F16,'Tablas Técnicas'!$L$10:$L$643,0)),INDEX($D29:$D35,Tablas!C$1)="",COUNTIF(AO16:$AS16,$F16)=0),$F16,IF(INDEX($D29:$D35,Tablas!C$1)="","",$F16&amp;INDEX($D29:$D35,Tablas!C$1)))</f>
        <v/>
      </c>
      <c r="AO16" s="2785" t="str">
        <f>IF(AND(ISNUMBER(MATCH($F16,'Tablas Técnicas'!$L$10:$L$643,0)),INDEX($D29:$D35,Tablas!D$1)="",COUNTIF(AP16:$AS16,$F16)=0),$F16,IF(INDEX($D29:$D35,Tablas!D$1)="","",$F16&amp;INDEX($D29:$D35,Tablas!D$1)))</f>
        <v/>
      </c>
      <c r="AP16" s="2785" t="str">
        <f>IF(AND(ISNUMBER(MATCH($F16,'Tablas Técnicas'!$L$10:$L$643,0)),INDEX($D29:$D35,Tablas!E$1)="",COUNTIF(AQ16:$AS16,$F16)=0),$F16,IF(INDEX($D29:$D35,Tablas!E$1)="","",$F16&amp;INDEX($D29:$D35,Tablas!E$1)))</f>
        <v/>
      </c>
      <c r="AQ16" s="2785" t="str">
        <f>IF(AND(ISNUMBER(MATCH($F16,'Tablas Técnicas'!$L$10:$L$643,0)),INDEX($D29:$D35,Tablas!F$1)="",COUNTIF(AR16:$AS16,$F16)=0),$F16,IF(INDEX($D29:$D35,Tablas!F$1)="","",$F16&amp;INDEX($D29:$D35,Tablas!F$1)))</f>
        <v/>
      </c>
      <c r="AR16" s="2785" t="str">
        <f>IF(AND(ISNUMBER(MATCH($F16,'Tablas Técnicas'!$L$10:$L$643,0)),INDEX($D29:$D35,Tablas!G$1)="",COUNTIF(AS16:$AS16,$F16)=0),$F16,IF(INDEX($D29:$D35,Tablas!G$1)="","",$F16&amp;INDEX($D29:$D35,Tablas!G$1)))</f>
        <v/>
      </c>
      <c r="AS16" s="2787">
        <f>V16+X16+Z16+AB16+AD16+AF16</f>
        <v>0</v>
      </c>
      <c r="AT16" s="2787">
        <f t="array" ref="AT16">SUM(IF($AL16:$AR16='Tablas Técnicas'!$L$10:$L$643,IF(D16="Primario",'Tablas Técnicas'!$E$10:$E$643,'Tablas Técnicas'!$F$10:$F$643)+IF(K16="Sostenimiento menor",'Tablas Técnicas'!$I$10:$I$643,IF(K16="sostenimiento mayor",'Tablas Técnicas'!$J$10:$J$643,0)),0),0)+VALUE(RIGHT(P16,2))+AU16+AV16</f>
        <v>0</v>
      </c>
      <c r="AU16" s="2787">
        <f>IFERROR(IF(V16=0,0,VALUE(MID(Q16,SEARCH("AGI",Q16)+4,1))),0)+IFERROR(IF(X16=0,0,VALUE(MID(Q16,SEARCH("CON",Q16)+4,1))),0)+IFERROR(IF(Z16=0,0,VALUE(MID(Q16,SEARCH("DES",Q16)+4,1))),0)+IFERROR(IF(AB16=0,0,VALUE(MID(Q16,SEARCH("FUE",Q16)+4,1))),0)+IFERROR(IF(AD16=0,0,VALUE(MID(Q16,SEARCH("POD",Q16)+4,1))),0)+IFERROR(IF(AF16=0,0,VALUE(MID(Q16,SEARCH("VOL",Q16)+4,1))),0)</f>
        <v>0</v>
      </c>
      <c r="AV16" s="2787">
        <f>(COUNTIF(AL16:AR16,"*Estado añadido:*")-1)*COUNTIF(AL16:AR16,"*Estado añadido:*")</f>
        <v>0</v>
      </c>
      <c r="AW16" s="2787">
        <f t="array" ref="AW16">SUM(IF($AL16:$AR16='Tablas Técnicas'!$L$10:$L$643,'Tablas Técnicas'!$G$10:$G$643,0))</f>
        <v>0</v>
      </c>
      <c r="AX16" s="2785" t="str">
        <f>IF(F16="","",F16&amp;" ("&amp;IF(AL16="","",SUBSTITUTE(AL16,F16,"")&amp;", ")&amp;IF(AM16="","",SUBSTITUTE(AM16,F16,"")&amp;", ")&amp;IF(AN16="","",SUBSTITUTE(AN16,F16,"")&amp;", ")&amp;IF(AO16="","",SUBSTITUTE(AO16,F16,"")&amp;", ")&amp;IF(AP16="","",SUBSTITUTE(AP16,F16,"")&amp;", ")&amp;IF(AQ16="","",SUBSTITUTE(AQ16,F16,"")&amp;", ")&amp;IF(AR16="","",SUBSTITUTE(AR16,F16,"")&amp;", ")&amp;IF(OR(K16="",K16="-"),"",K16&amp;", "))</f>
        <v/>
      </c>
      <c r="AY16" s="2785" t="str">
        <f t="shared" ref="AY16:AY18" si="0">IFERROR(LEFT(AX16,LEN(AX16)-2)&amp;"), ","")</f>
        <v/>
      </c>
    </row>
    <row r="17" spans="1:51" ht="12" customHeight="1" x14ac:dyDescent="0.2">
      <c r="A17" s="2487"/>
      <c r="B17" s="2368">
        <v>1</v>
      </c>
      <c r="C17" s="4325"/>
      <c r="D17" s="4221" t="s">
        <v>526</v>
      </c>
      <c r="E17" s="4222"/>
      <c r="F17" s="4304"/>
      <c r="G17" s="4305"/>
      <c r="H17" s="4305"/>
      <c r="I17" s="4305"/>
      <c r="J17" s="4249"/>
      <c r="K17" s="4306" t="s">
        <v>1464</v>
      </c>
      <c r="L17" s="4307"/>
      <c r="M17" s="4308"/>
      <c r="N17" s="2192">
        <f>IF(AW17&gt;0,IF(VLOOKUP(F17,'Tablas Técnicas'!$O$9:$X$88,10,0),MAX(5,AW17-5),AW17),0)</f>
        <v>0</v>
      </c>
      <c r="O17" s="2192" t="str">
        <f>AS17&amp;" / "&amp;AT17</f>
        <v>0 / 0</v>
      </c>
      <c r="P17" s="2192" t="str">
        <f t="array" ref="P17">W17+Y17+AA17+AC17+AE17+AG17&amp;" / "&amp;IF(K17&lt;&gt;"Mantenido",0,SUM(IF($AL17:$AR17='Tablas Técnicas'!$L$10:$L$643,'Tablas Técnicas'!$H$10:$H$643,0)))</f>
        <v>0 / 0</v>
      </c>
      <c r="Q17" s="4223" t="str">
        <f>IFERROR(VLOOKUP(F17,'Tablas Técnicas'!$O$9:$T$88,5,FALSE),"")</f>
        <v/>
      </c>
      <c r="R17" s="4223"/>
      <c r="S17" s="4223"/>
      <c r="T17" s="4223"/>
      <c r="U17" s="4223"/>
      <c r="V17" s="2329"/>
      <c r="W17" s="2330"/>
      <c r="X17" s="2329"/>
      <c r="Y17" s="2331"/>
      <c r="Z17" s="2332"/>
      <c r="AA17" s="2330"/>
      <c r="AB17" s="2329"/>
      <c r="AC17" s="2331"/>
      <c r="AD17" s="2332"/>
      <c r="AE17" s="2330"/>
      <c r="AF17" s="2329"/>
      <c r="AG17" s="2333"/>
      <c r="AH17" s="2496"/>
      <c r="AI17" s="4328"/>
      <c r="AJ17" s="2785">
        <v>2</v>
      </c>
      <c r="AK17" s="2785">
        <f>P12</f>
        <v>1</v>
      </c>
      <c r="AL17" s="2785" t="str">
        <f>IF(AND(ISNUMBER(MATCH($F17,'Tablas Técnicas'!$L$10:$L$643,0)),INDEX($J29:$J35,Tablas!A$1)="",COUNTIF(AM17:$AS17,$F17)=0),$F17,IF(INDEX($J29:$J35,Tablas!A$1)="","",$F17&amp;INDEX($J29:$J35,Tablas!A$1)))</f>
        <v/>
      </c>
      <c r="AM17" s="2785" t="str">
        <f>IF(AND(ISNUMBER(MATCH($F17,'Tablas Técnicas'!$L$10:$L$643,0)),INDEX($J29:$J35,Tablas!B$1)="",COUNTIF(AN17:$AS17,$F17)=0),$F17,IF(INDEX($J29:$J35,Tablas!B$1)="","",$F17&amp;INDEX($J29:$J35,Tablas!B$1)))</f>
        <v/>
      </c>
      <c r="AN17" s="2785" t="str">
        <f>IF(AND(ISNUMBER(MATCH($F17,'Tablas Técnicas'!$L$10:$L$643,0)),INDEX($J29:$J35,Tablas!C$1)="",COUNTIF(AO17:$AS17,$F17)=0),$F17,IF(INDEX($J29:$J35,Tablas!C$1)="","",$F17&amp;INDEX($J29:$J35,Tablas!C$1)))</f>
        <v/>
      </c>
      <c r="AO17" s="2785" t="str">
        <f>IF(AND(ISNUMBER(MATCH($F17,'Tablas Técnicas'!$L$10:$L$643,0)),INDEX($J29:$J35,Tablas!D$1)="",COUNTIF(AP17:$AS17,$F17)=0),$F17,IF(INDEX($J29:$J35,Tablas!D$1)="","",$F17&amp;INDEX($J29:$J35,Tablas!D$1)))</f>
        <v/>
      </c>
      <c r="AP17" s="2785" t="str">
        <f>IF(AND(ISNUMBER(MATCH($F17,'Tablas Técnicas'!$L$10:$L$643,0)),INDEX($J29:$J35,Tablas!E$1)="",COUNTIF(AQ17:$AS17,$F17)=0),$F17,IF(INDEX($J29:$J35,Tablas!E$1)="","",$F17&amp;INDEX($J29:$J35,Tablas!E$1)))</f>
        <v/>
      </c>
      <c r="AQ17" s="2785" t="str">
        <f>IF(AND(ISNUMBER(MATCH($F17,'Tablas Técnicas'!$L$10:$L$643,0)),INDEX($J29:$J35,Tablas!F$1)="",COUNTIF(AR17:$AS17,$F17)=0),$F17,IF(INDEX($J29:$J35,Tablas!F$1)="","",$F17&amp;INDEX($J29:$J35,Tablas!F$1)))</f>
        <v/>
      </c>
      <c r="AR17" s="2785" t="str">
        <f>IF(AND(ISNUMBER(MATCH($F17,'Tablas Técnicas'!$L$10:$L$643,0)),INDEX($J29:$J35,Tablas!G$1)="",COUNTIF(AS17:$AS17,$F17)=0),$F17,IF(INDEX($J29:$J35,Tablas!G$1)="","",$F17&amp;INDEX($J29:$J35,Tablas!G$1)))</f>
        <v/>
      </c>
      <c r="AS17" s="2787">
        <f>V17+X17+Z17+AB17+AD17+AF17</f>
        <v>0</v>
      </c>
      <c r="AT17" s="2787">
        <f t="array" ref="AT17">SUM(IF($AL17:$AR17='Tablas Técnicas'!$L$10:$L$643,IF(D17="Primario",'Tablas Técnicas'!$E$10:$E$643,'Tablas Técnicas'!$F$10:$F$643)+IF(K17="Sostenimiento menor",'Tablas Técnicas'!$I$10:$I$643,IF(K17="sostenimiento mayor",'Tablas Técnicas'!$J$10:$J$643,0)),0),0)+VALUE(RIGHT(P17,2))+AU17+AV17</f>
        <v>0</v>
      </c>
      <c r="AU17" s="2787">
        <f>IFERROR(IF(V17=0,0,VALUE(MID(Q17,SEARCH("AGI",Q17)+4,1))),0)+IFERROR(IF(X17=0,0,VALUE(MID(Q17,SEARCH("CON",Q17)+4,1))),0)+IFERROR(IF(Z17=0,0,VALUE(MID(Q17,SEARCH("DES",Q17)+4,1))),0)+IFERROR(IF(AB17=0,0,VALUE(MID(Q17,SEARCH("FUE",Q17)+4,1))),0)+IFERROR(IF(AD17=0,0,VALUE(MID(Q17,SEARCH("POD",Q17)+4,1))),0)+IFERROR(IF(AF17=0,0,VALUE(MID(Q17,SEARCH("VOL",Q17)+4,1))),0)</f>
        <v>0</v>
      </c>
      <c r="AV17" s="2787">
        <f>(COUNTIF(AL17:AR17,"*Estado añadido:*")-1)*COUNTIF(AL17:AR17,"*Estado añadido:*")</f>
        <v>0</v>
      </c>
      <c r="AW17" s="2787">
        <f t="array" ref="AW17">SUM(IF($AL17:$AR17='Tablas Técnicas'!$L$10:$L$643,'Tablas Técnicas'!$G$10:$G$643,0))</f>
        <v>0</v>
      </c>
      <c r="AX17" s="278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5" t="str">
        <f t="shared" si="0"/>
        <v/>
      </c>
    </row>
    <row r="18" spans="1:51" ht="12" customHeight="1" x14ac:dyDescent="0.2">
      <c r="A18" s="2487"/>
      <c r="B18" s="2368">
        <v>1</v>
      </c>
      <c r="C18" s="4325"/>
      <c r="D18" s="4312" t="s">
        <v>526</v>
      </c>
      <c r="E18" s="4313"/>
      <c r="F18" s="4227"/>
      <c r="G18" s="4228"/>
      <c r="H18" s="4228"/>
      <c r="I18" s="4228"/>
      <c r="J18" s="4229"/>
      <c r="K18" s="4309" t="s">
        <v>1464</v>
      </c>
      <c r="L18" s="4310"/>
      <c r="M18" s="4311"/>
      <c r="N18" s="2188">
        <f>IF(AW18&gt;0,IF(VLOOKUP(F18,'Tablas Técnicas'!$O$9:$X$88,10,0),MAX(5,AW18-5),AW18),0)</f>
        <v>0</v>
      </c>
      <c r="O18" s="2188" t="str">
        <f>AS18&amp;" / "&amp;AT18</f>
        <v>0 / 0</v>
      </c>
      <c r="P18" s="2188" t="str">
        <f t="array" ref="P18">W18+Y18+AA18+AC18+AE18+AG18&amp;" / "&amp;IF(K18&lt;&gt;"Mantenido",0,SUM(IF($AL18:$AR18='Tablas Técnicas'!$L$10:$L$643,'Tablas Técnicas'!$H$10:$H$643,0)))</f>
        <v>0 / 0</v>
      </c>
      <c r="Q18" s="4314" t="str">
        <f>IFERROR(VLOOKUP(F18,'Tablas Técnicas'!$O$9:$T$88,5,FALSE),"")</f>
        <v/>
      </c>
      <c r="R18" s="4314"/>
      <c r="S18" s="4314"/>
      <c r="T18" s="4314"/>
      <c r="U18" s="4314"/>
      <c r="V18" s="2334"/>
      <c r="W18" s="2335"/>
      <c r="X18" s="2334"/>
      <c r="Y18" s="2336"/>
      <c r="Z18" s="2337"/>
      <c r="AA18" s="2335"/>
      <c r="AB18" s="2334"/>
      <c r="AC18" s="2336"/>
      <c r="AD18" s="2337"/>
      <c r="AE18" s="2335"/>
      <c r="AF18" s="2334"/>
      <c r="AG18" s="2338"/>
      <c r="AH18" s="2496"/>
      <c r="AI18" s="4328"/>
      <c r="AJ18" s="2785">
        <v>3</v>
      </c>
      <c r="AK18" s="2785">
        <f>P12</f>
        <v>1</v>
      </c>
      <c r="AL18" s="2785" t="str">
        <f>IF(AND(ISNUMBER(MATCH($F18,'Tablas Técnicas'!$L$10:$L$643,0)),INDEX($P29:$P35,Tablas!A$1)="",COUNTIF(AM18:$AS18,$F18)=0),$F18,IF(INDEX($P29:$P35,Tablas!A$1)="","",$F18&amp;INDEX($P29:$P35,Tablas!A$1)))</f>
        <v/>
      </c>
      <c r="AM18" s="2785" t="str">
        <f>IF(AND(ISNUMBER(MATCH($F18,'Tablas Técnicas'!$L$10:$L$643,0)),INDEX($P29:$P35,Tablas!B$1)="",COUNTIF(AN18:$AS18,$F18)=0),$F18,IF(INDEX($P29:$P35,Tablas!B$1)="","",$F18&amp;INDEX($P29:$P35,Tablas!B$1)))</f>
        <v/>
      </c>
      <c r="AN18" s="2785" t="str">
        <f>IF(AND(ISNUMBER(MATCH($F18,'Tablas Técnicas'!$L$10:$L$643,0)),INDEX($P29:$P35,Tablas!C$1)="",COUNTIF(AO18:$AS18,$F18)=0),$F18,IF(INDEX($P29:$P35,Tablas!C$1)="","",$F18&amp;INDEX($P29:$P35,Tablas!C$1)))</f>
        <v/>
      </c>
      <c r="AO18" s="2785" t="str">
        <f>IF(AND(ISNUMBER(MATCH($F18,'Tablas Técnicas'!$L$10:$L$643,0)),INDEX($P29:$P35,Tablas!D$1)="",COUNTIF(AP18:$AS18,$F18)=0),$F18,IF(INDEX($P29:$P35,Tablas!D$1)="","",$F18&amp;INDEX($P29:$P35,Tablas!D$1)))</f>
        <v/>
      </c>
      <c r="AP18" s="2785" t="str">
        <f>IF(AND(ISNUMBER(MATCH($F18,'Tablas Técnicas'!$L$10:$L$643,0)),INDEX($P29:$P35,Tablas!E$1)="",COUNTIF(AQ18:$AS18,$F18)=0),$F18,IF(INDEX($P29:$P35,Tablas!E$1)="","",$F18&amp;INDEX($P29:$P35,Tablas!E$1)))</f>
        <v/>
      </c>
      <c r="AQ18" s="2785" t="str">
        <f>IF(AND(ISNUMBER(MATCH($F18,'Tablas Técnicas'!$L$10:$L$643,0)),INDEX($P29:$P35,Tablas!F$1)="",COUNTIF(AR18:$AS18,$F18)=0),$F18,IF(INDEX($P29:$P35,Tablas!F$1)="","",$F18&amp;INDEX($P29:$P35,Tablas!F$1)))</f>
        <v/>
      </c>
      <c r="AR18" s="2785" t="str">
        <f>IF(AND(ISNUMBER(MATCH($F18,'Tablas Técnicas'!$L$10:$L$643,0)),INDEX($P29:$P35,Tablas!G$1)="",COUNTIF(AS18:$AS18,$F18)=0),$F18,IF(INDEX($P29:$P35,Tablas!G$1)="","",$F18&amp;INDEX($P29:$P35,Tablas!G$1)))</f>
        <v/>
      </c>
      <c r="AS18" s="2787">
        <f>V18+X18+Z18+AB18+AD18+AF18</f>
        <v>0</v>
      </c>
      <c r="AT18" s="2787">
        <f t="array" ref="AT18">SUM(IF($AL18:$AR18='Tablas Técnicas'!$L$10:$L$643,IF(D18="Primario",'Tablas Técnicas'!$E$10:$E$643,'Tablas Técnicas'!$F$10:$F$643)+IF(K18="Sostenimiento menor",'Tablas Técnicas'!$I$10:$I$643,IF(K18="sostenimiento mayor",'Tablas Técnicas'!$J$10:$J$643,0)),0),0)+VALUE(RIGHT(P18,2))+AU18+AV18</f>
        <v>0</v>
      </c>
      <c r="AU18" s="2787">
        <f>IFERROR(IF(V18=0,0,VALUE(MID(Q18,SEARCH("AGI",Q18)+4,1))),0)+IFERROR(IF(X18=0,0,VALUE(MID(Q18,SEARCH("CON",Q18)+4,1))),0)+IFERROR(IF(Z18=0,0,VALUE(MID(Q18,SEARCH("DES",Q18)+4,1))),0)+IFERROR(IF(AB18=0,0,VALUE(MID(Q18,SEARCH("FUE",Q18)+4,1))),0)+IFERROR(IF(AD18=0,0,VALUE(MID(Q18,SEARCH("POD",Q18)+4,1))),0)+IFERROR(IF(AF18=0,0,VALUE(MID(Q18,SEARCH("VOL",Q18)+4,1))),0)</f>
        <v>0</v>
      </c>
      <c r="AV18" s="2787">
        <f>(COUNTIF(AL18:AR18,"*Estado añadido:*")-1)*COUNTIF(AL18:AR18,"*Estado añadido:*")</f>
        <v>0</v>
      </c>
      <c r="AW18" s="2787">
        <f t="array" ref="AW18">SUM(IF($AL18:$AR18='Tablas Técnicas'!$L$10:$L$643,'Tablas Técnicas'!$G$10:$G$643,0))</f>
        <v>0</v>
      </c>
      <c r="AX18" s="2785" t="str">
        <f t="shared" si="1"/>
        <v/>
      </c>
      <c r="AY18" s="2785" t="str">
        <f t="shared" si="0"/>
        <v/>
      </c>
    </row>
    <row r="19" spans="1:51" ht="12" customHeight="1" x14ac:dyDescent="0.2">
      <c r="A19" s="2487"/>
      <c r="B19" s="2368">
        <v>1</v>
      </c>
      <c r="C19" s="4325"/>
      <c r="D19" s="4221" t="s">
        <v>526</v>
      </c>
      <c r="E19" s="4222"/>
      <c r="F19" s="4304"/>
      <c r="G19" s="4305"/>
      <c r="H19" s="4305"/>
      <c r="I19" s="4305"/>
      <c r="J19" s="4249"/>
      <c r="K19" s="4306" t="s">
        <v>1464</v>
      </c>
      <c r="L19" s="4307"/>
      <c r="M19" s="4308"/>
      <c r="N19" s="2192">
        <f>IF(AW19&gt;0,IF(VLOOKUP(F19,'Tablas Técnicas'!$O$9:$X$88,10,0),MAX(5,AW19-5),AW19),0)</f>
        <v>0</v>
      </c>
      <c r="O19" s="2192" t="str">
        <f>AS19&amp;" / "&amp;AT19</f>
        <v>0 / 0</v>
      </c>
      <c r="P19" s="2192" t="str">
        <f t="array" ref="P19">W19+Y19+AA19+AC19+AE19+AG19&amp;" / "&amp;IF(K19&lt;&gt;"Mantenido",0,SUM(IF($AL19:$AR19='Tablas Técnicas'!$L$10:$L$643,'Tablas Técnicas'!$H$10:$H$643,0)))</f>
        <v>0 / 0</v>
      </c>
      <c r="Q19" s="4223" t="str">
        <f>IFERROR(VLOOKUP(F19,'Tablas Técnicas'!$O$9:$T$88,5,FALSE),"")</f>
        <v/>
      </c>
      <c r="R19" s="4223"/>
      <c r="S19" s="4223"/>
      <c r="T19" s="4223"/>
      <c r="U19" s="4223"/>
      <c r="V19" s="2329"/>
      <c r="W19" s="2330"/>
      <c r="X19" s="2329"/>
      <c r="Y19" s="2331"/>
      <c r="Z19" s="2332"/>
      <c r="AA19" s="2330"/>
      <c r="AB19" s="2329"/>
      <c r="AC19" s="2331"/>
      <c r="AD19" s="2332"/>
      <c r="AE19" s="2330"/>
      <c r="AF19" s="2329"/>
      <c r="AG19" s="2333"/>
      <c r="AH19" s="2496"/>
      <c r="AI19" s="4328"/>
      <c r="AJ19" s="2785">
        <v>4</v>
      </c>
      <c r="AK19" s="2785">
        <f>P12</f>
        <v>1</v>
      </c>
      <c r="AL19" s="2785" t="str">
        <f>IF(AND(ISNUMBER(MATCH($F19,'Tablas Técnicas'!$L$10:$L$643,0)),INDEX($V29:$V35,Tablas!A$1)="",COUNTIF(AM19:$AS19,$F19)=0),$F19,IF(INDEX($V29:$V35,Tablas!A$1)="","",$F19&amp;INDEX($V29:$V35,Tablas!A$1)))</f>
        <v/>
      </c>
      <c r="AM19" s="2785" t="str">
        <f>IF(AND(ISNUMBER(MATCH($F19,'Tablas Técnicas'!$L$10:$L$643,0)),INDEX($V29:$V35,Tablas!B$1)="",COUNTIF(AN19:$AS19,$F19)=0),$F19,IF(INDEX($V29:$V35,Tablas!B$1)="","",$F19&amp;INDEX($V29:$V35,Tablas!B$1)))</f>
        <v/>
      </c>
      <c r="AN19" s="2785" t="str">
        <f>IF(AND(ISNUMBER(MATCH($F19,'Tablas Técnicas'!$L$10:$L$643,0)),INDEX($V29:$V35,Tablas!C$1)="",COUNTIF(AO19:$AS19,$F19)=0),$F19,IF(INDEX($V29:$V35,Tablas!C$1)="","",$F19&amp;INDEX($V29:$V35,Tablas!C$1)))</f>
        <v/>
      </c>
      <c r="AO19" s="2785" t="str">
        <f>IF(AND(ISNUMBER(MATCH($F19,'Tablas Técnicas'!$L$10:$L$643,0)),INDEX($V29:$V35,Tablas!D$1)="",COUNTIF(AP19:$AS19,$F19)=0),$F19,IF(INDEX($V29:$V35,Tablas!D$1)="","",$F19&amp;INDEX($V29:$V35,Tablas!D$1)))</f>
        <v/>
      </c>
      <c r="AP19" s="2785" t="str">
        <f>IF(AND(ISNUMBER(MATCH($F19,'Tablas Técnicas'!$L$10:$L$643,0)),INDEX($V29:$V35,Tablas!E$1)="",COUNTIF(AQ19:$AS19,$F19)=0),$F19,IF(INDEX($V29:$V35,Tablas!E$1)="","",$F19&amp;INDEX($V29:$V35,Tablas!E$1)))</f>
        <v/>
      </c>
      <c r="AQ19" s="2785" t="str">
        <f>IF(AND(ISNUMBER(MATCH($F19,'Tablas Técnicas'!$L$10:$L$643,0)),INDEX($V29:$V35,Tablas!F$1)="",COUNTIF(AR19:$AS19,$F19)=0),$F19,IF(INDEX($V29:$V35,Tablas!F$1)="","",$F19&amp;INDEX($V29:$V35,Tablas!F$1)))</f>
        <v/>
      </c>
      <c r="AR19" s="2785" t="str">
        <f>IF(AND(ISNUMBER(MATCH($F19,'Tablas Técnicas'!$L$10:$L$643,0)),INDEX($V29:$V35,Tablas!G$1)="",COUNTIF(AS19:$AS19,$F19)=0),$F19,IF(INDEX($V29:$V35,Tablas!G$1)="","",$F19&amp;INDEX($V29:$V35,Tablas!G$1)))</f>
        <v/>
      </c>
      <c r="AS19" s="2787">
        <f>V19+X19+Z19+AB19+AD19+AF19</f>
        <v>0</v>
      </c>
      <c r="AT19" s="2787">
        <f t="array" ref="AT19">SUM(IF($AL19:$AR19='Tablas Técnicas'!$L$10:$L$643,IF(D19="Primario",'Tablas Técnicas'!$E$10:$E$643,'Tablas Técnicas'!$F$10:$F$643)+IF(K19="Sostenimiento menor",'Tablas Técnicas'!$I$10:$I$643,IF(K19="sostenimiento mayor",'Tablas Técnicas'!$J$10:$J$643,0)),0),0)+VALUE(RIGHT(P19,2))+AU19+AV19</f>
        <v>0</v>
      </c>
      <c r="AU19" s="2787">
        <f>IFERROR(IF(V19=0,0,VALUE(MID(Q19,SEARCH("AGI",Q19)+4,1))),0)+IFERROR(IF(X19=0,0,VALUE(MID(Q19,SEARCH("CON",Q19)+4,1))),0)+IFERROR(IF(Z19=0,0,VALUE(MID(Q19,SEARCH("DES",Q19)+4,1))),0)+IFERROR(IF(AB19=0,0,VALUE(MID(Q19,SEARCH("FUE",Q19)+4,1))),0)+IFERROR(IF(AD19=0,0,VALUE(MID(Q19,SEARCH("POD",Q19)+4,1))),0)+IFERROR(IF(AF19=0,0,VALUE(MID(Q19,SEARCH("VOL",Q19)+4,1))),0)</f>
        <v>0</v>
      </c>
      <c r="AV19" s="2787">
        <f>(COUNTIF(AL19:AR19,"*Estado añadido:*")-1)*COUNTIF(AL19:AR19,"*Estado añadido:*")</f>
        <v>0</v>
      </c>
      <c r="AW19" s="2787">
        <f t="array" ref="AW19">SUM(IF($AL19:$AR19='Tablas Técnicas'!$L$10:$L$643,'Tablas Técnicas'!$G$10:$G$643,0))</f>
        <v>0</v>
      </c>
      <c r="AX19" s="2785" t="str">
        <f t="shared" si="1"/>
        <v/>
      </c>
      <c r="AY19" s="2785" t="str">
        <f>IFERROR(LEFT(AX19,LEN(AX19)-2)&amp;"), ","")</f>
        <v/>
      </c>
    </row>
    <row r="20" spans="1:51" ht="12" customHeight="1" thickBot="1" x14ac:dyDescent="0.25">
      <c r="A20" s="2487"/>
      <c r="B20" s="2368">
        <v>1</v>
      </c>
      <c r="C20" s="4325"/>
      <c r="D20" s="4224" t="s">
        <v>526</v>
      </c>
      <c r="E20" s="4225"/>
      <c r="F20" s="4315"/>
      <c r="G20" s="4316"/>
      <c r="H20" s="4316"/>
      <c r="I20" s="4316"/>
      <c r="J20" s="4317"/>
      <c r="K20" s="4301" t="s">
        <v>1464</v>
      </c>
      <c r="L20" s="4302"/>
      <c r="M20" s="4303"/>
      <c r="N20" s="2489">
        <f>IF(AW20&gt;0,IF(VLOOKUP(F20,'Tablas Técnicas'!$O$9:$X$88,10,0),MAX(5,AW20-5),AW20),0)</f>
        <v>0</v>
      </c>
      <c r="O20" s="2489" t="str">
        <f>AS20&amp;" / "&amp;AT20</f>
        <v>0 / 0</v>
      </c>
      <c r="P20" s="2489" t="str">
        <f t="array" ref="P20">W20+Y20+AA20+AC20+AE20+AG20&amp;" / "&amp;IF(K20&lt;&gt;"Mantenido",0,SUM(IF($AL20:$AR20='Tablas Técnicas'!$L$10:$L$643,'Tablas Técnicas'!$H$10:$H$643,0)))</f>
        <v>0 / 0</v>
      </c>
      <c r="Q20" s="4226" t="str">
        <f>IFERROR(VLOOKUP(F20,'Tablas Técnicas'!$O$9:$T$88,5,FALSE),"")</f>
        <v/>
      </c>
      <c r="R20" s="4226"/>
      <c r="S20" s="4226"/>
      <c r="T20" s="4226"/>
      <c r="U20" s="4226"/>
      <c r="V20" s="2339"/>
      <c r="W20" s="2340"/>
      <c r="X20" s="2339"/>
      <c r="Y20" s="2341"/>
      <c r="Z20" s="2342"/>
      <c r="AA20" s="2340"/>
      <c r="AB20" s="2339"/>
      <c r="AC20" s="2341"/>
      <c r="AD20" s="2342"/>
      <c r="AE20" s="2340"/>
      <c r="AF20" s="2339"/>
      <c r="AG20" s="2343"/>
      <c r="AH20" s="2496"/>
      <c r="AI20" s="4328"/>
      <c r="AJ20" s="2785">
        <v>5</v>
      </c>
      <c r="AK20" s="2785">
        <f>P12</f>
        <v>1</v>
      </c>
      <c r="AL20" s="2785" t="str">
        <f>IF(AND(ISNUMBER(MATCH($F20,'Tablas Técnicas'!$L$10:$L$643,0)),INDEX($AB29:$AB35,Tablas!A$1)="",COUNTIF(AM20:$AS20,$F20)=0),$F20,IF(INDEX($AB29:$AB35,Tablas!A$1)="","",$F20&amp;INDEX($AB29:$AB35,Tablas!A$1)))</f>
        <v/>
      </c>
      <c r="AM20" s="2785" t="str">
        <f>IF(AND(ISNUMBER(MATCH($F20,'Tablas Técnicas'!$L$10:$L$643,0)),INDEX($AB29:$AB35,Tablas!B$1)="",COUNTIF(AN20:$AS20,$F20)=0),$F20,IF(INDEX($AB29:$AB35,Tablas!B$1)="","",$F20&amp;INDEX($AB29:$AB35,Tablas!B$1)))</f>
        <v/>
      </c>
      <c r="AN20" s="2785" t="str">
        <f>IF(AND(ISNUMBER(MATCH($F20,'Tablas Técnicas'!$L$10:$L$643,0)),INDEX($AB29:$AB35,Tablas!C$1)="",COUNTIF(AO20:$AS20,$F20)=0),$F20,IF(INDEX($AB29:$AB35,Tablas!C$1)="","",$F20&amp;INDEX($AB29:$AB35,Tablas!C$1)))</f>
        <v/>
      </c>
      <c r="AO20" s="2785" t="str">
        <f>IF(AND(ISNUMBER(MATCH($F20,'Tablas Técnicas'!$L$10:$L$643,0)),INDEX($AB29:$AB35,Tablas!D$1)="",COUNTIF(AP20:$AS20,$F20)=0),$F20,IF(INDEX($AB29:$AB35,Tablas!D$1)="","",$F20&amp;INDEX($AB29:$AB35,Tablas!D$1)))</f>
        <v/>
      </c>
      <c r="AP20" s="2785" t="str">
        <f>IF(AND(ISNUMBER(MATCH($F20,'Tablas Técnicas'!$L$10:$L$643,0)),INDEX($AB29:$AB35,Tablas!E$1)="",COUNTIF(AQ20:$AS20,$F20)=0),$F20,IF(INDEX($AB29:$AB35,Tablas!E$1)="","",$F20&amp;INDEX($AB29:$AB35,Tablas!E$1)))</f>
        <v/>
      </c>
      <c r="AQ20" s="2785" t="str">
        <f>IF(AND(ISNUMBER(MATCH($F20,'Tablas Técnicas'!$L$10:$L$643,0)),INDEX($AB29:$AB35,Tablas!F$1)="",COUNTIF(AR20:$AS20,$F20)=0),$F20,IF(INDEX($AB29:$AB35,Tablas!F$1)="","",$F20&amp;INDEX($AB29:$AB35,Tablas!F$1)))</f>
        <v/>
      </c>
      <c r="AR20" s="2785" t="str">
        <f>IF(AND(ISNUMBER(MATCH($F20,'Tablas Técnicas'!$L$10:$L$643,0)),INDEX($AB29:$AB35,Tablas!G$1)="",COUNTIF(AS20:$AS20,$F20)=0),$F20,IF(INDEX($AB29:$AB35,Tablas!G$1)="","",$F20&amp;INDEX($AB29:$AB35,Tablas!G$1)))</f>
        <v/>
      </c>
      <c r="AS20" s="2787">
        <f>V20+X20+Z20+AB20+AD20+AF20</f>
        <v>0</v>
      </c>
      <c r="AT20" s="2787">
        <f t="array" ref="AT20">SUM(IF($AL20:$AR20='Tablas Técnicas'!$L$10:$L$643,IF(D20="Primario",'Tablas Técnicas'!$E$10:$E$643,'Tablas Técnicas'!$F$10:$F$643)+IF(K20="Sostenimiento menor",'Tablas Técnicas'!$I$10:$I$643,IF(K20="sostenimiento mayor",'Tablas Técnicas'!$J$10:$J$643,0)),0),0)+VALUE(RIGHT(P20,2))+AU20+AV20</f>
        <v>0</v>
      </c>
      <c r="AU20" s="2787">
        <f>IFERROR(IF(V20=0,0,VALUE(MID(Q20,SEARCH("AGI",Q20)+4,1))),0)+IFERROR(IF(X20=0,0,VALUE(MID(Q20,SEARCH("CON",Q20)+4,1))),0)+IFERROR(IF(Z20=0,0,VALUE(MID(Q20,SEARCH("DES",Q20)+4,1))),0)+IFERROR(IF(AB20=0,0,VALUE(MID(Q20,SEARCH("FUE",Q20)+4,1))),0)+IFERROR(IF(AD20=0,0,VALUE(MID(Q20,SEARCH("POD",Q20)+4,1))),0)+IFERROR(IF(AF20=0,0,VALUE(MID(Q20,SEARCH("VOL",Q20)+4,1))),0)</f>
        <v>0</v>
      </c>
      <c r="AV20" s="2787">
        <f>(COUNTIF(AL20:AR20,"*Estado añadido:*")-1)*COUNTIF(AL20:AR20,"*Estado añadido:*")</f>
        <v>0</v>
      </c>
      <c r="AW20" s="2787">
        <f t="array" ref="AW20">SUM(IF($AL20:$AR20='Tablas Técnicas'!$L$10:$L$643,'Tablas Técnicas'!$G$10:$G$643,0))</f>
        <v>0</v>
      </c>
      <c r="AX20" s="2785" t="str">
        <f t="shared" si="1"/>
        <v/>
      </c>
      <c r="AY20" s="2785" t="str">
        <f t="shared" ref="AY20" si="2">IFERROR(LEFT(AX20,LEN(AX20)-2)&amp;"), ","")</f>
        <v/>
      </c>
    </row>
    <row r="21" spans="1:51" ht="12" customHeight="1" x14ac:dyDescent="0.2">
      <c r="A21" s="2487"/>
      <c r="B21" s="2368">
        <v>1</v>
      </c>
      <c r="C21" s="4325"/>
      <c r="D21" s="4274" t="s">
        <v>2905</v>
      </c>
      <c r="E21" s="4275"/>
      <c r="F21" s="4264"/>
      <c r="G21" s="4265"/>
      <c r="H21" s="4265"/>
      <c r="I21" s="4265"/>
      <c r="J21" s="4266"/>
      <c r="K21" s="4240"/>
      <c r="L21" s="4241"/>
      <c r="M21" s="4242"/>
      <c r="N21" s="2196" t="str">
        <f>IFERROR(INDEX('Tablas Técnicas'!$Q$200:$Q$299,MATCH(F21&amp;K21,'Tablas Técnicas'!$S$200:$S$299,0)),"")</f>
        <v/>
      </c>
      <c r="O21" s="4243"/>
      <c r="P21" s="4244"/>
      <c r="Q21" s="4245"/>
      <c r="R21" s="4244"/>
      <c r="S21" s="2374" t="str">
        <f>IFERROR("Nivel: "&amp;MAX(1,INDEX('Tablas Técnicas'!$R$200:$R$299,MATCH(F21&amp;K21,'Tablas Técnicas'!$S$200:$S$299,0))),"")</f>
        <v/>
      </c>
      <c r="T21" s="2197"/>
      <c r="U21" s="2198" t="str">
        <f>IFERROR("("&amp;VLOOKUP(F21,'Tablas Técnicas'!$V$199:$X$225,3,FALSE)&amp;")","")</f>
        <v/>
      </c>
      <c r="V21" s="4187" t="s">
        <v>9924</v>
      </c>
      <c r="W21" s="4188"/>
      <c r="X21" s="4189"/>
      <c r="Y21" s="2666">
        <v>0</v>
      </c>
      <c r="Z21" s="4190" t="s">
        <v>9094</v>
      </c>
      <c r="AA21" s="4191"/>
      <c r="AB21" s="4192"/>
      <c r="AC21" s="2666">
        <v>0</v>
      </c>
      <c r="AD21" s="4193" t="str">
        <f>"Ki sin repartir: "&amp;AL29-AL30&amp;IF(AM29=0,""," ("&amp;AM29-AM30&amp;")")</f>
        <v>Ki sin repartir: 0</v>
      </c>
      <c r="AE21" s="4194"/>
      <c r="AF21" s="4194"/>
      <c r="AG21" s="4195"/>
      <c r="AH21" s="2496"/>
      <c r="AI21" s="4328"/>
      <c r="AJ21" s="2785">
        <v>1</v>
      </c>
      <c r="AK21" s="2785">
        <f>P12</f>
        <v>1</v>
      </c>
      <c r="AL21" s="2785" t="e">
        <f>VLOOKUP(F21,'Tablas Técnicas'!$V$199:$X$221,2,FALSE)</f>
        <v>#N/A</v>
      </c>
      <c r="AM21" s="2785"/>
      <c r="AN21" s="2786"/>
      <c r="AO21" s="2785"/>
      <c r="AP21" s="2785"/>
      <c r="AQ21" s="2786"/>
      <c r="AR21" s="2785"/>
      <c r="AS21" s="2785"/>
      <c r="AT21" s="2785"/>
      <c r="AU21" s="2785"/>
      <c r="AV21" s="2785"/>
      <c r="AW21" s="2787"/>
      <c r="AX21" s="2787"/>
      <c r="AY21" s="2785" t="str">
        <f>IF(F21="","",F21&amp;IF(K21="",""," ("&amp;IF(F21="Atadura Elemental",O21&amp;IF(Q21="","",", "&amp;Q21),K21)&amp;")")&amp;", ")</f>
        <v/>
      </c>
    </row>
    <row r="22" spans="1:51" ht="12" customHeight="1" x14ac:dyDescent="0.2">
      <c r="A22" s="2487"/>
      <c r="B22" s="2368">
        <v>1</v>
      </c>
      <c r="C22" s="4325"/>
      <c r="D22" s="4276"/>
      <c r="E22" s="4277"/>
      <c r="F22" s="4246"/>
      <c r="G22" s="4247"/>
      <c r="H22" s="4247"/>
      <c r="I22" s="4247"/>
      <c r="J22" s="4248"/>
      <c r="K22" s="4249"/>
      <c r="L22" s="4250"/>
      <c r="M22" s="4251"/>
      <c r="N22" s="2199" t="str">
        <f>IFERROR(INDEX('Tablas Técnicas'!$Q$200:$Q$299,MATCH(F22&amp;K22,'Tablas Técnicas'!$S$200:$S$299,0)),"")</f>
        <v/>
      </c>
      <c r="O22" s="4252"/>
      <c r="P22" s="4253"/>
      <c r="Q22" s="4254"/>
      <c r="R22" s="4253"/>
      <c r="S22" s="2192" t="str">
        <f>IFERROR("Nivel: "&amp;MAX(1,INDEX('Tablas Técnicas'!$R$200:$R$299,MATCH(F22&amp;K22,'Tablas Técnicas'!$S$200:$S$299,0))),"")</f>
        <v/>
      </c>
      <c r="T22" s="2302"/>
      <c r="U22" s="2191" t="str">
        <f>IFERROR("("&amp;VLOOKUP(F22,'Tablas Técnicas'!$V$199:$X$225,3,FALSE)&amp;")","")</f>
        <v/>
      </c>
      <c r="V22" s="4184" t="str">
        <f>"Mod. "&amp;V14</f>
        <v>Mod. AGI</v>
      </c>
      <c r="W22" s="4185"/>
      <c r="X22" s="4184" t="str">
        <f t="shared" ref="X22" si="3">"Mod. "&amp;X14</f>
        <v>Mod. CON</v>
      </c>
      <c r="Y22" s="4185"/>
      <c r="Z22" s="4184" t="str">
        <f t="shared" ref="Z22" si="4">"Mod. "&amp;Z14</f>
        <v>Mod. DES</v>
      </c>
      <c r="AA22" s="4185"/>
      <c r="AB22" s="4184" t="str">
        <f t="shared" ref="AB22" si="5">"Mod. "&amp;AB14</f>
        <v>Mod. FUE</v>
      </c>
      <c r="AC22" s="4185"/>
      <c r="AD22" s="4184" t="str">
        <f t="shared" ref="AD22" si="6">"Mod. "&amp;AD14</f>
        <v>Mod. POD</v>
      </c>
      <c r="AE22" s="4185"/>
      <c r="AF22" s="4184" t="str">
        <f t="shared" ref="AF22" si="7">"Mod. "&amp;AF14</f>
        <v>Mod. VOL</v>
      </c>
      <c r="AG22" s="4186"/>
      <c r="AH22" s="2496"/>
      <c r="AI22" s="4328"/>
      <c r="AJ22" s="2785">
        <v>2</v>
      </c>
      <c r="AK22" s="2785">
        <f>P12</f>
        <v>1</v>
      </c>
      <c r="AL22" s="2785" t="e">
        <f>VLOOKUP(F22,'Tablas Técnicas'!$V$199:$X$221,2,FALSE)</f>
        <v>#N/A</v>
      </c>
      <c r="AM22" s="2785"/>
      <c r="AN22" s="2786"/>
      <c r="AO22" s="2785"/>
      <c r="AP22" s="2785"/>
      <c r="AQ22" s="2786"/>
      <c r="AR22" s="2785"/>
      <c r="AS22" s="2785"/>
      <c r="AT22" s="2785"/>
      <c r="AU22" s="2785"/>
      <c r="AV22" s="2785"/>
      <c r="AW22" s="2787"/>
      <c r="AX22" s="2787"/>
      <c r="AY22" s="2785" t="str">
        <f>IF(F22="","",F22&amp;IF(K22="",""," ("&amp;IF(F22="Atadura Elemental",O22&amp;IF(Q22="","",", "&amp;Q22),K22)&amp;")")&amp;", ")</f>
        <v/>
      </c>
    </row>
    <row r="23" spans="1:51" ht="12" customHeight="1" thickBot="1" x14ac:dyDescent="0.25">
      <c r="A23" s="2487"/>
      <c r="B23" s="2368">
        <v>1</v>
      </c>
      <c r="C23" s="4325"/>
      <c r="D23" s="4278"/>
      <c r="E23" s="4279"/>
      <c r="F23" s="4255"/>
      <c r="G23" s="4256"/>
      <c r="H23" s="4256"/>
      <c r="I23" s="4256"/>
      <c r="J23" s="4257"/>
      <c r="K23" s="4258"/>
      <c r="L23" s="4259"/>
      <c r="M23" s="4260"/>
      <c r="N23" s="2200" t="str">
        <f>IFERROR(INDEX('Tablas Técnicas'!$Q$200:$Q$299,MATCH(F23&amp;K23,'Tablas Técnicas'!$S$200:$S$299,0)),"")</f>
        <v/>
      </c>
      <c r="O23" s="4261"/>
      <c r="P23" s="4262"/>
      <c r="Q23" s="4263"/>
      <c r="R23" s="4262"/>
      <c r="S23" s="2489" t="str">
        <f>IFERROR("Nivel: "&amp;MAX(1,INDEX('Tablas Técnicas'!$R$200:$R$299,MATCH(F23&amp;K23,'Tablas Técnicas'!$S$200:$S$299,0))),"")</f>
        <v/>
      </c>
      <c r="T23" s="2490"/>
      <c r="U23" s="2303" t="str">
        <f>IFERROR("("&amp;VLOOKUP(F23,'Tablas Técnicas'!$V$199:$X$225,3,FALSE)&amp;")","")</f>
        <v/>
      </c>
      <c r="V23" s="4199"/>
      <c r="W23" s="4198"/>
      <c r="X23" s="4198"/>
      <c r="Y23" s="4198"/>
      <c r="Z23" s="4198"/>
      <c r="AA23" s="4198"/>
      <c r="AB23" s="4198"/>
      <c r="AC23" s="4198"/>
      <c r="AD23" s="4198"/>
      <c r="AE23" s="4198"/>
      <c r="AF23" s="4198"/>
      <c r="AG23" s="4267"/>
      <c r="AH23" s="2496"/>
      <c r="AI23" s="4328"/>
      <c r="AJ23" s="2785">
        <v>3</v>
      </c>
      <c r="AK23" s="2785">
        <f>P12</f>
        <v>1</v>
      </c>
      <c r="AL23" s="2785" t="e">
        <f>VLOOKUP(F23,'Tablas Técnicas'!$V$199:$X$221,2,FALSE)</f>
        <v>#N/A</v>
      </c>
      <c r="AM23" s="2785"/>
      <c r="AN23" s="2786"/>
      <c r="AO23" s="2785"/>
      <c r="AP23" s="2785"/>
      <c r="AQ23" s="2786"/>
      <c r="AR23" s="2787"/>
      <c r="AS23" s="2787"/>
      <c r="AT23" s="2787"/>
      <c r="AU23" s="2787"/>
      <c r="AV23" s="2787"/>
      <c r="AW23" s="2787"/>
      <c r="AX23" s="2787"/>
      <c r="AY23" s="2785" t="str">
        <f>IF(F23="","",F23&amp;IF(K23="",""," ("&amp;IF(F23="Atadura Elemental",O23&amp;IF(Q23="","",", "&amp;Q23),K23)&amp;")")&amp;", ")</f>
        <v/>
      </c>
    </row>
    <row r="24" spans="1:51" ht="12" customHeight="1" x14ac:dyDescent="0.2">
      <c r="A24" s="2487"/>
      <c r="B24" s="2368">
        <v>1</v>
      </c>
      <c r="C24" s="4325"/>
      <c r="D24" s="4213" t="s">
        <v>9596</v>
      </c>
      <c r="E24" s="4214"/>
      <c r="F24" s="4214"/>
      <c r="G24" s="4214"/>
      <c r="H24" s="4214"/>
      <c r="I24" s="4214"/>
      <c r="J24" s="4214"/>
      <c r="K24" s="4214"/>
      <c r="L24" s="4214"/>
      <c r="M24" s="4214"/>
      <c r="N24" s="4214"/>
      <c r="O24" s="4214"/>
      <c r="P24" s="4214"/>
      <c r="Q24" s="4214"/>
      <c r="R24" s="4214"/>
      <c r="S24" s="4214"/>
      <c r="T24" s="4214"/>
      <c r="U24" s="4214"/>
      <c r="V24" s="4215"/>
      <c r="W24" s="4215"/>
      <c r="X24" s="4215"/>
      <c r="Y24" s="4215"/>
      <c r="Z24" s="4215"/>
      <c r="AA24" s="4215"/>
      <c r="AB24" s="4215"/>
      <c r="AC24" s="4215"/>
      <c r="AD24" s="4215"/>
      <c r="AE24" s="4215"/>
      <c r="AF24" s="4215"/>
      <c r="AG24" s="4216"/>
      <c r="AH24" s="2496"/>
      <c r="AI24" s="4328"/>
      <c r="AJ24" s="2785"/>
      <c r="AK24" s="2785"/>
      <c r="AL24" s="2785"/>
      <c r="AM24" s="2785"/>
      <c r="AN24" s="2786" t="s">
        <v>9095</v>
      </c>
      <c r="AO24" s="2785" t="e">
        <f>LEFT(AY16&amp;AY17&amp;AY18&amp;AY19&amp;AY20,LEN(AY16&amp;AY17&amp;AY18&amp;AY19&amp;AY20)-2)</f>
        <v>#VALUE!</v>
      </c>
      <c r="AP24" s="2785"/>
      <c r="AQ24" s="2786"/>
      <c r="AR24" s="2787"/>
      <c r="AS24" s="2787"/>
      <c r="AT24" s="2787"/>
      <c r="AU24" s="2786"/>
      <c r="AV24" s="2786"/>
      <c r="AW24" s="2787"/>
      <c r="AX24" s="2787"/>
      <c r="AY24" s="2785"/>
    </row>
    <row r="25" spans="1:51" ht="12" customHeight="1" x14ac:dyDescent="0.2">
      <c r="A25" s="2487"/>
      <c r="B25" s="2368">
        <v>1</v>
      </c>
      <c r="C25" s="4325"/>
      <c r="D25" s="4217" t="str">
        <f>IF(F16="","",F16)</f>
        <v/>
      </c>
      <c r="E25" s="4211"/>
      <c r="F25" s="4211"/>
      <c r="G25" s="4211"/>
      <c r="H25" s="4211"/>
      <c r="I25" s="4218"/>
      <c r="J25" s="4217" t="str">
        <f>IF(F17="","",F17)</f>
        <v/>
      </c>
      <c r="K25" s="4211"/>
      <c r="L25" s="4211"/>
      <c r="M25" s="4211"/>
      <c r="N25" s="4211"/>
      <c r="O25" s="4218"/>
      <c r="P25" s="4211" t="str">
        <f>IF(F18="","",F18)</f>
        <v/>
      </c>
      <c r="Q25" s="4211"/>
      <c r="R25" s="4211"/>
      <c r="S25" s="4211"/>
      <c r="T25" s="4211"/>
      <c r="U25" s="4218"/>
      <c r="V25" s="4217" t="str">
        <f>IF(F19="","",F19)</f>
        <v/>
      </c>
      <c r="W25" s="4211"/>
      <c r="X25" s="4211"/>
      <c r="Y25" s="4211"/>
      <c r="Z25" s="4211"/>
      <c r="AA25" s="4218"/>
      <c r="AB25" s="4211" t="str">
        <f>IF(F20="","",F20)</f>
        <v/>
      </c>
      <c r="AC25" s="4211"/>
      <c r="AD25" s="4211"/>
      <c r="AE25" s="4211"/>
      <c r="AF25" s="4211"/>
      <c r="AG25" s="4212"/>
      <c r="AH25" s="2496"/>
      <c r="AI25" s="4328"/>
      <c r="AJ25" s="2785"/>
      <c r="AK25" s="2785"/>
      <c r="AL25" s="2785"/>
      <c r="AM25" s="2785"/>
      <c r="AN25" s="2786" t="s">
        <v>9096</v>
      </c>
      <c r="AO25" s="2785" t="e">
        <f>LEFT(AY21&amp;AY22&amp;AY23,LEN(AY21&amp;AY22&amp;AY23)-2)</f>
        <v>#VALUE!</v>
      </c>
      <c r="AP25" s="2785"/>
      <c r="AQ25" s="2786"/>
      <c r="AR25" s="2787"/>
      <c r="AS25" s="2787"/>
      <c r="AT25" s="2787"/>
      <c r="AU25" s="2786"/>
      <c r="AV25" s="2786"/>
      <c r="AW25" s="2787"/>
      <c r="AX25" s="2787"/>
      <c r="AY25" s="2785"/>
    </row>
    <row r="26" spans="1:51" ht="12" customHeight="1" x14ac:dyDescent="0.2">
      <c r="A26" s="2487"/>
      <c r="B26" s="2368">
        <v>1</v>
      </c>
      <c r="C26" s="4325"/>
      <c r="D26" s="2312" t="s">
        <v>1845</v>
      </c>
      <c r="E26" s="2188" t="str">
        <f>IFERROR(VLOOKUP(D25,'Tablas Técnicas'!$O$9:$T$88,3,FALSE),"")</f>
        <v/>
      </c>
      <c r="F26" s="2305"/>
      <c r="G26" s="2304"/>
      <c r="H26" s="2304" t="s">
        <v>1371</v>
      </c>
      <c r="I26" s="2188" t="str">
        <f>IFERROR(VLOOKUP(D25,'Tablas Técnicas'!$O$9:$T$88,4,FALSE),"")</f>
        <v/>
      </c>
      <c r="J26" s="2312" t="s">
        <v>1845</v>
      </c>
      <c r="K26" s="2188" t="str">
        <f>IFERROR(VLOOKUP(J25,'Tablas Técnicas'!$O$9:$T$88,3,FALSE),"")</f>
        <v/>
      </c>
      <c r="L26" s="2305"/>
      <c r="M26" s="2304"/>
      <c r="N26" s="2304" t="s">
        <v>1371</v>
      </c>
      <c r="O26" s="2201" t="str">
        <f>IFERROR(VLOOKUP(J25,'Tablas Técnicas'!$O$9:$T$88,4,FALSE),"")</f>
        <v/>
      </c>
      <c r="P26" s="2304" t="s">
        <v>1845</v>
      </c>
      <c r="Q26" s="2188" t="str">
        <f>IFERROR(VLOOKUP(P25,'Tablas Técnicas'!$O$9:$T$88,3,FALSE),"")</f>
        <v/>
      </c>
      <c r="R26" s="2305"/>
      <c r="S26" s="2304"/>
      <c r="T26" s="2304" t="s">
        <v>1371</v>
      </c>
      <c r="U26" s="2188" t="str">
        <f>IFERROR(VLOOKUP(P25,'Tablas Técnicas'!$O$9:$T$88,4,FALSE),"")</f>
        <v/>
      </c>
      <c r="V26" s="2312" t="s">
        <v>1845</v>
      </c>
      <c r="W26" s="2188" t="str">
        <f>IFERROR(VLOOKUP(V25,'Tablas Técnicas'!$O$9:$T$88,3,FALSE),"")</f>
        <v/>
      </c>
      <c r="X26" s="2305"/>
      <c r="Y26" s="2304"/>
      <c r="Z26" s="2304" t="s">
        <v>1371</v>
      </c>
      <c r="AA26" s="2201" t="str">
        <f>IFERROR(VLOOKUP(V25,'Tablas Técnicas'!$O$9:$T$88,4,FALSE),"")</f>
        <v/>
      </c>
      <c r="AB26" s="2304" t="s">
        <v>1845</v>
      </c>
      <c r="AC26" s="2188" t="str">
        <f>IFERROR(VLOOKUP(AB25,'Tablas Técnicas'!$O$9:$T$88,3,FALSE),"")</f>
        <v/>
      </c>
      <c r="AD26" s="2305"/>
      <c r="AE26" s="2304"/>
      <c r="AF26" s="2304" t="s">
        <v>1371</v>
      </c>
      <c r="AG26" s="2202" t="str">
        <f>IFERROR(VLOOKUP(AB25,'Tablas Técnicas'!$O$9:$T$88,4,FALSE),"")</f>
        <v/>
      </c>
      <c r="AH26" s="2496"/>
      <c r="AI26" s="4328"/>
      <c r="AJ26" s="2785"/>
      <c r="AK26" s="2785"/>
      <c r="AL26" s="2785"/>
      <c r="AM26" s="2785"/>
      <c r="AN26" s="2786"/>
      <c r="AO26" s="2785"/>
      <c r="AP26" s="2785"/>
      <c r="AQ26" s="2786"/>
      <c r="AR26" s="2787"/>
      <c r="AS26" s="2787"/>
      <c r="AT26" s="2787"/>
      <c r="AU26" s="2787"/>
      <c r="AV26" s="2787"/>
      <c r="AW26" s="2787"/>
      <c r="AX26" s="2787"/>
      <c r="AY26" s="2785"/>
    </row>
    <row r="27" spans="1:51" ht="12" customHeight="1" x14ac:dyDescent="0.2">
      <c r="A27" s="2487"/>
      <c r="B27" s="2368">
        <v>1</v>
      </c>
      <c r="C27" s="4325"/>
      <c r="D27" s="2313" t="s">
        <v>9097</v>
      </c>
      <c r="E27" s="2304"/>
      <c r="F27" s="2305"/>
      <c r="G27" s="2306"/>
      <c r="H27" s="2306"/>
      <c r="I27" s="2303" t="str">
        <f>IFERROR(IF(D25="Ataque Elemental",IF(NOT(ISNA(VLOOKUP(D29,'Tablas Técnicas'!$Z$25:$Z$30,1,0))),D29,"Variable"),VLOOKUP(D25,'Tablas Técnicas'!$O$9:$W$88,9,FALSE)),"")</f>
        <v/>
      </c>
      <c r="J27" s="2203" t="s">
        <v>9097</v>
      </c>
      <c r="K27" s="2491"/>
      <c r="L27" s="2492"/>
      <c r="M27" s="2493"/>
      <c r="N27" s="2493"/>
      <c r="O27" s="2204" t="str">
        <f>IFERROR(IF(J25="Ataque Elemental",IF(NOT(ISNA(VLOOKUP(J29,'Tablas Técnicas'!$Z$25:$Z$30,1,0))),J29,"Variable"),VLOOKUP(J25,'Tablas Técnicas'!$O$9:$W$88,9,FALSE)),"")</f>
        <v/>
      </c>
      <c r="P27" s="2494" t="s">
        <v>9097</v>
      </c>
      <c r="Q27" s="2491"/>
      <c r="R27" s="2492"/>
      <c r="S27" s="2493"/>
      <c r="T27" s="2493"/>
      <c r="U27" s="2303" t="str">
        <f>IFERROR(IF(P25="Ataque Elemental",IF(NOT(ISNA(VLOOKUP(P29,'Tablas Técnicas'!$Z$25:$Z$30,1,0))),P29,"Variable"),VLOOKUP(P25,'Tablas Técnicas'!$O$9:$W$88,9,FALSE)),"")</f>
        <v/>
      </c>
      <c r="V27" s="2203" t="s">
        <v>9097</v>
      </c>
      <c r="W27" s="2491"/>
      <c r="X27" s="2492"/>
      <c r="Y27" s="2493"/>
      <c r="Z27" s="2493"/>
      <c r="AA27" s="2204" t="str">
        <f>IFERROR(IF(V25="Ataque Elemental",IF(NOT(ISNA(VLOOKUP(V29,'Tablas Técnicas'!$Z$25:$Z$30,1,0))),V29,"Variable"),VLOOKUP(V25,'Tablas Técnicas'!$O$9:$W$88,9,FALSE)),"")</f>
        <v/>
      </c>
      <c r="AB27" s="2494" t="s">
        <v>9097</v>
      </c>
      <c r="AC27" s="2491"/>
      <c r="AD27" s="2492"/>
      <c r="AE27" s="2493"/>
      <c r="AF27" s="2493"/>
      <c r="AG27" s="2319" t="str">
        <f>IFERROR(IF(AB25="Ataque Elemental",IF(NOT(ISNA(VLOOKUP(AB29,'Tablas Técnicas'!$Z$25:$Z$30,1,0))),AB29,"Variable"),VLOOKUP(AB25,'Tablas Técnicas'!$O$9:$W$88,9,FALSE)),"")</f>
        <v/>
      </c>
      <c r="AH27" s="2496"/>
      <c r="AI27" s="4328"/>
      <c r="AJ27" s="2785"/>
      <c r="AK27" s="2787" t="s">
        <v>1381</v>
      </c>
      <c r="AL27" s="2787" t="s">
        <v>1506</v>
      </c>
      <c r="AM27" s="2787" t="s">
        <v>1386</v>
      </c>
      <c r="AN27" s="2787" t="s">
        <v>1391</v>
      </c>
      <c r="AO27" s="2787" t="s">
        <v>1399</v>
      </c>
      <c r="AP27" s="2787" t="s">
        <v>1400</v>
      </c>
      <c r="AQ27" s="2786"/>
      <c r="AR27" s="2787"/>
      <c r="AS27" s="2787"/>
      <c r="AT27" s="2787"/>
      <c r="AU27" s="2787"/>
      <c r="AV27" s="2787"/>
      <c r="AW27" s="2787"/>
      <c r="AX27" s="2787"/>
      <c r="AY27" s="2785"/>
    </row>
    <row r="28" spans="1:51" ht="12" customHeight="1" x14ac:dyDescent="0.2">
      <c r="A28" s="2487"/>
      <c r="B28" s="2368">
        <v>1</v>
      </c>
      <c r="C28" s="4325"/>
      <c r="D28" s="4217" t="s">
        <v>2913</v>
      </c>
      <c r="E28" s="4211"/>
      <c r="F28" s="4211"/>
      <c r="G28" s="4211"/>
      <c r="H28" s="4218"/>
      <c r="I28" s="2205" t="s">
        <v>1411</v>
      </c>
      <c r="J28" s="4217" t="s">
        <v>2913</v>
      </c>
      <c r="K28" s="4211"/>
      <c r="L28" s="4211"/>
      <c r="M28" s="4211"/>
      <c r="N28" s="4218"/>
      <c r="O28" s="2206" t="s">
        <v>1411</v>
      </c>
      <c r="P28" s="4217" t="s">
        <v>2913</v>
      </c>
      <c r="Q28" s="4211"/>
      <c r="R28" s="4211"/>
      <c r="S28" s="4211"/>
      <c r="T28" s="4218"/>
      <c r="U28" s="2206" t="s">
        <v>1411</v>
      </c>
      <c r="V28" s="4217"/>
      <c r="W28" s="4211"/>
      <c r="X28" s="4211"/>
      <c r="Y28" s="4211"/>
      <c r="Z28" s="4218"/>
      <c r="AA28" s="2206" t="s">
        <v>1411</v>
      </c>
      <c r="AB28" s="4217" t="s">
        <v>2913</v>
      </c>
      <c r="AC28" s="4211"/>
      <c r="AD28" s="4211"/>
      <c r="AE28" s="4211"/>
      <c r="AF28" s="4218"/>
      <c r="AG28" s="2207" t="s">
        <v>1411</v>
      </c>
      <c r="AH28" s="2496"/>
      <c r="AI28" s="4328"/>
      <c r="AJ28" s="2790" t="s">
        <v>9633</v>
      </c>
      <c r="AK28" s="2785" t="str">
        <f>IF(V14="","",IF(SUM(V16:V20)=0,"",V14&amp;" "&amp;SUM(V16:V20)+V23&amp;IF(SUM(W16:W20)=0,""," ("&amp;SUM(W16:W20)&amp;")")&amp;", "))</f>
        <v/>
      </c>
      <c r="AL28" s="2785" t="str">
        <f>IF(X14="","",IF(SUM(X16:X20)=0,"",X14&amp;" "&amp;SUM(X16:X20)+X23&amp;IF(SUM(Y16:Y20)=0,""," ("&amp;SUM(Y16:Y20)&amp;")")&amp;", "))</f>
        <v/>
      </c>
      <c r="AM28" s="2785" t="str">
        <f>IF(Z14="","",IF(SUM(Z16:Z20)=0,"",Z14&amp;" "&amp;SUM(Z16:Z20)+Z23&amp;IF(SUM(AA16:AA20)=0,""," ("&amp;SUM(AA16:AA20)&amp;")")&amp;", "))</f>
        <v/>
      </c>
      <c r="AN28" s="2785" t="str">
        <f>IF(AB14="","",IF(SUM(AB16:AB20)=0,"",AB14&amp;" "&amp;SUM(AB16:AB20)+AB23&amp;IF(SUM(AC16:AC20)=0,""," ("&amp;SUM(AC16:AC20)&amp;")")&amp;", "))</f>
        <v/>
      </c>
      <c r="AO28" s="2785" t="str">
        <f>IF(AD14="","",IF(SUM(AD16:AD20)=0,"",AD14&amp;" "&amp;SUM(AD16:AD20)+AD23&amp;IF(SUM(AE16:AE20)=0,""," ("&amp;SUM(AE16:AE20)&amp;")")&amp;", "))</f>
        <v/>
      </c>
      <c r="AP28" s="2785" t="str">
        <f>IF(AF14="","",IF(SUM(AF16:AF20)=0,"",AF14&amp;" "&amp;SUM(AF16:AF20)+AF23&amp;IF(SUM(AG16:AG20)=0,""," ("&amp;SUM(AG16:AG20)&amp;")")&amp;", "))</f>
        <v/>
      </c>
      <c r="AQ28" s="2785"/>
      <c r="AR28" s="2785"/>
      <c r="AS28" s="2785"/>
      <c r="AT28" s="2785"/>
      <c r="AU28" s="2785"/>
      <c r="AV28" s="2785"/>
      <c r="AW28" s="2785"/>
      <c r="AX28" s="2785"/>
      <c r="AY28" s="2785"/>
    </row>
    <row r="29" spans="1:51" ht="12" customHeight="1" x14ac:dyDescent="0.2">
      <c r="A29" s="2487"/>
      <c r="B29" s="2368">
        <v>1</v>
      </c>
      <c r="C29" s="4325"/>
      <c r="D29" s="4219"/>
      <c r="E29" s="4197"/>
      <c r="F29" s="4197"/>
      <c r="G29" s="4197"/>
      <c r="H29" s="4197"/>
      <c r="I29" s="2208" t="str">
        <f>IF(OR(D25="",D29=""),"",MAX(1,SUMPRODUCT(--(INDEX('Tablas Técnicas'!$C$10:$L$643,,1)=D25),--(INDEX('Tablas Técnicas'!$C$10:$L$643,,2)=D29),INDEX('Tablas Técnicas'!$C$10:$L$643,,9))))</f>
        <v/>
      </c>
      <c r="J29" s="4196"/>
      <c r="K29" s="4197"/>
      <c r="L29" s="4197"/>
      <c r="M29" s="4197"/>
      <c r="N29" s="4197"/>
      <c r="O29" s="2208" t="str">
        <f>IF(OR(J25="",J29=""),"",MAX(1,SUMPRODUCT(--(INDEX('Tablas Técnicas'!$C$10:$L$643,,1)=J25),--(INDEX('Tablas Técnicas'!$C$10:$L$643,,2)=J29),INDEX('Tablas Técnicas'!$C$10:$L$643,,9))))</f>
        <v/>
      </c>
      <c r="P29" s="4196"/>
      <c r="Q29" s="4197"/>
      <c r="R29" s="4197"/>
      <c r="S29" s="4197"/>
      <c r="T29" s="4197"/>
      <c r="U29" s="2208" t="str">
        <f>IF(OR(P25="",P29=""),"",MAX(1,SUMPRODUCT(--(INDEX('Tablas Técnicas'!$C$10:$L$643,,1)=P25),--(INDEX('Tablas Técnicas'!$C$10:$L$643,,2)=P29),INDEX('Tablas Técnicas'!$C$10:$L$643,,9))))</f>
        <v/>
      </c>
      <c r="V29" s="4196"/>
      <c r="W29" s="4197"/>
      <c r="X29" s="4197"/>
      <c r="Y29" s="4197"/>
      <c r="Z29" s="4197"/>
      <c r="AA29" s="2208" t="str">
        <f>IF(OR(V25="",V29=""),"",MAX(1,SUMPRODUCT(--(INDEX('Tablas Técnicas'!$C$10:$L$643,,1)=V25),--(INDEX('Tablas Técnicas'!$C$10:$L$643,,2)=V29),INDEX('Tablas Técnicas'!$C$10:$L$643,,9))))</f>
        <v/>
      </c>
      <c r="AB29" s="4196"/>
      <c r="AC29" s="4197"/>
      <c r="AD29" s="4197"/>
      <c r="AE29" s="4197"/>
      <c r="AF29" s="4197"/>
      <c r="AG29" s="2209" t="str">
        <f>IF(OR(AB25="",AB29=""),"",MAX(1,SUMPRODUCT(--(INDEX('Tablas Técnicas'!$C$10:$L$643,,1)=AB25),--(INDEX('Tablas Técnicas'!$C$10:$L$643,,2)=AB29),INDEX('Tablas Técnicas'!$C$10:$L$643,,9))))</f>
        <v/>
      </c>
      <c r="AH29" s="2496">
        <f>P12</f>
        <v>1</v>
      </c>
      <c r="AI29" s="4328"/>
      <c r="AJ29" s="2785" t="s">
        <v>9597</v>
      </c>
      <c r="AK29" s="2785"/>
      <c r="AL29" s="2785">
        <f>MAX(0,SUM(AT16:AT20)+ABS($AC21*2/5))+IF(AM38,0,Y21)+IF(S12="Si",3*P12,0)</f>
        <v>0</v>
      </c>
      <c r="AM29" s="2785">
        <f t="array" ref="AM29">IF(ISNUMBER(SEARCH("Mantenido",K16&amp;K17&amp;K18&amp;K19&amp;K20)),MAX(0,SUM(VALUE(RIGHT($P16:$P20,2)))),0)</f>
        <v>0</v>
      </c>
      <c r="AN29" s="2787"/>
      <c r="AO29" s="2787"/>
      <c r="AP29" s="2792"/>
      <c r="AQ29" s="2792"/>
      <c r="AR29" s="2792"/>
      <c r="AS29" s="2792"/>
      <c r="AT29" s="2792"/>
      <c r="AU29" s="2792"/>
      <c r="AV29" s="2792"/>
      <c r="AW29" s="2792"/>
      <c r="AX29" s="2792"/>
      <c r="AY29" s="2785"/>
    </row>
    <row r="30" spans="1:51" ht="12" customHeight="1" x14ac:dyDescent="0.2">
      <c r="A30" s="2487"/>
      <c r="B30" s="2368">
        <v>1</v>
      </c>
      <c r="C30" s="4325"/>
      <c r="D30" s="4200"/>
      <c r="E30" s="4201"/>
      <c r="F30" s="4201"/>
      <c r="G30" s="4201"/>
      <c r="H30" s="4201"/>
      <c r="I30" s="2210" t="str">
        <f>IF(OR(D25="",D30=""),"",MAX(1,SUMPRODUCT(--(INDEX('Tablas Técnicas'!$C$10:$L$643,,1)=D25),--(INDEX('Tablas Técnicas'!$C$10:$L$643,,2)=D30),INDEX('Tablas Técnicas'!$C$10:$L$643,,9))))</f>
        <v/>
      </c>
      <c r="J30" s="4200"/>
      <c r="K30" s="4201"/>
      <c r="L30" s="4201"/>
      <c r="M30" s="4201"/>
      <c r="N30" s="4201"/>
      <c r="O30" s="2210" t="str">
        <f>IF(OR(J25="",J30=""),"",MAX(1,SUMPRODUCT(--(INDEX('Tablas Técnicas'!$C$10:$L$643,,1)=J25),--(INDEX('Tablas Técnicas'!$C$10:$L$643,,2)=J30),INDEX('Tablas Técnicas'!$C$10:$L$643,,9))))</f>
        <v/>
      </c>
      <c r="P30" s="4200"/>
      <c r="Q30" s="4201"/>
      <c r="R30" s="4201"/>
      <c r="S30" s="4201"/>
      <c r="T30" s="4201"/>
      <c r="U30" s="2210" t="str">
        <f>IF(OR(P25="",P30=""),"",MAX(1,SUMPRODUCT(--(INDEX('Tablas Técnicas'!$C$10:$L$643,,1)=P25),--(INDEX('Tablas Técnicas'!$C$10:$L$643,,2)=P30),INDEX('Tablas Técnicas'!$C$10:$L$643,,9))))</f>
        <v/>
      </c>
      <c r="V30" s="4200"/>
      <c r="W30" s="4201"/>
      <c r="X30" s="4201"/>
      <c r="Y30" s="4201"/>
      <c r="Z30" s="4201"/>
      <c r="AA30" s="2210" t="str">
        <f>IF(OR(V25="",V30=""),"",MAX(1,SUMPRODUCT(--(INDEX('Tablas Técnicas'!$C$10:$L$643,,1)=V25),--(INDEX('Tablas Técnicas'!$C$10:$L$643,,2)=V30),INDEX('Tablas Técnicas'!$C$10:$L$643,,9))))</f>
        <v/>
      </c>
      <c r="AB30" s="4200"/>
      <c r="AC30" s="4201"/>
      <c r="AD30" s="4201"/>
      <c r="AE30" s="4201"/>
      <c r="AF30" s="4201"/>
      <c r="AG30" s="2211" t="str">
        <f>IF(OR(AB25="",AB30=""),"",MAX(1,SUMPRODUCT(--(INDEX('Tablas Técnicas'!$C$10:$L$643,,1)=AB25),--(INDEX('Tablas Técnicas'!$C$10:$L$643,,2)=AB30),INDEX('Tablas Técnicas'!$C$10:$L$643,,9))))</f>
        <v/>
      </c>
      <c r="AH30" s="2496">
        <f>P12</f>
        <v>1</v>
      </c>
      <c r="AI30" s="4328"/>
      <c r="AJ30" s="2785" t="s">
        <v>9099</v>
      </c>
      <c r="AK30" s="2785"/>
      <c r="AL30" s="2785">
        <f>SUM(V16:V20,X16:X20,Z16:Z20,AB16:AB20,AD16:AD20,AF16:AF20)+SUM(V23:AG23)</f>
        <v>0</v>
      </c>
      <c r="AM30" s="2785">
        <f>SUM(W16:W20,Y16:Y20,AA16:AA20,AC16:AC20,AE16:AE20,AG16:AG20)</f>
        <v>0</v>
      </c>
      <c r="AN30" s="2785"/>
      <c r="AO30" s="2785"/>
      <c r="AP30" s="2785"/>
      <c r="AQ30" s="2785"/>
      <c r="AR30" s="2785"/>
      <c r="AS30" s="2785"/>
      <c r="AT30" s="2785"/>
      <c r="AU30" s="2785"/>
      <c r="AV30" s="2785"/>
      <c r="AW30" s="2787"/>
      <c r="AX30" s="2785"/>
      <c r="AY30" s="2785"/>
    </row>
    <row r="31" spans="1:51" ht="12" customHeight="1" x14ac:dyDescent="0.2">
      <c r="A31" s="2487"/>
      <c r="B31" s="2368">
        <v>1</v>
      </c>
      <c r="C31" s="4325"/>
      <c r="D31" s="4200"/>
      <c r="E31" s="4201"/>
      <c r="F31" s="4201"/>
      <c r="G31" s="4201"/>
      <c r="H31" s="4201"/>
      <c r="I31" s="2210" t="str">
        <f>IF(OR(D25="",D31=""),"",MAX(1,SUMPRODUCT(--(INDEX('Tablas Técnicas'!$C$10:$L$643,,1)=D25),--(INDEX('Tablas Técnicas'!$C$10:$L$643,,2)=D31),INDEX('Tablas Técnicas'!$C$10:$L$643,,9))))</f>
        <v/>
      </c>
      <c r="J31" s="4200"/>
      <c r="K31" s="4201"/>
      <c r="L31" s="4201"/>
      <c r="M31" s="4201"/>
      <c r="N31" s="4201"/>
      <c r="O31" s="2210" t="str">
        <f>IF(OR(J25="",J31=""),"",MAX(1,SUMPRODUCT(--(INDEX('Tablas Técnicas'!$C$10:$L$643,,1)=J25),--(INDEX('Tablas Técnicas'!$C$10:$L$643,,2)=J31),INDEX('Tablas Técnicas'!$C$10:$L$643,,9))))</f>
        <v/>
      </c>
      <c r="P31" s="4200"/>
      <c r="Q31" s="4201"/>
      <c r="R31" s="4201"/>
      <c r="S31" s="4201"/>
      <c r="T31" s="4201"/>
      <c r="U31" s="2210" t="str">
        <f>IF(OR(P25="",P31=""),"",MAX(1,SUMPRODUCT(--(INDEX('Tablas Técnicas'!$C$10:$L$643,,1)=P25),--(INDEX('Tablas Técnicas'!$C$10:$L$643,,2)=P31),INDEX('Tablas Técnicas'!$C$10:$L$643,,9))))</f>
        <v/>
      </c>
      <c r="V31" s="4200"/>
      <c r="W31" s="4201"/>
      <c r="X31" s="4201"/>
      <c r="Y31" s="4201"/>
      <c r="Z31" s="4201"/>
      <c r="AA31" s="2210" t="str">
        <f>IF(OR(V25="",V31=""),"",MAX(1,SUMPRODUCT(--(INDEX('Tablas Técnicas'!$C$10:$L$643,,1)=V25),--(INDEX('Tablas Técnicas'!$C$10:$L$643,,2)=V31),INDEX('Tablas Técnicas'!$C$10:$L$643,,9))))</f>
        <v/>
      </c>
      <c r="AB31" s="4200"/>
      <c r="AC31" s="4201"/>
      <c r="AD31" s="4201"/>
      <c r="AE31" s="4201"/>
      <c r="AF31" s="4201"/>
      <c r="AG31" s="2211" t="str">
        <f>IF(OR(AB25="",AB31=""),"",MAX(1,SUMPRODUCT(--(INDEX('Tablas Técnicas'!$C$10:$L$643,,1)=AB25),--(INDEX('Tablas Técnicas'!$C$10:$L$643,,2)=AB31),INDEX('Tablas Técnicas'!$C$10:$L$643,,9))))</f>
        <v/>
      </c>
      <c r="AH31" s="2496">
        <f>P12</f>
        <v>1</v>
      </c>
      <c r="AI31" s="4328"/>
      <c r="AJ31" s="2785"/>
      <c r="AK31" s="2785"/>
      <c r="AL31" s="2785"/>
      <c r="AM31" s="2785"/>
      <c r="AN31" s="2785"/>
      <c r="AO31" s="2785"/>
      <c r="AP31" s="2785"/>
      <c r="AQ31" s="2785"/>
      <c r="AR31" s="2785"/>
      <c r="AS31" s="2785"/>
      <c r="AT31" s="2785"/>
      <c r="AU31" s="2785"/>
      <c r="AV31" s="2785"/>
      <c r="AW31" s="2787"/>
      <c r="AX31" s="2787"/>
      <c r="AY31" s="2785"/>
    </row>
    <row r="32" spans="1:51" ht="12" customHeight="1" x14ac:dyDescent="0.2">
      <c r="A32" s="2487"/>
      <c r="B32" s="2368">
        <v>1</v>
      </c>
      <c r="C32" s="4325"/>
      <c r="D32" s="4200"/>
      <c r="E32" s="4201"/>
      <c r="F32" s="4201"/>
      <c r="G32" s="4201"/>
      <c r="H32" s="4201"/>
      <c r="I32" s="2210" t="str">
        <f>IF(OR(D25="",D32=""),"",MAX(1,SUMPRODUCT(--(INDEX('Tablas Técnicas'!$C$10:$L$643,,1)=D25),--(INDEX('Tablas Técnicas'!$C$10:$L$643,,2)=D32),INDEX('Tablas Técnicas'!$C$10:$L$643,,9))))</f>
        <v/>
      </c>
      <c r="J32" s="4200"/>
      <c r="K32" s="4201"/>
      <c r="L32" s="4201"/>
      <c r="M32" s="4201"/>
      <c r="N32" s="4201"/>
      <c r="O32" s="2210" t="str">
        <f>IF(OR(J25="",J32=""),"",MAX(1,SUMPRODUCT(--(INDEX('Tablas Técnicas'!$C$10:$L$643,,1)=J25),--(INDEX('Tablas Técnicas'!$C$10:$L$643,,2)=J32),INDEX('Tablas Técnicas'!$C$10:$L$643,,9))))</f>
        <v/>
      </c>
      <c r="P32" s="4200"/>
      <c r="Q32" s="4201"/>
      <c r="R32" s="4201"/>
      <c r="S32" s="4201"/>
      <c r="T32" s="4201"/>
      <c r="U32" s="2210" t="str">
        <f>IF(OR(P25="",P32=""),"",MAX(1,SUMPRODUCT(--(INDEX('Tablas Técnicas'!$C$10:$L$643,,1)=P25),--(INDEX('Tablas Técnicas'!$C$10:$L$643,,2)=P32),INDEX('Tablas Técnicas'!$C$10:$L$643,,9))))</f>
        <v/>
      </c>
      <c r="V32" s="4200"/>
      <c r="W32" s="4201"/>
      <c r="X32" s="4201"/>
      <c r="Y32" s="4201"/>
      <c r="Z32" s="4201"/>
      <c r="AA32" s="2210" t="str">
        <f>IF(OR(V25="",V32=""),"",MAX(1,SUMPRODUCT(--(INDEX('Tablas Técnicas'!$C$10:$L$643,,1)=V25),--(INDEX('Tablas Técnicas'!$C$10:$L$643,,2)=V32),INDEX('Tablas Técnicas'!$C$10:$L$643,,9))))</f>
        <v/>
      </c>
      <c r="AB32" s="4200"/>
      <c r="AC32" s="4201"/>
      <c r="AD32" s="4201"/>
      <c r="AE32" s="4201"/>
      <c r="AF32" s="4201"/>
      <c r="AG32" s="2211" t="str">
        <f>IF(OR(AB25="",AB32=""),"",MAX(1,SUMPRODUCT(--(INDEX('Tablas Técnicas'!$C$10:$L$643,,1)=AB25),--(INDEX('Tablas Técnicas'!$C$10:$L$643,,2)=AB32),INDEX('Tablas Técnicas'!$C$10:$L$643,,9))))</f>
        <v/>
      </c>
      <c r="AH32" s="2496">
        <f>P12</f>
        <v>1</v>
      </c>
      <c r="AI32" s="4328"/>
      <c r="AJ32" s="2785"/>
      <c r="AK32" s="2785"/>
      <c r="AL32" s="2785"/>
      <c r="AM32" s="2785"/>
      <c r="AN32" s="2785"/>
      <c r="AO32" s="2785"/>
      <c r="AP32" s="2785"/>
      <c r="AQ32" s="2786"/>
      <c r="AR32" s="2787"/>
      <c r="AS32" s="2787"/>
      <c r="AT32" s="2787"/>
      <c r="AU32" s="2787"/>
      <c r="AV32" s="2787"/>
      <c r="AW32" s="2787"/>
      <c r="AX32" s="2787"/>
      <c r="AY32" s="2785"/>
    </row>
    <row r="33" spans="1:51" ht="12" customHeight="1" x14ac:dyDescent="0.2">
      <c r="A33" s="2487"/>
      <c r="B33" s="2368">
        <v>1</v>
      </c>
      <c r="C33" s="4325"/>
      <c r="D33" s="4200"/>
      <c r="E33" s="4201"/>
      <c r="F33" s="4201"/>
      <c r="G33" s="4201"/>
      <c r="H33" s="4201"/>
      <c r="I33" s="2210" t="str">
        <f>IF(OR(D25="",D33=""),"",MAX(1,SUMPRODUCT(--(INDEX('Tablas Técnicas'!$C$10:$L$643,,1)=D25),--(INDEX('Tablas Técnicas'!$C$10:$L$643,,2)=D33),INDEX('Tablas Técnicas'!$C$10:$L$643,,9))))</f>
        <v/>
      </c>
      <c r="J33" s="4200"/>
      <c r="K33" s="4201"/>
      <c r="L33" s="4201"/>
      <c r="M33" s="4201"/>
      <c r="N33" s="4201"/>
      <c r="O33" s="2210" t="str">
        <f>IF(OR(J25="",J33=""),"",MAX(1,SUMPRODUCT(--(INDEX('Tablas Técnicas'!$C$10:$L$643,,1)=J25),--(INDEX('Tablas Técnicas'!$C$10:$L$643,,2)=J33),INDEX('Tablas Técnicas'!$C$10:$L$643,,9))))</f>
        <v/>
      </c>
      <c r="P33" s="4200"/>
      <c r="Q33" s="4201"/>
      <c r="R33" s="4201"/>
      <c r="S33" s="4201"/>
      <c r="T33" s="4201"/>
      <c r="U33" s="2210" t="str">
        <f>IF(OR(P25="",P33=""),"",MAX(1,SUMPRODUCT(--(INDEX('Tablas Técnicas'!$C$10:$L$643,,1)=P25),--(INDEX('Tablas Técnicas'!$C$10:$L$643,,2)=P33),INDEX('Tablas Técnicas'!$C$10:$L$643,,9))))</f>
        <v/>
      </c>
      <c r="V33" s="4200"/>
      <c r="W33" s="4201"/>
      <c r="X33" s="4201"/>
      <c r="Y33" s="4201"/>
      <c r="Z33" s="4201"/>
      <c r="AA33" s="2210" t="str">
        <f>IF(OR(V25="",V33=""),"",MAX(1,SUMPRODUCT(--(INDEX('Tablas Técnicas'!$C$10:$L$643,,1)=V25),--(INDEX('Tablas Técnicas'!$C$10:$L$643,,2)=V33),INDEX('Tablas Técnicas'!$C$10:$L$643,,9))))</f>
        <v/>
      </c>
      <c r="AB33" s="4200"/>
      <c r="AC33" s="4201"/>
      <c r="AD33" s="4201"/>
      <c r="AE33" s="4201"/>
      <c r="AF33" s="4201"/>
      <c r="AG33" s="2211" t="str">
        <f>IF(OR(AB25="",AB33=""),"",MAX(1,SUMPRODUCT(--(INDEX('Tablas Técnicas'!$C$10:$L$643,,1)=AB25),--(INDEX('Tablas Técnicas'!$C$10:$L$643,,2)=AB33),INDEX('Tablas Técnicas'!$C$10:$L$643,,9))))</f>
        <v/>
      </c>
      <c r="AH33" s="2496">
        <f>P12</f>
        <v>1</v>
      </c>
      <c r="AI33" s="4328"/>
      <c r="AJ33" s="2785" t="s">
        <v>9100</v>
      </c>
      <c r="AK33" s="2785"/>
      <c r="AL33" s="2785"/>
      <c r="AM33" s="2785"/>
      <c r="AN33" s="2785"/>
      <c r="AO33" s="2785"/>
      <c r="AP33" s="2785"/>
      <c r="AQ33" s="2785"/>
      <c r="AR33" s="2787"/>
      <c r="AS33" s="2787"/>
      <c r="AT33" s="2787"/>
      <c r="AU33" s="2787"/>
      <c r="AV33" s="2787"/>
      <c r="AW33" s="2787"/>
      <c r="AX33" s="2787"/>
      <c r="AY33" s="2785"/>
    </row>
    <row r="34" spans="1:51" ht="12" customHeight="1" x14ac:dyDescent="0.2">
      <c r="A34" s="2487"/>
      <c r="B34" s="2368">
        <v>1</v>
      </c>
      <c r="C34" s="4325"/>
      <c r="D34" s="4200"/>
      <c r="E34" s="4201"/>
      <c r="F34" s="4201"/>
      <c r="G34" s="4201"/>
      <c r="H34" s="4201"/>
      <c r="I34" s="2210" t="str">
        <f>IF(OR(D25="",D34=""),"",MAX(1,SUMPRODUCT(--(INDEX('Tablas Técnicas'!$C$10:$L$643,,1)=D25),--(INDEX('Tablas Técnicas'!$C$10:$L$643,,2)=D34),INDEX('Tablas Técnicas'!$C$10:$L$643,,9))))</f>
        <v/>
      </c>
      <c r="J34" s="4200"/>
      <c r="K34" s="4201"/>
      <c r="L34" s="4201"/>
      <c r="M34" s="4201"/>
      <c r="N34" s="4201"/>
      <c r="O34" s="2210" t="str">
        <f>IF(OR(J25="",J34=""),"",MAX(1,SUMPRODUCT(--(INDEX('Tablas Técnicas'!$C$10:$L$643,,1)=J25),--(INDEX('Tablas Técnicas'!$C$10:$L$643,,2)=J34),INDEX('Tablas Técnicas'!$C$10:$L$643,,9))))</f>
        <v/>
      </c>
      <c r="P34" s="4200"/>
      <c r="Q34" s="4201"/>
      <c r="R34" s="4201"/>
      <c r="S34" s="4201"/>
      <c r="T34" s="4201"/>
      <c r="U34" s="2210" t="str">
        <f>IF(OR(P25="",P34=""),"",MAX(1,SUMPRODUCT(--(INDEX('Tablas Técnicas'!$C$10:$L$643,,1)=P25),--(INDEX('Tablas Técnicas'!$C$10:$L$643,,2)=P34),INDEX('Tablas Técnicas'!$C$10:$L$643,,9))))</f>
        <v/>
      </c>
      <c r="V34" s="4200"/>
      <c r="W34" s="4201"/>
      <c r="X34" s="4201"/>
      <c r="Y34" s="4201"/>
      <c r="Z34" s="4201"/>
      <c r="AA34" s="2210" t="str">
        <f>IF(OR(V25="",V34=""),"",MAX(1,SUMPRODUCT(--(INDEX('Tablas Técnicas'!$C$10:$L$643,,1)=V25),--(INDEX('Tablas Técnicas'!$C$10:$L$643,,2)=V34),INDEX('Tablas Técnicas'!$C$10:$L$643,,9))))</f>
        <v/>
      </c>
      <c r="AB34" s="4200"/>
      <c r="AC34" s="4201"/>
      <c r="AD34" s="4201"/>
      <c r="AE34" s="4201"/>
      <c r="AF34" s="4201"/>
      <c r="AG34" s="2211" t="str">
        <f>IF(OR(AB25="",AB34=""),"",MAX(1,SUMPRODUCT(--(INDEX('Tablas Técnicas'!$C$10:$L$643,,1)=AB25),--(INDEX('Tablas Técnicas'!$C$10:$L$643,,2)=AB34),INDEX('Tablas Técnicas'!$C$10:$L$643,,9))))</f>
        <v/>
      </c>
      <c r="AH34" s="2496">
        <f>P12</f>
        <v>1</v>
      </c>
      <c r="AI34" s="4328"/>
      <c r="AJ34" s="2785" t="s">
        <v>9101</v>
      </c>
      <c r="AK34" s="2785"/>
      <c r="AL34" s="2785"/>
      <c r="AM34" s="2785" t="b">
        <f t="array" ref="AM34">MAX(I29:I35,O29:O35,U29:U35,AA29:AA35,AG29:AG35,RIGHT(S21:S23,1))&gt;P12</f>
        <v>0</v>
      </c>
      <c r="AN34" s="2785"/>
      <c r="AO34" s="2785"/>
      <c r="AP34" s="2785"/>
      <c r="AQ34" s="2786"/>
      <c r="AR34" s="2787"/>
      <c r="AS34" s="2787"/>
      <c r="AT34" s="2787"/>
      <c r="AU34" s="2787"/>
      <c r="AV34" s="2787"/>
      <c r="AW34" s="2787"/>
      <c r="AX34" s="2787"/>
      <c r="AY34" s="2785"/>
    </row>
    <row r="35" spans="1:51" ht="12" customHeight="1" x14ac:dyDescent="0.2">
      <c r="A35" s="2487"/>
      <c r="B35" s="2368">
        <v>1</v>
      </c>
      <c r="C35" s="4325"/>
      <c r="D35" s="4230"/>
      <c r="E35" s="4231"/>
      <c r="F35" s="4231"/>
      <c r="G35" s="4231"/>
      <c r="H35" s="4231"/>
      <c r="I35" s="2212" t="str">
        <f>IF(OR(D25="",D35=""),"",MAX(1,SUMPRODUCT(--(INDEX('Tablas Técnicas'!$C$10:$L$643,,1)=D25),--(INDEX('Tablas Técnicas'!$C$10:$L$643,,2)=D35),INDEX('Tablas Técnicas'!$C$10:$L$643,,9))))</f>
        <v/>
      </c>
      <c r="J35" s="4230"/>
      <c r="K35" s="4231"/>
      <c r="L35" s="4231"/>
      <c r="M35" s="4231"/>
      <c r="N35" s="4231"/>
      <c r="O35" s="2212" t="str">
        <f>IF(OR(J25="",J35=""),"",MAX(1,SUMPRODUCT(--(INDEX('Tablas Técnicas'!$C$10:$L$643,,1)=J25),--(INDEX('Tablas Técnicas'!$C$10:$L$643,,2)=J35),INDEX('Tablas Técnicas'!$C$10:$L$643,,9))))</f>
        <v/>
      </c>
      <c r="P35" s="4230"/>
      <c r="Q35" s="4231"/>
      <c r="R35" s="4231"/>
      <c r="S35" s="4231"/>
      <c r="T35" s="4231"/>
      <c r="U35" s="2212" t="str">
        <f>IF(OR(P25="",P35=""),"",MAX(1,SUMPRODUCT(--(INDEX('Tablas Técnicas'!$C$10:$L$643,,1)=P25),--(INDEX('Tablas Técnicas'!$C$10:$L$643,,2)=P35),INDEX('Tablas Técnicas'!$C$10:$L$643,,9))))</f>
        <v/>
      </c>
      <c r="V35" s="4230"/>
      <c r="W35" s="4231"/>
      <c r="X35" s="4231"/>
      <c r="Y35" s="4231"/>
      <c r="Z35" s="4231"/>
      <c r="AA35" s="2212" t="str">
        <f>IF(OR(V25="",V35=""),"",MAX(1,SUMPRODUCT(--(INDEX('Tablas Técnicas'!$C$10:$L$643,,1)=V25),--(INDEX('Tablas Técnicas'!$C$10:$L$643,,2)=V35),INDEX('Tablas Técnicas'!$C$10:$L$643,,9))))</f>
        <v/>
      </c>
      <c r="AB35" s="4230"/>
      <c r="AC35" s="4231"/>
      <c r="AD35" s="4231"/>
      <c r="AE35" s="4231"/>
      <c r="AF35" s="4231"/>
      <c r="AG35" s="2213" t="str">
        <f>IF(OR(AB25="",AB35=""),"",MAX(1,SUMPRODUCT(--(INDEX('Tablas Técnicas'!$C$10:$L$643,,1)=AB25),--(INDEX('Tablas Técnicas'!$C$10:$L$643,,2)=AB35),INDEX('Tablas Técnicas'!$C$10:$L$643,,9))))</f>
        <v/>
      </c>
      <c r="AH35" s="2496">
        <f>P12</f>
        <v>1</v>
      </c>
      <c r="AI35" s="4328"/>
      <c r="AJ35" s="2785" t="s">
        <v>9614</v>
      </c>
      <c r="AK35" s="2785"/>
      <c r="AL35" s="2785"/>
      <c r="AM35" s="2785" t="b">
        <f>AND(COUNTIF(K16:M20,"Mantenido"),OR(COUNTIF(K16:M20,"Sostenimiento Menor"),COUNTIF(K16:M20,"Sostenimiento Mayor")))</f>
        <v>0</v>
      </c>
      <c r="AN35" s="2786"/>
      <c r="AO35" s="2785"/>
      <c r="AP35" s="2785"/>
      <c r="AQ35" s="2785"/>
      <c r="AR35" s="2785"/>
      <c r="AS35" s="2785"/>
      <c r="AT35" s="2785"/>
      <c r="AU35" s="2787"/>
      <c r="AV35" s="2787"/>
      <c r="AW35" s="2787"/>
      <c r="AX35" s="2787"/>
      <c r="AY35" s="2785"/>
    </row>
    <row r="36" spans="1:51" ht="12" customHeight="1" x14ac:dyDescent="0.2">
      <c r="A36" s="2487"/>
      <c r="B36" s="2368">
        <v>1</v>
      </c>
      <c r="C36" s="4325"/>
      <c r="D36" s="4213" t="s">
        <v>1558</v>
      </c>
      <c r="E36" s="4214"/>
      <c r="F36" s="4214"/>
      <c r="G36" s="4214"/>
      <c r="H36" s="4214"/>
      <c r="I36" s="4214"/>
      <c r="J36" s="4214"/>
      <c r="K36" s="4214"/>
      <c r="L36" s="4214"/>
      <c r="M36" s="4214"/>
      <c r="N36" s="4214"/>
      <c r="O36" s="4214"/>
      <c r="P36" s="4214"/>
      <c r="Q36" s="4214"/>
      <c r="R36" s="4214"/>
      <c r="S36" s="4214"/>
      <c r="T36" s="4214"/>
      <c r="U36" s="4214"/>
      <c r="V36" s="4214"/>
      <c r="W36" s="4214"/>
      <c r="X36" s="4214"/>
      <c r="Y36" s="4214"/>
      <c r="Z36" s="4214"/>
      <c r="AA36" s="4214"/>
      <c r="AB36" s="4214"/>
      <c r="AC36" s="4214"/>
      <c r="AD36" s="4214"/>
      <c r="AE36" s="4214"/>
      <c r="AF36" s="4214"/>
      <c r="AG36" s="4270"/>
      <c r="AH36" s="2496"/>
      <c r="AI36" s="4328"/>
      <c r="AJ36" s="2785" t="s">
        <v>9613</v>
      </c>
      <c r="AK36" s="2785"/>
      <c r="AL36" s="2785"/>
      <c r="AM36" s="2785" t="b">
        <f>OR(AND(ISNUMBER(SEARCH("Sostenimiento",K16)),OR(P12=1,MAX(I29:I35)=3)),AND(ISNUMBER(SEARCH("Sostenimiento",K17)),OR(P12=1,MAX(O29:O35)=3)),AND(ISNUMBER(SEARCH("Sostenimiento",K18)),OR(P12=1,MAX(U29:U35)=3)),AND(ISNUMBER(SEARCH("Sostenimiento",K19)),OR(P12=1,MAX(AA29:AA35)=3)),AND(ISNUMBER(SEARCH("Sostenimiento",K20)),OR(P12=1,MAX(AG29:AG35)=3)))</f>
        <v>0</v>
      </c>
      <c r="AN36" s="2785"/>
      <c r="AO36" s="2785"/>
      <c r="AP36" s="2785"/>
      <c r="AQ36" s="2786"/>
      <c r="AR36" s="2785"/>
      <c r="AS36" s="2785"/>
      <c r="AT36" s="2785"/>
      <c r="AU36" s="2787"/>
      <c r="AV36" s="2787"/>
      <c r="AW36" s="2787"/>
      <c r="AX36" s="2787"/>
      <c r="AY36" s="2785"/>
    </row>
    <row r="37" spans="1:51" ht="12" customHeight="1" x14ac:dyDescent="0.2">
      <c r="A37" s="2487"/>
      <c r="B37" s="2368">
        <v>1</v>
      </c>
      <c r="C37" s="4325"/>
      <c r="D37" s="4271"/>
      <c r="E37" s="4272"/>
      <c r="F37" s="4272"/>
      <c r="G37" s="4272"/>
      <c r="H37" s="4272"/>
      <c r="I37" s="4272"/>
      <c r="J37" s="4272"/>
      <c r="K37" s="4272"/>
      <c r="L37" s="4272"/>
      <c r="M37" s="4272"/>
      <c r="N37" s="4272"/>
      <c r="O37" s="4272"/>
      <c r="P37" s="4272"/>
      <c r="Q37" s="4272"/>
      <c r="R37" s="4272"/>
      <c r="S37" s="4272"/>
      <c r="T37" s="4272"/>
      <c r="U37" s="4272"/>
      <c r="V37" s="4272"/>
      <c r="W37" s="4272"/>
      <c r="X37" s="4272"/>
      <c r="Y37" s="4272"/>
      <c r="Z37" s="4272"/>
      <c r="AA37" s="4272"/>
      <c r="AB37" s="4272"/>
      <c r="AC37" s="4272"/>
      <c r="AD37" s="4272"/>
      <c r="AE37" s="4272"/>
      <c r="AF37" s="4272"/>
      <c r="AG37" s="4273"/>
      <c r="AH37" s="2496"/>
      <c r="AI37" s="4328"/>
      <c r="AJ37" s="2785" t="s">
        <v>9621</v>
      </c>
      <c r="AK37" s="2785"/>
      <c r="AL37" s="2785"/>
      <c r="AM37" s="278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5"/>
      <c r="AO37" s="2785"/>
      <c r="AP37" s="2785"/>
      <c r="AQ37" s="2786"/>
      <c r="AR37" s="2785"/>
      <c r="AS37" s="2785"/>
      <c r="AT37" s="2785"/>
      <c r="AU37" s="2787"/>
      <c r="AV37" s="2787"/>
      <c r="AW37" s="2787"/>
      <c r="AX37" s="2787"/>
      <c r="AY37" s="2785"/>
    </row>
    <row r="38" spans="1:51" ht="12" customHeight="1" x14ac:dyDescent="0.2">
      <c r="A38" s="2487"/>
      <c r="B38" s="2368">
        <v>1</v>
      </c>
      <c r="C38" s="4325"/>
      <c r="D38" s="4271"/>
      <c r="E38" s="4272"/>
      <c r="F38" s="4272"/>
      <c r="G38" s="4272"/>
      <c r="H38" s="4272"/>
      <c r="I38" s="4272"/>
      <c r="J38" s="4272"/>
      <c r="K38" s="4272"/>
      <c r="L38" s="4272"/>
      <c r="M38" s="4272"/>
      <c r="N38" s="4272"/>
      <c r="O38" s="4272"/>
      <c r="P38" s="4272"/>
      <c r="Q38" s="4272"/>
      <c r="R38" s="4272"/>
      <c r="S38" s="4272"/>
      <c r="T38" s="4272"/>
      <c r="U38" s="4272"/>
      <c r="V38" s="4272"/>
      <c r="W38" s="4272"/>
      <c r="X38" s="4272"/>
      <c r="Y38" s="4272"/>
      <c r="Z38" s="4272"/>
      <c r="AA38" s="4272"/>
      <c r="AB38" s="4272"/>
      <c r="AC38" s="4272"/>
      <c r="AD38" s="4272"/>
      <c r="AE38" s="4272"/>
      <c r="AF38" s="4272"/>
      <c r="AG38" s="4273"/>
      <c r="AH38" s="2496"/>
      <c r="AI38" s="4328"/>
      <c r="AJ38" s="2785" t="s">
        <v>9600</v>
      </c>
      <c r="AK38" s="2785"/>
      <c r="AL38" s="2785"/>
      <c r="AM38" s="2785" t="b">
        <f>AND((IF(SUM(V16:V20)&gt;0,1,0)+IF(SUM(X16:X20)&gt;0,1,0)+IF(SUM(Z16:Z20)&gt;0,1,0)+IF(SUM(AB16:AB20)&gt;0,1,0)+IF(SUM(AD16:AD20,)&gt;0,1,0)+IF(SUM(AF16:AF20)&gt;0,1,0))&lt;3,OR(V23&lt;0,X23&lt;0,Z23&lt;0,AB23&lt;0,AD23&lt;0,AF23&lt;0,Y21&lt;0))</f>
        <v>0</v>
      </c>
      <c r="AN38" s="2785"/>
      <c r="AO38" s="2785"/>
      <c r="AP38" s="2785"/>
      <c r="AQ38" s="2786"/>
      <c r="AR38" s="2785"/>
      <c r="AS38" s="2785"/>
      <c r="AT38" s="2785"/>
      <c r="AU38" s="2787"/>
      <c r="AV38" s="2787"/>
      <c r="AW38" s="2787"/>
      <c r="AX38" s="2787"/>
      <c r="AY38" s="2785"/>
    </row>
    <row r="39" spans="1:51" ht="12" customHeight="1" x14ac:dyDescent="0.2">
      <c r="A39" s="2487"/>
      <c r="B39" s="2368">
        <v>1</v>
      </c>
      <c r="C39" s="4325"/>
      <c r="D39" s="4271"/>
      <c r="E39" s="4272"/>
      <c r="F39" s="4272"/>
      <c r="G39" s="4272"/>
      <c r="H39" s="4272"/>
      <c r="I39" s="4272"/>
      <c r="J39" s="4272"/>
      <c r="K39" s="4272"/>
      <c r="L39" s="4272"/>
      <c r="M39" s="4272"/>
      <c r="N39" s="4272"/>
      <c r="O39" s="4272"/>
      <c r="P39" s="4272"/>
      <c r="Q39" s="4272"/>
      <c r="R39" s="4272"/>
      <c r="S39" s="4272"/>
      <c r="T39" s="4272"/>
      <c r="U39" s="4272"/>
      <c r="V39" s="4272"/>
      <c r="W39" s="4272"/>
      <c r="X39" s="4272"/>
      <c r="Y39" s="4272"/>
      <c r="Z39" s="4272"/>
      <c r="AA39" s="4272"/>
      <c r="AB39" s="4272"/>
      <c r="AC39" s="4272"/>
      <c r="AD39" s="4272"/>
      <c r="AE39" s="4272"/>
      <c r="AF39" s="4272"/>
      <c r="AG39" s="4273"/>
      <c r="AH39" s="2496"/>
      <c r="AI39" s="4328"/>
      <c r="AJ39" s="2785" t="s">
        <v>9615</v>
      </c>
      <c r="AK39" s="2785"/>
      <c r="AL39" s="2785"/>
      <c r="AM39" s="2785" t="b">
        <f>OR(-V23&gt;TRUNC(SUM(V16:V20)/2),-X23&gt;TRUNC(SUM(X16:X20)/2),-Z23&gt;TRUNC(SUM(Z16:Z20)/2),-AB23&gt;TRUNC(SUM(AB16:AB20)/2),-AD23&gt;TRUNC(SUM(AD16:AD20)/2),-AF23&gt;TRUNC(SUM(AF16:AF20)/2))</f>
        <v>0</v>
      </c>
      <c r="AN39" s="2785"/>
      <c r="AO39" s="2785"/>
      <c r="AP39" s="2785"/>
      <c r="AQ39" s="2786"/>
      <c r="AR39" s="2785"/>
      <c r="AS39" s="2785"/>
      <c r="AT39" s="2785"/>
      <c r="AU39" s="2787"/>
      <c r="AV39" s="2787"/>
      <c r="AW39" s="2787"/>
      <c r="AX39" s="2787"/>
      <c r="AY39" s="2785"/>
    </row>
    <row r="40" spans="1:51" ht="12" customHeight="1" x14ac:dyDescent="0.2">
      <c r="A40" s="2487"/>
      <c r="B40" s="2368">
        <v>1</v>
      </c>
      <c r="C40" s="4325"/>
      <c r="D40" s="4271"/>
      <c r="E40" s="4272"/>
      <c r="F40" s="4272"/>
      <c r="G40" s="4272"/>
      <c r="H40" s="4272"/>
      <c r="I40" s="4272"/>
      <c r="J40" s="4272"/>
      <c r="K40" s="4272"/>
      <c r="L40" s="4272"/>
      <c r="M40" s="4272"/>
      <c r="N40" s="4272"/>
      <c r="O40" s="4272"/>
      <c r="P40" s="4272"/>
      <c r="Q40" s="4272"/>
      <c r="R40" s="4272"/>
      <c r="S40" s="4272"/>
      <c r="T40" s="4272"/>
      <c r="U40" s="4272"/>
      <c r="V40" s="4272"/>
      <c r="W40" s="4272"/>
      <c r="X40" s="4272"/>
      <c r="Y40" s="4272"/>
      <c r="Z40" s="4272"/>
      <c r="AA40" s="4272"/>
      <c r="AB40" s="4272"/>
      <c r="AC40" s="4272"/>
      <c r="AD40" s="4272"/>
      <c r="AE40" s="4272"/>
      <c r="AF40" s="4272"/>
      <c r="AG40" s="4273"/>
      <c r="AH40" s="2496"/>
      <c r="AI40" s="4328"/>
      <c r="AJ40" s="2785" t="s">
        <v>9616</v>
      </c>
      <c r="AK40" s="2785"/>
      <c r="AL40" s="2785"/>
      <c r="AM40" s="2785" t="b">
        <f>COUNTIF(D16:E20,"Primario")&gt;1</f>
        <v>0</v>
      </c>
      <c r="AN40" s="2785"/>
      <c r="AO40" s="2785"/>
      <c r="AP40" s="2785"/>
      <c r="AQ40" s="2786"/>
      <c r="AR40" s="2786"/>
      <c r="AS40" s="2786"/>
      <c r="AT40" s="2786"/>
      <c r="AU40" s="2787"/>
      <c r="AV40" s="2787"/>
      <c r="AW40" s="2787"/>
      <c r="AX40" s="2785"/>
      <c r="AY40" s="2785"/>
    </row>
    <row r="41" spans="1:51" ht="12" customHeight="1" x14ac:dyDescent="0.2">
      <c r="A41" s="2487"/>
      <c r="B41" s="2368">
        <v>1</v>
      </c>
      <c r="C41" s="4325"/>
      <c r="D41" s="4271"/>
      <c r="E41" s="4272"/>
      <c r="F41" s="4272"/>
      <c r="G41" s="4272"/>
      <c r="H41" s="4272"/>
      <c r="I41" s="4272"/>
      <c r="J41" s="4272"/>
      <c r="K41" s="4272"/>
      <c r="L41" s="4272"/>
      <c r="M41" s="4272"/>
      <c r="N41" s="4272"/>
      <c r="O41" s="4272"/>
      <c r="P41" s="4272"/>
      <c r="Q41" s="4272"/>
      <c r="R41" s="4272"/>
      <c r="S41" s="4272"/>
      <c r="T41" s="4272"/>
      <c r="U41" s="4272"/>
      <c r="V41" s="4272"/>
      <c r="W41" s="4272"/>
      <c r="X41" s="4272"/>
      <c r="Y41" s="4272"/>
      <c r="Z41" s="4272"/>
      <c r="AA41" s="4272"/>
      <c r="AB41" s="4272"/>
      <c r="AC41" s="4272"/>
      <c r="AD41" s="4272"/>
      <c r="AE41" s="4272"/>
      <c r="AF41" s="4272"/>
      <c r="AG41" s="4273"/>
      <c r="AH41" s="2496"/>
      <c r="AI41" s="4328"/>
      <c r="AJ41" s="2785" t="s">
        <v>9599</v>
      </c>
      <c r="AK41" s="2785"/>
      <c r="AL41" s="2785"/>
      <c r="AM41" s="2785" t="b">
        <f>SUM(V23:AG23)&lt;&gt;Y21+ABS(AC21)*2/5+IF(S12="Si",3*P12,0)</f>
        <v>0</v>
      </c>
      <c r="AN41" s="2785"/>
      <c r="AO41" s="2785"/>
      <c r="AP41" s="2785"/>
      <c r="AQ41" s="2786"/>
      <c r="AR41" s="2786"/>
      <c r="AS41" s="2786"/>
      <c r="AT41" s="2786"/>
      <c r="AU41" s="2787"/>
      <c r="AV41" s="2787"/>
      <c r="AW41" s="2787"/>
      <c r="AX41" s="2785"/>
      <c r="AY41" s="2785"/>
    </row>
    <row r="42" spans="1:51" ht="12" customHeight="1" x14ac:dyDescent="0.2">
      <c r="A42" s="2487"/>
      <c r="B42" s="2368">
        <v>1</v>
      </c>
      <c r="C42" s="4325"/>
      <c r="D42" s="4271"/>
      <c r="E42" s="4272"/>
      <c r="F42" s="4272"/>
      <c r="G42" s="4272"/>
      <c r="H42" s="4272"/>
      <c r="I42" s="4272"/>
      <c r="J42" s="4272"/>
      <c r="K42" s="4272"/>
      <c r="L42" s="4272"/>
      <c r="M42" s="4272"/>
      <c r="N42" s="4272"/>
      <c r="O42" s="4272"/>
      <c r="P42" s="4272"/>
      <c r="Q42" s="4272"/>
      <c r="R42" s="4272"/>
      <c r="S42" s="4272"/>
      <c r="T42" s="4272"/>
      <c r="U42" s="4272"/>
      <c r="V42" s="4272"/>
      <c r="W42" s="4272"/>
      <c r="X42" s="4272"/>
      <c r="Y42" s="4272"/>
      <c r="Z42" s="4272"/>
      <c r="AA42" s="4272"/>
      <c r="AB42" s="4272"/>
      <c r="AC42" s="4272"/>
      <c r="AD42" s="4272"/>
      <c r="AE42" s="4272"/>
      <c r="AF42" s="4272"/>
      <c r="AG42" s="4273"/>
      <c r="AH42" s="2496"/>
      <c r="AI42" s="4328"/>
      <c r="AJ42" s="2785" t="s">
        <v>9598</v>
      </c>
      <c r="AK42" s="2785"/>
      <c r="AL42" s="2785"/>
      <c r="AM42" s="2785" t="b">
        <f>AL29-AL30+AM29-AM30&lt;&gt;0</f>
        <v>0</v>
      </c>
      <c r="AN42" s="2787"/>
      <c r="AO42" s="2787"/>
      <c r="AP42" s="2787"/>
      <c r="AQ42" s="2787"/>
      <c r="AR42" s="2786"/>
      <c r="AS42" s="2786"/>
      <c r="AT42" s="2786"/>
      <c r="AU42" s="2787"/>
      <c r="AV42" s="2787"/>
      <c r="AW42" s="2787"/>
      <c r="AX42" s="2785"/>
      <c r="AY42" s="2785"/>
    </row>
    <row r="43" spans="1:51" ht="12" customHeight="1" thickBot="1" x14ac:dyDescent="0.25">
      <c r="A43" s="2487"/>
      <c r="B43" s="2368"/>
      <c r="C43" s="4326"/>
      <c r="D43" s="432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30"/>
      <c r="F43" s="4330"/>
      <c r="G43" s="4330"/>
      <c r="H43" s="4330"/>
      <c r="I43" s="4330"/>
      <c r="J43" s="4330"/>
      <c r="K43" s="4330"/>
      <c r="L43" s="4330"/>
      <c r="M43" s="4330"/>
      <c r="N43" s="4330"/>
      <c r="O43" s="4330"/>
      <c r="P43" s="4330"/>
      <c r="Q43" s="4330"/>
      <c r="R43" s="4330"/>
      <c r="S43" s="4330"/>
      <c r="T43" s="4330"/>
      <c r="U43" s="4330"/>
      <c r="V43" s="4330"/>
      <c r="W43" s="4330"/>
      <c r="X43" s="4330"/>
      <c r="Y43" s="4330"/>
      <c r="Z43" s="4330"/>
      <c r="AA43" s="4330"/>
      <c r="AB43" s="4330"/>
      <c r="AC43" s="4330"/>
      <c r="AD43" s="4330"/>
      <c r="AE43" s="4330"/>
      <c r="AF43" s="4330"/>
      <c r="AG43" s="4331"/>
      <c r="AH43" s="2496"/>
      <c r="AI43" s="4328"/>
      <c r="AJ43" s="2785" t="s">
        <v>9635</v>
      </c>
      <c r="AK43" s="2787"/>
      <c r="AL43" s="2787"/>
      <c r="AM43" s="2787" t="b">
        <f>ABS(SUM(N21:N23))&gt;(SUM(N16:N20)-10*Y21+AC21+IF(S12="Si",10*P12,0)+IF(COUNTIF(K16:M20,"Mantenido")&gt;0,P12*10)+MAX(IF(COUNTIF(K16:M20,"Sostenimiento Menor")&gt;0,P12*20)+IF(COUNTIF(K16:M20,"Sostenimiento Mayor")&gt;0,P12*30)))/2</f>
        <v>0</v>
      </c>
      <c r="AN43" s="2785"/>
      <c r="AO43" s="2785"/>
      <c r="AP43" s="2785"/>
      <c r="AQ43" s="2785"/>
      <c r="AR43" s="2786"/>
      <c r="AS43" s="2786"/>
      <c r="AT43" s="2786"/>
      <c r="AU43" s="2787"/>
      <c r="AV43" s="2787"/>
      <c r="AW43" s="2787"/>
      <c r="AX43" s="2785"/>
      <c r="AY43" s="2785"/>
    </row>
    <row r="44" spans="1:51" ht="12" customHeight="1" x14ac:dyDescent="0.2">
      <c r="A44" s="2487"/>
      <c r="B44" s="2368"/>
      <c r="C44" s="4232"/>
      <c r="D44" s="4232" t="str">
        <f>IFERROR(VLOOKUP(D25,'Tablas Técnicas'!$O$9:$T$88,2,FALSE),"")</f>
        <v/>
      </c>
      <c r="E44" s="4232"/>
      <c r="F44" s="4232"/>
      <c r="G44" s="4232"/>
      <c r="H44" s="4232"/>
      <c r="I44" s="4232"/>
      <c r="J44" s="4232" t="str">
        <f>IFERROR(VLOOKUP(J25,'Tablas Técnicas'!$O$9:$T$88,2,FALSE),"")</f>
        <v/>
      </c>
      <c r="K44" s="4232"/>
      <c r="L44" s="4232"/>
      <c r="M44" s="4232"/>
      <c r="N44" s="4232"/>
      <c r="O44" s="4232"/>
      <c r="P44" s="4232" t="str">
        <f>IFERROR(VLOOKUP(P25,'Tablas Técnicas'!$O$9:$T$88,2,FALSE),"")</f>
        <v/>
      </c>
      <c r="Q44" s="4232"/>
      <c r="R44" s="4232"/>
      <c r="S44" s="4232"/>
      <c r="T44" s="4232"/>
      <c r="U44" s="4232"/>
      <c r="V44" s="4232" t="str">
        <f>IFERROR(VLOOKUP(V25,'Tablas Técnicas'!$O$9:$T$88,2,FALSE),"")</f>
        <v/>
      </c>
      <c r="W44" s="4232"/>
      <c r="X44" s="4232"/>
      <c r="Y44" s="4232"/>
      <c r="Z44" s="4232"/>
      <c r="AA44" s="4232"/>
      <c r="AB44" s="4232" t="str">
        <f>IFERROR(VLOOKUP(AB25,'Tablas Técnicas'!$O$9:$T$88,2,FALSE),"")</f>
        <v/>
      </c>
      <c r="AC44" s="4232"/>
      <c r="AD44" s="4232"/>
      <c r="AE44" s="4232"/>
      <c r="AF44" s="4232"/>
      <c r="AG44" s="4232"/>
      <c r="AH44" s="2496"/>
      <c r="AI44" s="2458"/>
      <c r="AJ44" s="2785"/>
      <c r="AK44" s="2785"/>
      <c r="AL44" s="2785"/>
      <c r="AM44" s="2785"/>
      <c r="AN44" s="2785"/>
      <c r="AO44" s="2785"/>
      <c r="AP44" s="2785"/>
      <c r="AQ44" s="2785"/>
      <c r="AR44" s="2786"/>
      <c r="AS44" s="2786"/>
      <c r="AT44" s="2786"/>
      <c r="AU44" s="2787"/>
      <c r="AV44" s="2787"/>
      <c r="AW44" s="2787"/>
      <c r="AX44" s="2787"/>
      <c r="AY44" s="2785"/>
    </row>
    <row r="45" spans="1:51" ht="12.75" customHeight="1" thickBot="1" x14ac:dyDescent="0.25">
      <c r="A45" s="2487"/>
      <c r="B45" s="2368"/>
      <c r="C45" s="4232"/>
      <c r="D45" s="2635"/>
      <c r="E45" s="2370"/>
      <c r="F45" s="2370"/>
      <c r="G45" s="2370"/>
      <c r="H45" s="2370"/>
      <c r="I45" s="2370"/>
      <c r="J45" s="2370"/>
      <c r="K45" s="2370"/>
      <c r="L45" s="2370"/>
      <c r="M45" s="2370"/>
      <c r="N45" s="2370"/>
      <c r="O45" s="2370"/>
      <c r="P45" s="2370"/>
      <c r="Q45" s="2370"/>
      <c r="R45" s="2370"/>
      <c r="S45" s="2370"/>
      <c r="T45" s="2370"/>
      <c r="U45" s="2370"/>
      <c r="V45" s="2636"/>
      <c r="W45" s="2636"/>
      <c r="X45" s="2636"/>
      <c r="Y45" s="2636"/>
      <c r="Z45" s="2636"/>
      <c r="AA45" s="2636"/>
      <c r="AB45" s="2636"/>
      <c r="AC45" s="2636"/>
      <c r="AD45" s="2636"/>
      <c r="AE45" s="2636"/>
      <c r="AF45" s="2370"/>
      <c r="AG45" s="2370"/>
      <c r="AH45" s="2496"/>
      <c r="AI45" s="2188"/>
      <c r="AJ45" s="2793"/>
      <c r="AK45" s="2793"/>
      <c r="AL45" s="2793"/>
      <c r="AM45" s="2793"/>
      <c r="AN45" s="2793"/>
      <c r="AO45" s="2793"/>
      <c r="AP45" s="2785"/>
      <c r="AQ45" s="2786"/>
      <c r="AR45" s="2787"/>
      <c r="AS45" s="2787"/>
      <c r="AT45" s="2787"/>
      <c r="AU45" s="2787"/>
      <c r="AV45" s="2787"/>
      <c r="AW45" s="2787"/>
      <c r="AX45" s="2787"/>
      <c r="AY45" s="2794"/>
    </row>
    <row r="46" spans="1:51" ht="11.25" customHeight="1" x14ac:dyDescent="0.2">
      <c r="A46" s="2487"/>
      <c r="B46" s="2368">
        <f t="shared" ref="B46:B76" si="8">1+B12</f>
        <v>2</v>
      </c>
      <c r="C46" s="4324" t="str">
        <f>"Técnica "&amp;B46</f>
        <v>Técnica 2</v>
      </c>
      <c r="D46" s="4318" t="s">
        <v>8999</v>
      </c>
      <c r="E46" s="4319"/>
      <c r="F46" s="4319"/>
      <c r="G46" s="4319"/>
      <c r="H46" s="4319"/>
      <c r="I46" s="4319"/>
      <c r="J46" s="4319"/>
      <c r="K46" s="4319"/>
      <c r="L46" s="4319"/>
      <c r="M46" s="4319"/>
      <c r="N46" s="4320"/>
      <c r="O46" s="4284" t="s">
        <v>1333</v>
      </c>
      <c r="P46" s="4286">
        <v>1</v>
      </c>
      <c r="Q46" s="4203" t="s">
        <v>9083</v>
      </c>
      <c r="R46" s="4280"/>
      <c r="S46" s="4282" t="s">
        <v>1389</v>
      </c>
      <c r="T46" s="4204" t="s">
        <v>1514</v>
      </c>
      <c r="U46" s="4268">
        <f>MAX(IF(P46=3,60,IF(P46=2,40,20)),MIN(IF(P46=3,200,IF(P46=2,100,50)),SUM(N50:N57)-10*Y55+AC55+IF(S46="Si",10*P46,0)+IF(COUNTIF(K50:M54,"Mantenido")&gt;0,P46*10)+MAX(IF(COUNTIF(K50:M54,"Sostenimiento Menor")&gt;0,P46*20)+IF(COUNTIF(K50:M54,"Sostenimiento Mayor")&gt;0,P46*30))))</f>
        <v>20</v>
      </c>
      <c r="V46" s="4203" t="s">
        <v>9084</v>
      </c>
      <c r="W46" s="4204"/>
      <c r="X46" s="4207" t="str">
        <f>IFERROR(LEFT(AK62&amp;AL62&amp;AM62&amp;AN62&amp;AO62&amp;AP62,LEN(AK62&amp;AL62&amp;AM62&amp;AN62&amp;AO62&amp;AP62)-2),"")</f>
        <v/>
      </c>
      <c r="Y46" s="4207"/>
      <c r="Z46" s="4207"/>
      <c r="AA46" s="4207"/>
      <c r="AB46" s="4207"/>
      <c r="AC46" s="4207"/>
      <c r="AD46" s="4207"/>
      <c r="AE46" s="4207"/>
      <c r="AF46" s="4207"/>
      <c r="AG46" s="4208"/>
      <c r="AH46" s="2496"/>
      <c r="AI46" s="4328"/>
      <c r="AJ46" s="2790" t="s">
        <v>9632</v>
      </c>
      <c r="AK46" s="2790"/>
      <c r="AL46" s="2790"/>
      <c r="AM46" s="2790"/>
      <c r="AN46" s="2790"/>
      <c r="AO46" s="2790"/>
      <c r="AP46" s="2790"/>
      <c r="AQ46" s="2790"/>
      <c r="AR46" s="2790"/>
      <c r="AS46" s="2785"/>
      <c r="AT46" s="2785"/>
      <c r="AU46" s="2785"/>
      <c r="AV46" s="2785"/>
      <c r="AW46" s="2787"/>
      <c r="AX46" s="2787"/>
      <c r="AY46" s="2785"/>
    </row>
    <row r="47" spans="1:51" ht="11.25" customHeight="1" x14ac:dyDescent="0.2">
      <c r="A47" s="2487"/>
      <c r="B47" s="2368">
        <f t="shared" si="8"/>
        <v>2</v>
      </c>
      <c r="C47" s="4325"/>
      <c r="D47" s="4321"/>
      <c r="E47" s="4322"/>
      <c r="F47" s="4322"/>
      <c r="G47" s="4322"/>
      <c r="H47" s="4322"/>
      <c r="I47" s="4322"/>
      <c r="J47" s="4322"/>
      <c r="K47" s="4322"/>
      <c r="L47" s="4322"/>
      <c r="M47" s="4322"/>
      <c r="N47" s="4323"/>
      <c r="O47" s="4285"/>
      <c r="P47" s="4283"/>
      <c r="Q47" s="4205"/>
      <c r="R47" s="4281"/>
      <c r="S47" s="4283"/>
      <c r="T47" s="4206"/>
      <c r="U47" s="4269"/>
      <c r="V47" s="4205"/>
      <c r="W47" s="4206"/>
      <c r="X47" s="4209"/>
      <c r="Y47" s="4209"/>
      <c r="Z47" s="4209"/>
      <c r="AA47" s="4209"/>
      <c r="AB47" s="4209"/>
      <c r="AC47" s="4209"/>
      <c r="AD47" s="4209"/>
      <c r="AE47" s="4209"/>
      <c r="AF47" s="4209"/>
      <c r="AG47" s="4210"/>
      <c r="AH47" s="2496"/>
      <c r="AI47" s="4328"/>
      <c r="AJ47" s="2790"/>
      <c r="AK47" s="2790" t="s">
        <v>9633</v>
      </c>
      <c r="AL47" s="2790" t="s">
        <v>10237</v>
      </c>
      <c r="AM47" s="2791"/>
      <c r="AN47" s="2791"/>
      <c r="AO47" s="2791"/>
      <c r="AP47" s="2791"/>
      <c r="AQ47" s="2791"/>
      <c r="AR47" s="2790"/>
      <c r="AS47" s="2785"/>
      <c r="AT47" s="2785"/>
      <c r="AU47" s="2785"/>
      <c r="AV47" s="2785"/>
      <c r="AW47" s="2787"/>
      <c r="AX47" s="4327" t="s">
        <v>9602</v>
      </c>
      <c r="AY47" s="4327"/>
    </row>
    <row r="48" spans="1:51" ht="12" customHeight="1" x14ac:dyDescent="0.2">
      <c r="A48" s="2487"/>
      <c r="B48" s="2368">
        <f t="shared" si="8"/>
        <v>2</v>
      </c>
      <c r="C48" s="4325"/>
      <c r="D48" s="4213" t="s">
        <v>2910</v>
      </c>
      <c r="E48" s="4214"/>
      <c r="F48" s="4214"/>
      <c r="G48" s="4214"/>
      <c r="H48" s="4214"/>
      <c r="I48" s="4214"/>
      <c r="J48" s="4214"/>
      <c r="K48" s="4290" t="s">
        <v>9935</v>
      </c>
      <c r="L48" s="4290"/>
      <c r="M48" s="4290"/>
      <c r="N48" s="4214" t="s">
        <v>1508</v>
      </c>
      <c r="O48" s="4290" t="s">
        <v>2908</v>
      </c>
      <c r="P48" s="4290" t="s">
        <v>9085</v>
      </c>
      <c r="Q48" s="4214" t="s">
        <v>1372</v>
      </c>
      <c r="R48" s="4214"/>
      <c r="S48" s="4214"/>
      <c r="T48" s="4214"/>
      <c r="U48" s="4214"/>
      <c r="V48" s="4202" t="s">
        <v>1381</v>
      </c>
      <c r="W48" s="4185"/>
      <c r="X48" s="4202" t="s">
        <v>1506</v>
      </c>
      <c r="Y48" s="4287"/>
      <c r="Z48" s="4185" t="s">
        <v>1386</v>
      </c>
      <c r="AA48" s="4185"/>
      <c r="AB48" s="4202" t="s">
        <v>1391</v>
      </c>
      <c r="AC48" s="4287"/>
      <c r="AD48" s="4185" t="s">
        <v>1399</v>
      </c>
      <c r="AE48" s="4185"/>
      <c r="AF48" s="4202" t="s">
        <v>1400</v>
      </c>
      <c r="AG48" s="4186"/>
      <c r="AH48" s="2496"/>
      <c r="AI48" s="4328"/>
      <c r="AJ48" s="2785"/>
      <c r="AK48" s="2785"/>
      <c r="AL48" s="2785" t="s">
        <v>9910</v>
      </c>
      <c r="AM48" s="2785"/>
      <c r="AN48" s="2785"/>
      <c r="AO48" s="2785"/>
      <c r="AP48" s="2785"/>
      <c r="AQ48" s="2785"/>
      <c r="AR48" s="2787"/>
      <c r="AS48" s="2787" t="s">
        <v>9622</v>
      </c>
      <c r="AT48" s="2787" t="s">
        <v>9623</v>
      </c>
      <c r="AU48" s="2785" t="s">
        <v>9611</v>
      </c>
      <c r="AV48" s="2785" t="s">
        <v>9612</v>
      </c>
      <c r="AW48" s="2787" t="s">
        <v>1508</v>
      </c>
      <c r="AX48" s="2787" t="s">
        <v>9087</v>
      </c>
      <c r="AY48" s="2785" t="s">
        <v>9088</v>
      </c>
    </row>
    <row r="49" spans="1:51" ht="12.75" customHeight="1" x14ac:dyDescent="0.2">
      <c r="A49" s="2487"/>
      <c r="B49" s="2368">
        <f t="shared" si="8"/>
        <v>2</v>
      </c>
      <c r="C49" s="4325"/>
      <c r="D49" s="4288"/>
      <c r="E49" s="4289"/>
      <c r="F49" s="4289"/>
      <c r="G49" s="4289"/>
      <c r="H49" s="4289"/>
      <c r="I49" s="4289"/>
      <c r="J49" s="4289"/>
      <c r="K49" s="4291"/>
      <c r="L49" s="4291"/>
      <c r="M49" s="4291"/>
      <c r="N49" s="4215"/>
      <c r="O49" s="4291"/>
      <c r="P49" s="4292"/>
      <c r="Q49" s="4215"/>
      <c r="R49" s="4215"/>
      <c r="S49" s="4215"/>
      <c r="T49" s="4215"/>
      <c r="U49" s="4215"/>
      <c r="V49" s="2373" t="s">
        <v>9601</v>
      </c>
      <c r="W49" s="2488" t="s">
        <v>2914</v>
      </c>
      <c r="X49" s="2373" t="s">
        <v>9601</v>
      </c>
      <c r="Y49" s="2488" t="s">
        <v>2914</v>
      </c>
      <c r="Z49" s="2373" t="s">
        <v>9601</v>
      </c>
      <c r="AA49" s="2488" t="s">
        <v>2914</v>
      </c>
      <c r="AB49" s="2373" t="s">
        <v>9601</v>
      </c>
      <c r="AC49" s="2488" t="s">
        <v>2914</v>
      </c>
      <c r="AD49" s="2373" t="s">
        <v>9601</v>
      </c>
      <c r="AE49" s="2488" t="s">
        <v>2914</v>
      </c>
      <c r="AF49" s="2373" t="s">
        <v>9601</v>
      </c>
      <c r="AG49" s="2195" t="s">
        <v>2914</v>
      </c>
      <c r="AH49" s="2496"/>
      <c r="AI49" s="4328"/>
      <c r="AJ49" s="2785"/>
      <c r="AK49" s="2785" t="s">
        <v>9603</v>
      </c>
      <c r="AL49" s="2785">
        <v>1</v>
      </c>
      <c r="AM49" s="2785">
        <v>2</v>
      </c>
      <c r="AN49" s="2785">
        <v>3</v>
      </c>
      <c r="AO49" s="2785">
        <v>4</v>
      </c>
      <c r="AP49" s="2785">
        <v>5</v>
      </c>
      <c r="AQ49" s="2785">
        <v>6</v>
      </c>
      <c r="AR49" s="2785">
        <v>7</v>
      </c>
      <c r="AS49" s="2787"/>
      <c r="AT49" s="2785" t="s">
        <v>9634</v>
      </c>
      <c r="AU49" s="2787"/>
      <c r="AV49" s="2787"/>
      <c r="AW49" s="2787" t="s">
        <v>9634</v>
      </c>
      <c r="AX49" s="2787"/>
      <c r="AY49" s="2785"/>
    </row>
    <row r="50" spans="1:51" ht="12.75" customHeight="1" x14ac:dyDescent="0.2">
      <c r="A50" s="2487"/>
      <c r="B50" s="2368">
        <f t="shared" si="8"/>
        <v>2</v>
      </c>
      <c r="C50" s="4325"/>
      <c r="D50" s="4293" t="s">
        <v>9089</v>
      </c>
      <c r="E50" s="4294"/>
      <c r="F50" s="4295"/>
      <c r="G50" s="4296"/>
      <c r="H50" s="4296"/>
      <c r="I50" s="4296"/>
      <c r="J50" s="4240"/>
      <c r="K50" s="4297" t="s">
        <v>1464</v>
      </c>
      <c r="L50" s="4298"/>
      <c r="M50" s="4299"/>
      <c r="N50" s="2374">
        <f>IF(AW50&gt;0,IF(VLOOKUP(F50,'Tablas Técnicas'!$O$9:$X$88,10,0),MAX(5,AW50-5),AW50),0)</f>
        <v>0</v>
      </c>
      <c r="O50" s="2374" t="str">
        <f>AS50&amp;" / "&amp;AT50</f>
        <v>0 / 0</v>
      </c>
      <c r="P50" s="2374" t="str">
        <f t="array" ref="P50">W50+Y50+AA50+AC50+AE50+AG50&amp;" / "&amp;IF(K50&lt;&gt;"Mantenido",0,SUM(IF($AL50:$AR50='Tablas Técnicas'!$L$10:$L$643,'Tablas Técnicas'!$H$10:$H$643,0)))</f>
        <v>0 / 0</v>
      </c>
      <c r="Q50" s="4300" t="str">
        <f>IFERROR(VLOOKUP(F50,'Tablas Técnicas'!$O$9:$T$88,5,FALSE),"")</f>
        <v/>
      </c>
      <c r="R50" s="4300"/>
      <c r="S50" s="4300"/>
      <c r="T50" s="4300"/>
      <c r="U50" s="4300"/>
      <c r="V50" s="2324"/>
      <c r="W50" s="2325"/>
      <c r="X50" s="2324"/>
      <c r="Y50" s="2326"/>
      <c r="Z50" s="2327"/>
      <c r="AA50" s="2325"/>
      <c r="AB50" s="2324"/>
      <c r="AC50" s="2326"/>
      <c r="AD50" s="2327"/>
      <c r="AE50" s="2325"/>
      <c r="AF50" s="2324"/>
      <c r="AG50" s="2328"/>
      <c r="AH50" s="2496"/>
      <c r="AI50" s="4328"/>
      <c r="AJ50" s="2785">
        <v>1</v>
      </c>
      <c r="AK50" s="2785">
        <f>P46</f>
        <v>1</v>
      </c>
      <c r="AL50" s="2785" t="str">
        <f>IF(AND(ISNUMBER(MATCH($F50,'Tablas Técnicas'!$L$10:$L$643,0)),INDEX($D63:$D69,Tablas!A$1)="",COUNTIF(AM50:$AS50,$F50)=0),$F50,IF(INDEX($D63:$D69,Tablas!A$1)="","",$F50&amp;INDEX($D63:$D69,Tablas!A$1)))</f>
        <v/>
      </c>
      <c r="AM50" s="2785" t="str">
        <f>IF(AND(ISNUMBER(MATCH($F50,'Tablas Técnicas'!$L$10:$L$643,0)),INDEX($D63:$D69,Tablas!B$1)="",COUNTIF(AN50:$AS50,$F50)=0),$F50,IF(INDEX($D63:$D69,Tablas!B$1)="","",$F50&amp;INDEX($D63:$D69,Tablas!B$1)))</f>
        <v/>
      </c>
      <c r="AN50" s="2785" t="str">
        <f>IF(AND(ISNUMBER(MATCH($F50,'Tablas Técnicas'!$L$10:$L$643,0)),INDEX($D63:$D69,Tablas!C$1)="",COUNTIF(AO50:$AS50,$F50)=0),$F50,IF(INDEX($D63:$D69,Tablas!C$1)="","",$F50&amp;INDEX($D63:$D69,Tablas!C$1)))</f>
        <v/>
      </c>
      <c r="AO50" s="2785" t="str">
        <f>IF(AND(ISNUMBER(MATCH($F50,'Tablas Técnicas'!$L$10:$L$643,0)),INDEX($D63:$D69,Tablas!D$1)="",COUNTIF(AP50:$AS50,$F50)=0),$F50,IF(INDEX($D63:$D69,Tablas!D$1)="","",$F50&amp;INDEX($D63:$D69,Tablas!D$1)))</f>
        <v/>
      </c>
      <c r="AP50" s="2785" t="str">
        <f>IF(AND(ISNUMBER(MATCH($F50,'Tablas Técnicas'!$L$10:$L$643,0)),INDEX($D63:$D69,Tablas!E$1)="",COUNTIF(AQ50:$AS50,$F50)=0),$F50,IF(INDEX($D63:$D69,Tablas!E$1)="","",$F50&amp;INDEX($D63:$D69,Tablas!E$1)))</f>
        <v/>
      </c>
      <c r="AQ50" s="2785" t="str">
        <f>IF(AND(ISNUMBER(MATCH($F50,'Tablas Técnicas'!$L$10:$L$643,0)),INDEX($D63:$D69,Tablas!F$1)="",COUNTIF(AR50:$AS50,$F50)=0),$F50,IF(INDEX($D63:$D69,Tablas!F$1)="","",$F50&amp;INDEX($D63:$D69,Tablas!F$1)))</f>
        <v/>
      </c>
      <c r="AR50" s="2785" t="str">
        <f>IF(AND(ISNUMBER(MATCH($F50,'Tablas Técnicas'!$L$10:$L$643,0)),INDEX($D63:$D69,Tablas!G$1)="",COUNTIF(AS50:$AS50,$F50)=0),$F50,IF(INDEX($D63:$D69,Tablas!G$1)="","",$F50&amp;INDEX($D63:$D69,Tablas!G$1)))</f>
        <v/>
      </c>
      <c r="AS50" s="2787">
        <f>V50+X50+Z50+AB50+AD50+AF50</f>
        <v>0</v>
      </c>
      <c r="AT50" s="2787">
        <f t="array" ref="AT50">SUM(IF($AL50:$AR50='Tablas Técnicas'!$L$10:$L$643,IF(D50="Primario",'Tablas Técnicas'!$E$10:$E$643,'Tablas Técnicas'!$F$10:$F$643)+IF(K50="Sostenimiento menor",'Tablas Técnicas'!$I$10:$I$643,IF(K50="sostenimiento mayor",'Tablas Técnicas'!$J$10:$J$643,0)),0),0)+VALUE(RIGHT(P50,2))+AU50+AV50</f>
        <v>0</v>
      </c>
      <c r="AU50" s="2787">
        <f>IFERROR(IF(V50=0,0,VALUE(MID(Q50,SEARCH("AGI",Q50)+4,1))),0)+IFERROR(IF(X50=0,0,VALUE(MID(Q50,SEARCH("CON",Q50)+4,1))),0)+IFERROR(IF(Z50=0,0,VALUE(MID(Q50,SEARCH("DES",Q50)+4,1))),0)+IFERROR(IF(AB50=0,0,VALUE(MID(Q50,SEARCH("FUE",Q50)+4,1))),0)+IFERROR(IF(AD50=0,0,VALUE(MID(Q50,SEARCH("POD",Q50)+4,1))),0)+IFERROR(IF(AF50=0,0,VALUE(MID(Q50,SEARCH("VOL",Q50)+4,1))),0)</f>
        <v>0</v>
      </c>
      <c r="AV50" s="2787">
        <f>(COUNTIF(AL50:AR50,"*Estado añadido:*")-1)*COUNTIF(AL50:AR50,"*Estado añadido:*")</f>
        <v>0</v>
      </c>
      <c r="AW50" s="2787">
        <f t="array" ref="AW50">SUM(IF($AL50:$AR50='Tablas Técnicas'!$L$10:$L$643,'Tablas Técnicas'!$G$10:$G$643,0))</f>
        <v>0</v>
      </c>
      <c r="AX50" s="2785" t="str">
        <f>IF(F50="","",F50&amp;" ("&amp;IF(AL50="","",SUBSTITUTE(AL50,F50,"")&amp;", ")&amp;IF(AM50="","",SUBSTITUTE(AM50,F50,"")&amp;", ")&amp;IF(AN50="","",SUBSTITUTE(AN50,F50,"")&amp;", ")&amp;IF(AO50="","",SUBSTITUTE(AO50,F50,"")&amp;", ")&amp;IF(AP50="","",SUBSTITUTE(AP50,F50,"")&amp;", ")&amp;IF(AQ50="","",SUBSTITUTE(AQ50,F50,"")&amp;", ")&amp;IF(AR50="","",SUBSTITUTE(AR50,F50,"")&amp;", ")&amp;IF(OR(K50="",K50="-"),"",K50&amp;", "))</f>
        <v/>
      </c>
      <c r="AY50" s="2785" t="str">
        <f t="shared" ref="AY50:AY52" si="9">IFERROR(LEFT(AX50,LEN(AX50)-2)&amp;"), ","")</f>
        <v/>
      </c>
    </row>
    <row r="51" spans="1:51" ht="12.75" customHeight="1" x14ac:dyDescent="0.2">
      <c r="A51" s="2487"/>
      <c r="B51" s="2368">
        <f t="shared" si="8"/>
        <v>2</v>
      </c>
      <c r="C51" s="4325"/>
      <c r="D51" s="4221" t="s">
        <v>526</v>
      </c>
      <c r="E51" s="4222"/>
      <c r="F51" s="4304"/>
      <c r="G51" s="4305"/>
      <c r="H51" s="4305"/>
      <c r="I51" s="4305"/>
      <c r="J51" s="4249"/>
      <c r="K51" s="4306" t="s">
        <v>1464</v>
      </c>
      <c r="L51" s="4307"/>
      <c r="M51" s="4308"/>
      <c r="N51" s="2192">
        <f>IF(AW51&gt;0,IF(VLOOKUP(F51,'Tablas Técnicas'!$O$9:$X$88,10,0),MAX(5,AW51-5),AW51),0)</f>
        <v>0</v>
      </c>
      <c r="O51" s="2192" t="str">
        <f>AS51&amp;" / "&amp;AT51</f>
        <v>0 / 0</v>
      </c>
      <c r="P51" s="2192" t="str">
        <f t="array" ref="P51">W51+Y51+AA51+AC51+AE51+AG51&amp;" / "&amp;IF(K51&lt;&gt;"Mantenido",0,SUM(IF($AL51:$AR51='Tablas Técnicas'!$L$10:$L$643,'Tablas Técnicas'!$H$10:$H$643,0)))</f>
        <v>0 / 0</v>
      </c>
      <c r="Q51" s="4223" t="str">
        <f>IFERROR(VLOOKUP(F51,'Tablas Técnicas'!$O$9:$T$88,5,FALSE),"")</f>
        <v/>
      </c>
      <c r="R51" s="4223"/>
      <c r="S51" s="4223"/>
      <c r="T51" s="4223"/>
      <c r="U51" s="4223"/>
      <c r="V51" s="2329"/>
      <c r="W51" s="2330"/>
      <c r="X51" s="2329"/>
      <c r="Y51" s="2331"/>
      <c r="Z51" s="2332"/>
      <c r="AA51" s="2330"/>
      <c r="AB51" s="2329"/>
      <c r="AC51" s="2331"/>
      <c r="AD51" s="2332"/>
      <c r="AE51" s="2330"/>
      <c r="AF51" s="2329"/>
      <c r="AG51" s="2333"/>
      <c r="AH51" s="2496"/>
      <c r="AI51" s="4328"/>
      <c r="AJ51" s="2785">
        <v>2</v>
      </c>
      <c r="AK51" s="2785">
        <f>P46</f>
        <v>1</v>
      </c>
      <c r="AL51" s="2785" t="str">
        <f>IF(AND(ISNUMBER(MATCH($F51,'Tablas Técnicas'!$L$10:$L$643,0)),INDEX($J63:$J69,Tablas!A$1)="",COUNTIF(AM51:$AS51,$F51)=0),$F51,IF(INDEX($J63:$J69,Tablas!A$1)="","",$F51&amp;INDEX($J63:$J69,Tablas!A$1)))</f>
        <v/>
      </c>
      <c r="AM51" s="2785" t="str">
        <f>IF(AND(ISNUMBER(MATCH($F51,'Tablas Técnicas'!$L$10:$L$643,0)),INDEX($J63:$J69,Tablas!B$1)="",COUNTIF(AN51:$AS51,$F51)=0),$F51,IF(INDEX($J63:$J69,Tablas!B$1)="","",$F51&amp;INDEX($J63:$J69,Tablas!B$1)))</f>
        <v/>
      </c>
      <c r="AN51" s="2785" t="str">
        <f>IF(AND(ISNUMBER(MATCH($F51,'Tablas Técnicas'!$L$10:$L$643,0)),INDEX($J63:$J69,Tablas!C$1)="",COUNTIF(AO51:$AS51,$F51)=0),$F51,IF(INDEX($J63:$J69,Tablas!C$1)="","",$F51&amp;INDEX($J63:$J69,Tablas!C$1)))</f>
        <v/>
      </c>
      <c r="AO51" s="2785" t="str">
        <f>IF(AND(ISNUMBER(MATCH($F51,'Tablas Técnicas'!$L$10:$L$643,0)),INDEX($J63:$J69,Tablas!D$1)="",COUNTIF(AP51:$AS51,$F51)=0),$F51,IF(INDEX($J63:$J69,Tablas!D$1)="","",$F51&amp;INDEX($J63:$J69,Tablas!D$1)))</f>
        <v/>
      </c>
      <c r="AP51" s="2785" t="str">
        <f>IF(AND(ISNUMBER(MATCH($F51,'Tablas Técnicas'!$L$10:$L$643,0)),INDEX($J63:$J69,Tablas!E$1)="",COUNTIF(AQ51:$AS51,$F51)=0),$F51,IF(INDEX($J63:$J69,Tablas!E$1)="","",$F51&amp;INDEX($J63:$J69,Tablas!E$1)))</f>
        <v/>
      </c>
      <c r="AQ51" s="2785" t="str">
        <f>IF(AND(ISNUMBER(MATCH($F51,'Tablas Técnicas'!$L$10:$L$643,0)),INDEX($J63:$J69,Tablas!F$1)="",COUNTIF(AR51:$AS51,$F51)=0),$F51,IF(INDEX($J63:$J69,Tablas!F$1)="","",$F51&amp;INDEX($J63:$J69,Tablas!F$1)))</f>
        <v/>
      </c>
      <c r="AR51" s="2785" t="str">
        <f>IF(AND(ISNUMBER(MATCH($F51,'Tablas Técnicas'!$L$10:$L$643,0)),INDEX($J63:$J69,Tablas!G$1)="",COUNTIF(AS51:$AS51,$F51)=0),$F51,IF(INDEX($J63:$J69,Tablas!G$1)="","",$F51&amp;INDEX($J63:$J69,Tablas!G$1)))</f>
        <v/>
      </c>
      <c r="AS51" s="2787">
        <f>V51+X51+Z51+AB51+AD51+AF51</f>
        <v>0</v>
      </c>
      <c r="AT51" s="2787">
        <f t="array" ref="AT51">SUM(IF($AL51:$AR51='Tablas Técnicas'!$L$10:$L$643,IF(D51="Primario",'Tablas Técnicas'!$E$10:$E$643,'Tablas Técnicas'!$F$10:$F$643)+IF(K51="Sostenimiento menor",'Tablas Técnicas'!$I$10:$I$643,IF(K51="sostenimiento mayor",'Tablas Técnicas'!$J$10:$J$643,0)),0),0)+VALUE(RIGHT(P51,2))+AU51+AV51</f>
        <v>0</v>
      </c>
      <c r="AU51" s="2787">
        <f>IFERROR(IF(V51=0,0,VALUE(MID(Q51,SEARCH("AGI",Q51)+4,1))),0)+IFERROR(IF(X51=0,0,VALUE(MID(Q51,SEARCH("CON",Q51)+4,1))),0)+IFERROR(IF(Z51=0,0,VALUE(MID(Q51,SEARCH("DES",Q51)+4,1))),0)+IFERROR(IF(AB51=0,0,VALUE(MID(Q51,SEARCH("FUE",Q51)+4,1))),0)+IFERROR(IF(AD51=0,0,VALUE(MID(Q51,SEARCH("POD",Q51)+4,1))),0)+IFERROR(IF(AF51=0,0,VALUE(MID(Q51,SEARCH("VOL",Q51)+4,1))),0)</f>
        <v>0</v>
      </c>
      <c r="AV51" s="2787">
        <f>(COUNTIF(AL51:AR51,"*Estado añadido:*")-1)*COUNTIF(AL51:AR51,"*Estado añadido:*")</f>
        <v>0</v>
      </c>
      <c r="AW51" s="2787">
        <f t="array" ref="AW51">SUM(IF($AL51:$AR51='Tablas Técnicas'!$L$10:$L$643,'Tablas Técnicas'!$G$10:$G$643,0))</f>
        <v>0</v>
      </c>
      <c r="AX51" s="278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85" t="str">
        <f t="shared" si="9"/>
        <v/>
      </c>
    </row>
    <row r="52" spans="1:51" ht="12.75" customHeight="1" x14ac:dyDescent="0.2">
      <c r="A52" s="2487"/>
      <c r="B52" s="2368">
        <f t="shared" si="8"/>
        <v>2</v>
      </c>
      <c r="C52" s="4325"/>
      <c r="D52" s="4312" t="s">
        <v>526</v>
      </c>
      <c r="E52" s="4313"/>
      <c r="F52" s="4227"/>
      <c r="G52" s="4228"/>
      <c r="H52" s="4228"/>
      <c r="I52" s="4228"/>
      <c r="J52" s="4229"/>
      <c r="K52" s="4309" t="s">
        <v>1464</v>
      </c>
      <c r="L52" s="4310"/>
      <c r="M52" s="4311"/>
      <c r="N52" s="2188">
        <f>IF(AW52&gt;0,IF(VLOOKUP(F52,'Tablas Técnicas'!$O$9:$X$88,10,0),MAX(5,AW52-5),AW52),0)</f>
        <v>0</v>
      </c>
      <c r="O52" s="2188" t="str">
        <f>AS52&amp;" / "&amp;AT52</f>
        <v>0 / 0</v>
      </c>
      <c r="P52" s="2188" t="str">
        <f t="array" ref="P52">W52+Y52+AA52+AC52+AE52+AG52&amp;" / "&amp;IF(K52&lt;&gt;"Mantenido",0,SUM(IF($AL52:$AR52='Tablas Técnicas'!$L$10:$L$643,'Tablas Técnicas'!$H$10:$H$643,0)))</f>
        <v>0 / 0</v>
      </c>
      <c r="Q52" s="4314" t="str">
        <f>IFERROR(VLOOKUP(F52,'Tablas Técnicas'!$O$9:$T$88,5,FALSE),"")</f>
        <v/>
      </c>
      <c r="R52" s="4314"/>
      <c r="S52" s="4314"/>
      <c r="T52" s="4314"/>
      <c r="U52" s="4314"/>
      <c r="V52" s="2334"/>
      <c r="W52" s="2335"/>
      <c r="X52" s="2334"/>
      <c r="Y52" s="2336"/>
      <c r="Z52" s="2337"/>
      <c r="AA52" s="2335"/>
      <c r="AB52" s="2334"/>
      <c r="AC52" s="2336"/>
      <c r="AD52" s="2337"/>
      <c r="AE52" s="2335"/>
      <c r="AF52" s="2334"/>
      <c r="AG52" s="2338"/>
      <c r="AH52" s="2496"/>
      <c r="AI52" s="4328"/>
      <c r="AJ52" s="2785">
        <v>3</v>
      </c>
      <c r="AK52" s="2785">
        <f>P46</f>
        <v>1</v>
      </c>
      <c r="AL52" s="2785" t="str">
        <f>IF(AND(ISNUMBER(MATCH($F52,'Tablas Técnicas'!$L$10:$L$643,0)),INDEX($P63:$P69,Tablas!A$1)="",COUNTIF(AM52:$AS52,$F52)=0),$F52,IF(INDEX($P63:$P69,Tablas!A$1)="","",$F52&amp;INDEX($P63:$P69,Tablas!A$1)))</f>
        <v/>
      </c>
      <c r="AM52" s="2785" t="str">
        <f>IF(AND(ISNUMBER(MATCH($F52,'Tablas Técnicas'!$L$10:$L$643,0)),INDEX($P63:$P69,Tablas!B$1)="",COUNTIF(AN52:$AS52,$F52)=0),$F52,IF(INDEX($P63:$P69,Tablas!B$1)="","",$F52&amp;INDEX($P63:$P69,Tablas!B$1)))</f>
        <v/>
      </c>
      <c r="AN52" s="2785" t="str">
        <f>IF(AND(ISNUMBER(MATCH($F52,'Tablas Técnicas'!$L$10:$L$643,0)),INDEX($P63:$P69,Tablas!C$1)="",COUNTIF(AO52:$AS52,$F52)=0),$F52,IF(INDEX($P63:$P69,Tablas!C$1)="","",$F52&amp;INDEX($P63:$P69,Tablas!C$1)))</f>
        <v/>
      </c>
      <c r="AO52" s="2785" t="str">
        <f>IF(AND(ISNUMBER(MATCH($F52,'Tablas Técnicas'!$L$10:$L$643,0)),INDEX($P63:$P69,Tablas!D$1)="",COUNTIF(AP52:$AS52,$F52)=0),$F52,IF(INDEX($P63:$P69,Tablas!D$1)="","",$F52&amp;INDEX($P63:$P69,Tablas!D$1)))</f>
        <v/>
      </c>
      <c r="AP52" s="2785" t="str">
        <f>IF(AND(ISNUMBER(MATCH($F52,'Tablas Técnicas'!$L$10:$L$643,0)),INDEX($P63:$P69,Tablas!E$1)="",COUNTIF(AQ52:$AS52,$F52)=0),$F52,IF(INDEX($P63:$P69,Tablas!E$1)="","",$F52&amp;INDEX($P63:$P69,Tablas!E$1)))</f>
        <v/>
      </c>
      <c r="AQ52" s="2785" t="str">
        <f>IF(AND(ISNUMBER(MATCH($F52,'Tablas Técnicas'!$L$10:$L$643,0)),INDEX($P63:$P69,Tablas!F$1)="",COUNTIF(AR52:$AS52,$F52)=0),$F52,IF(INDEX($P63:$P69,Tablas!F$1)="","",$F52&amp;INDEX($P63:$P69,Tablas!F$1)))</f>
        <v/>
      </c>
      <c r="AR52" s="2785" t="str">
        <f>IF(AND(ISNUMBER(MATCH($F52,'Tablas Técnicas'!$L$10:$L$643,0)),INDEX($P63:$P69,Tablas!G$1)="",COUNTIF(AS52:$AS52,$F52)=0),$F52,IF(INDEX($P63:$P69,Tablas!G$1)="","",$F52&amp;INDEX($P63:$P69,Tablas!G$1)))</f>
        <v/>
      </c>
      <c r="AS52" s="2787">
        <f>V52+X52+Z52+AB52+AD52+AF52</f>
        <v>0</v>
      </c>
      <c r="AT52" s="2787">
        <f t="array" ref="AT52">SUM(IF($AL52:$AR52='Tablas Técnicas'!$L$10:$L$643,IF(D52="Primario",'Tablas Técnicas'!$E$10:$E$643,'Tablas Técnicas'!$F$10:$F$643)+IF(K52="Sostenimiento menor",'Tablas Técnicas'!$I$10:$I$643,IF(K52="sostenimiento mayor",'Tablas Técnicas'!$J$10:$J$643,0)),0),0)+VALUE(RIGHT(P52,2))+AU52+AV52</f>
        <v>0</v>
      </c>
      <c r="AU52" s="2787">
        <f>IFERROR(IF(V52=0,0,VALUE(MID(Q52,SEARCH("AGI",Q52)+4,1))),0)+IFERROR(IF(X52=0,0,VALUE(MID(Q52,SEARCH("CON",Q52)+4,1))),0)+IFERROR(IF(Z52=0,0,VALUE(MID(Q52,SEARCH("DES",Q52)+4,1))),0)+IFERROR(IF(AB52=0,0,VALUE(MID(Q52,SEARCH("FUE",Q52)+4,1))),0)+IFERROR(IF(AD52=0,0,VALUE(MID(Q52,SEARCH("POD",Q52)+4,1))),0)+IFERROR(IF(AF52=0,0,VALUE(MID(Q52,SEARCH("VOL",Q52)+4,1))),0)</f>
        <v>0</v>
      </c>
      <c r="AV52" s="2787">
        <f>(COUNTIF(AL52:AR52,"*Estado añadido:*")-1)*COUNTIF(AL52:AR52,"*Estado añadido:*")</f>
        <v>0</v>
      </c>
      <c r="AW52" s="2787">
        <f t="array" ref="AW52">SUM(IF($AL52:$AR52='Tablas Técnicas'!$L$10:$L$643,'Tablas Técnicas'!$G$10:$G$643,0))</f>
        <v>0</v>
      </c>
      <c r="AX52" s="2785" t="str">
        <f t="shared" si="10"/>
        <v/>
      </c>
      <c r="AY52" s="2785" t="str">
        <f t="shared" si="9"/>
        <v/>
      </c>
    </row>
    <row r="53" spans="1:51" ht="12.75" customHeight="1" x14ac:dyDescent="0.2">
      <c r="A53" s="2487"/>
      <c r="B53" s="2368">
        <f t="shared" si="8"/>
        <v>2</v>
      </c>
      <c r="C53" s="4325"/>
      <c r="D53" s="4221" t="s">
        <v>526</v>
      </c>
      <c r="E53" s="4222"/>
      <c r="F53" s="4304"/>
      <c r="G53" s="4305"/>
      <c r="H53" s="4305"/>
      <c r="I53" s="4305"/>
      <c r="J53" s="4249"/>
      <c r="K53" s="4306" t="s">
        <v>1464</v>
      </c>
      <c r="L53" s="4307"/>
      <c r="M53" s="4308"/>
      <c r="N53" s="2192">
        <f>IF(AW53&gt;0,IF(VLOOKUP(F53,'Tablas Técnicas'!$O$9:$X$88,10,0),MAX(5,AW53-5),AW53),0)</f>
        <v>0</v>
      </c>
      <c r="O53" s="2192" t="str">
        <f>AS53&amp;" / "&amp;AT53</f>
        <v>0 / 0</v>
      </c>
      <c r="P53" s="2192" t="str">
        <f t="array" ref="P53">W53+Y53+AA53+AC53+AE53+AG53&amp;" / "&amp;IF(K53&lt;&gt;"Mantenido",0,SUM(IF($AL53:$AR53='Tablas Técnicas'!$L$10:$L$643,'Tablas Técnicas'!$H$10:$H$643,0)))</f>
        <v>0 / 0</v>
      </c>
      <c r="Q53" s="4223" t="str">
        <f>IFERROR(VLOOKUP(F53,'Tablas Técnicas'!$O$9:$T$88,5,FALSE),"")</f>
        <v/>
      </c>
      <c r="R53" s="4223"/>
      <c r="S53" s="4223"/>
      <c r="T53" s="4223"/>
      <c r="U53" s="4223"/>
      <c r="V53" s="2329"/>
      <c r="W53" s="2330"/>
      <c r="X53" s="2329"/>
      <c r="Y53" s="2331"/>
      <c r="Z53" s="2332"/>
      <c r="AA53" s="2330"/>
      <c r="AB53" s="2329"/>
      <c r="AC53" s="2331"/>
      <c r="AD53" s="2332"/>
      <c r="AE53" s="2330"/>
      <c r="AF53" s="2329"/>
      <c r="AG53" s="2333"/>
      <c r="AH53" s="2496"/>
      <c r="AI53" s="4328"/>
      <c r="AJ53" s="2785">
        <v>4</v>
      </c>
      <c r="AK53" s="2785">
        <f>P46</f>
        <v>1</v>
      </c>
      <c r="AL53" s="2785" t="str">
        <f>IF(AND(ISNUMBER(MATCH($F53,'Tablas Técnicas'!$L$10:$L$643,0)),INDEX($V63:$V69,Tablas!A$1)="",COUNTIF(AM53:$AS53,$F53)=0),$F53,IF(INDEX($V63:$V69,Tablas!A$1)="","",$F53&amp;INDEX($V63:$V69,Tablas!A$1)))</f>
        <v/>
      </c>
      <c r="AM53" s="2785" t="str">
        <f>IF(AND(ISNUMBER(MATCH($F53,'Tablas Técnicas'!$L$10:$L$643,0)),INDEX($V63:$V69,Tablas!B$1)="",COUNTIF(AN53:$AS53,$F53)=0),$F53,IF(INDEX($V63:$V69,Tablas!B$1)="","",$F53&amp;INDEX($V63:$V69,Tablas!B$1)))</f>
        <v/>
      </c>
      <c r="AN53" s="2785" t="str">
        <f>IF(AND(ISNUMBER(MATCH($F53,'Tablas Técnicas'!$L$10:$L$643,0)),INDEX($V63:$V69,Tablas!C$1)="",COUNTIF(AO53:$AS53,$F53)=0),$F53,IF(INDEX($V63:$V69,Tablas!C$1)="","",$F53&amp;INDEX($V63:$V69,Tablas!C$1)))</f>
        <v/>
      </c>
      <c r="AO53" s="2785" t="str">
        <f>IF(AND(ISNUMBER(MATCH($F53,'Tablas Técnicas'!$L$10:$L$643,0)),INDEX($V63:$V69,Tablas!D$1)="",COUNTIF(AP53:$AS53,$F53)=0),$F53,IF(INDEX($V63:$V69,Tablas!D$1)="","",$F53&amp;INDEX($V63:$V69,Tablas!D$1)))</f>
        <v/>
      </c>
      <c r="AP53" s="2785" t="str">
        <f>IF(AND(ISNUMBER(MATCH($F53,'Tablas Técnicas'!$L$10:$L$643,0)),INDEX($V63:$V69,Tablas!E$1)="",COUNTIF(AQ53:$AS53,$F53)=0),$F53,IF(INDEX($V63:$V69,Tablas!E$1)="","",$F53&amp;INDEX($V63:$V69,Tablas!E$1)))</f>
        <v/>
      </c>
      <c r="AQ53" s="2785" t="str">
        <f>IF(AND(ISNUMBER(MATCH($F53,'Tablas Técnicas'!$L$10:$L$643,0)),INDEX($V63:$V69,Tablas!F$1)="",COUNTIF(AR53:$AS53,$F53)=0),$F53,IF(INDEX($V63:$V69,Tablas!F$1)="","",$F53&amp;INDEX($V63:$V69,Tablas!F$1)))</f>
        <v/>
      </c>
      <c r="AR53" s="2785" t="str">
        <f>IF(AND(ISNUMBER(MATCH($F53,'Tablas Técnicas'!$L$10:$L$643,0)),INDEX($V63:$V69,Tablas!G$1)="",COUNTIF(AS53:$AS53,$F53)=0),$F53,IF(INDEX($V63:$V69,Tablas!G$1)="","",$F53&amp;INDEX($V63:$V69,Tablas!G$1)))</f>
        <v/>
      </c>
      <c r="AS53" s="2787">
        <f>V53+X53+Z53+AB53+AD53+AF53</f>
        <v>0</v>
      </c>
      <c r="AT53" s="2787">
        <f t="array" ref="AT53">SUM(IF($AL53:$AR53='Tablas Técnicas'!$L$10:$L$643,IF(D53="Primario",'Tablas Técnicas'!$E$10:$E$643,'Tablas Técnicas'!$F$10:$F$643)+IF(K53="Sostenimiento menor",'Tablas Técnicas'!$I$10:$I$643,IF(K53="sostenimiento mayor",'Tablas Técnicas'!$J$10:$J$643,0)),0),0)+VALUE(RIGHT(P53,2))+AU53+AV53</f>
        <v>0</v>
      </c>
      <c r="AU53" s="2787">
        <f>IFERROR(IF(V53=0,0,VALUE(MID(Q53,SEARCH("AGI",Q53)+4,1))),0)+IFERROR(IF(X53=0,0,VALUE(MID(Q53,SEARCH("CON",Q53)+4,1))),0)+IFERROR(IF(Z53=0,0,VALUE(MID(Q53,SEARCH("DES",Q53)+4,1))),0)+IFERROR(IF(AB53=0,0,VALUE(MID(Q53,SEARCH("FUE",Q53)+4,1))),0)+IFERROR(IF(AD53=0,0,VALUE(MID(Q53,SEARCH("POD",Q53)+4,1))),0)+IFERROR(IF(AF53=0,0,VALUE(MID(Q53,SEARCH("VOL",Q53)+4,1))),0)</f>
        <v>0</v>
      </c>
      <c r="AV53" s="2787">
        <f>(COUNTIF(AL53:AR53,"*Estado añadido:*")-1)*COUNTIF(AL53:AR53,"*Estado añadido:*")</f>
        <v>0</v>
      </c>
      <c r="AW53" s="2787">
        <f t="array" ref="AW53">SUM(IF($AL53:$AR53='Tablas Técnicas'!$L$10:$L$643,'Tablas Técnicas'!$G$10:$G$643,0))</f>
        <v>0</v>
      </c>
      <c r="AX53" s="2785" t="str">
        <f t="shared" si="10"/>
        <v/>
      </c>
      <c r="AY53" s="2785" t="str">
        <f>IFERROR(LEFT(AX53,LEN(AX53)-2)&amp;"), ","")</f>
        <v/>
      </c>
    </row>
    <row r="54" spans="1:51" ht="12.75" customHeight="1" thickBot="1" x14ac:dyDescent="0.25">
      <c r="A54" s="2487"/>
      <c r="B54" s="2368">
        <f t="shared" si="8"/>
        <v>2</v>
      </c>
      <c r="C54" s="4325"/>
      <c r="D54" s="4224" t="s">
        <v>526</v>
      </c>
      <c r="E54" s="4225"/>
      <c r="F54" s="4315"/>
      <c r="G54" s="4316"/>
      <c r="H54" s="4316"/>
      <c r="I54" s="4316"/>
      <c r="J54" s="4317"/>
      <c r="K54" s="4301" t="s">
        <v>1464</v>
      </c>
      <c r="L54" s="4302"/>
      <c r="M54" s="4303"/>
      <c r="N54" s="2489">
        <f>IF(AW54&gt;0,IF(VLOOKUP(F54,'Tablas Técnicas'!$O$9:$X$88,10,0),MAX(5,AW54-5),AW54),0)</f>
        <v>0</v>
      </c>
      <c r="O54" s="2489" t="str">
        <f>AS54&amp;" / "&amp;AT54</f>
        <v>0 / 0</v>
      </c>
      <c r="P54" s="2489" t="str">
        <f t="array" ref="P54">W54+Y54+AA54+AC54+AE54+AG54&amp;" / "&amp;IF(K54&lt;&gt;"Mantenido",0,SUM(IF($AL54:$AR54='Tablas Técnicas'!$L$10:$L$643,'Tablas Técnicas'!$H$10:$H$643,0)))</f>
        <v>0 / 0</v>
      </c>
      <c r="Q54" s="4226" t="str">
        <f>IFERROR(VLOOKUP(F54,'Tablas Técnicas'!$O$9:$T$88,5,FALSE),"")</f>
        <v/>
      </c>
      <c r="R54" s="4226"/>
      <c r="S54" s="4226"/>
      <c r="T54" s="4226"/>
      <c r="U54" s="4226"/>
      <c r="V54" s="2339"/>
      <c r="W54" s="2340"/>
      <c r="X54" s="2339"/>
      <c r="Y54" s="2341"/>
      <c r="Z54" s="2342"/>
      <c r="AA54" s="2340"/>
      <c r="AB54" s="2339"/>
      <c r="AC54" s="2341"/>
      <c r="AD54" s="2342"/>
      <c r="AE54" s="2340"/>
      <c r="AF54" s="2339"/>
      <c r="AG54" s="2343"/>
      <c r="AH54" s="2496"/>
      <c r="AI54" s="4328"/>
      <c r="AJ54" s="2785">
        <v>5</v>
      </c>
      <c r="AK54" s="2785">
        <f>P46</f>
        <v>1</v>
      </c>
      <c r="AL54" s="2785" t="str">
        <f>IF(AND(ISNUMBER(MATCH($F54,'Tablas Técnicas'!$L$10:$L$643,0)),INDEX($AB63:$AB69,Tablas!A$1)="",COUNTIF(AM54:$AS54,$F54)=0),$F54,IF(INDEX($AB63:$AB69,Tablas!A$1)="","",$F54&amp;INDEX($AB63:$AB69,Tablas!A$1)))</f>
        <v/>
      </c>
      <c r="AM54" s="2785" t="str">
        <f>IF(AND(ISNUMBER(MATCH($F54,'Tablas Técnicas'!$L$10:$L$643,0)),INDEX($AB63:$AB69,Tablas!B$1)="",COUNTIF(AN54:$AS54,$F54)=0),$F54,IF(INDEX($AB63:$AB69,Tablas!B$1)="","",$F54&amp;INDEX($AB63:$AB69,Tablas!B$1)))</f>
        <v/>
      </c>
      <c r="AN54" s="2785" t="str">
        <f>IF(AND(ISNUMBER(MATCH($F54,'Tablas Técnicas'!$L$10:$L$643,0)),INDEX($AB63:$AB69,Tablas!C$1)="",COUNTIF(AO54:$AS54,$F54)=0),$F54,IF(INDEX($AB63:$AB69,Tablas!C$1)="","",$F54&amp;INDEX($AB63:$AB69,Tablas!C$1)))</f>
        <v/>
      </c>
      <c r="AO54" s="2785" t="str">
        <f>IF(AND(ISNUMBER(MATCH($F54,'Tablas Técnicas'!$L$10:$L$643,0)),INDEX($AB63:$AB69,Tablas!D$1)="",COUNTIF(AP54:$AS54,$F54)=0),$F54,IF(INDEX($AB63:$AB69,Tablas!D$1)="","",$F54&amp;INDEX($AB63:$AB69,Tablas!D$1)))</f>
        <v/>
      </c>
      <c r="AP54" s="2785" t="str">
        <f>IF(AND(ISNUMBER(MATCH($F54,'Tablas Técnicas'!$L$10:$L$643,0)),INDEX($AB63:$AB69,Tablas!E$1)="",COUNTIF(AQ54:$AS54,$F54)=0),$F54,IF(INDEX($AB63:$AB69,Tablas!E$1)="","",$F54&amp;INDEX($AB63:$AB69,Tablas!E$1)))</f>
        <v/>
      </c>
      <c r="AQ54" s="2785" t="str">
        <f>IF(AND(ISNUMBER(MATCH($F54,'Tablas Técnicas'!$L$10:$L$643,0)),INDEX($AB63:$AB69,Tablas!F$1)="",COUNTIF(AR54:$AS54,$F54)=0),$F54,IF(INDEX($AB63:$AB69,Tablas!F$1)="","",$F54&amp;INDEX($AB63:$AB69,Tablas!F$1)))</f>
        <v/>
      </c>
      <c r="AR54" s="2785" t="str">
        <f>IF(AND(ISNUMBER(MATCH($F54,'Tablas Técnicas'!$L$10:$L$643,0)),INDEX($AB63:$AB69,Tablas!G$1)="",COUNTIF(AS54:$AS54,$F54)=0),$F54,IF(INDEX($AB63:$AB69,Tablas!G$1)="","",$F54&amp;INDEX($AB63:$AB69,Tablas!G$1)))</f>
        <v/>
      </c>
      <c r="AS54" s="2787">
        <f>V54+X54+Z54+AB54+AD54+AF54</f>
        <v>0</v>
      </c>
      <c r="AT54" s="2787">
        <f t="array" ref="AT54">SUM(IF($AL54:$AR54='Tablas Técnicas'!$L$10:$L$643,IF(D54="Primario",'Tablas Técnicas'!$E$10:$E$643,'Tablas Técnicas'!$F$10:$F$643)+IF(K54="Sostenimiento menor",'Tablas Técnicas'!$I$10:$I$643,IF(K54="sostenimiento mayor",'Tablas Técnicas'!$J$10:$J$643,0)),0),0)+VALUE(RIGHT(P54,2))+AU54+AV54</f>
        <v>0</v>
      </c>
      <c r="AU54" s="2787">
        <f>IFERROR(IF(V54=0,0,VALUE(MID(Q54,SEARCH("AGI",Q54)+4,1))),0)+IFERROR(IF(X54=0,0,VALUE(MID(Q54,SEARCH("CON",Q54)+4,1))),0)+IFERROR(IF(Z54=0,0,VALUE(MID(Q54,SEARCH("DES",Q54)+4,1))),0)+IFERROR(IF(AB54=0,0,VALUE(MID(Q54,SEARCH("FUE",Q54)+4,1))),0)+IFERROR(IF(AD54=0,0,VALUE(MID(Q54,SEARCH("POD",Q54)+4,1))),0)+IFERROR(IF(AF54=0,0,VALUE(MID(Q54,SEARCH("VOL",Q54)+4,1))),0)</f>
        <v>0</v>
      </c>
      <c r="AV54" s="2787">
        <f>(COUNTIF(AL54:AR54,"*Estado añadido:*")-1)*COUNTIF(AL54:AR54,"*Estado añadido:*")</f>
        <v>0</v>
      </c>
      <c r="AW54" s="2787">
        <f t="array" ref="AW54">SUM(IF($AL54:$AR54='Tablas Técnicas'!$L$10:$L$643,'Tablas Técnicas'!$G$10:$G$643,0))</f>
        <v>0</v>
      </c>
      <c r="AX54" s="2785" t="str">
        <f t="shared" si="10"/>
        <v/>
      </c>
      <c r="AY54" s="2785" t="str">
        <f t="shared" ref="AY54" si="11">IFERROR(LEFT(AX54,LEN(AX54)-2)&amp;"), ","")</f>
        <v/>
      </c>
    </row>
    <row r="55" spans="1:51" ht="12.75" customHeight="1" x14ac:dyDescent="0.2">
      <c r="A55" s="2487"/>
      <c r="B55" s="2368">
        <f t="shared" si="8"/>
        <v>2</v>
      </c>
      <c r="C55" s="4325"/>
      <c r="D55" s="4274" t="s">
        <v>2905</v>
      </c>
      <c r="E55" s="4275"/>
      <c r="F55" s="4264"/>
      <c r="G55" s="4265"/>
      <c r="H55" s="4265"/>
      <c r="I55" s="4265"/>
      <c r="J55" s="4266"/>
      <c r="K55" s="4240"/>
      <c r="L55" s="4241"/>
      <c r="M55" s="4242"/>
      <c r="N55" s="2196" t="str">
        <f>IFERROR(INDEX('Tablas Técnicas'!$Q$200:$Q$299,MATCH(F55&amp;K55,'Tablas Técnicas'!$S$200:$S$299,0)),"")</f>
        <v/>
      </c>
      <c r="O55" s="4243"/>
      <c r="P55" s="4244"/>
      <c r="Q55" s="4245"/>
      <c r="R55" s="4244"/>
      <c r="S55" s="2374" t="str">
        <f>IFERROR("Nivel: "&amp;MAX(1,INDEX('Tablas Técnicas'!$R$200:$R$299,MATCH(F55&amp;K55,'Tablas Técnicas'!$S$200:$S$299,0))),"")</f>
        <v/>
      </c>
      <c r="T55" s="2197"/>
      <c r="U55" s="2198" t="str">
        <f>IFERROR("("&amp;VLOOKUP(F55,'Tablas Técnicas'!$V$199:$X$225,3,FALSE)&amp;")","")</f>
        <v/>
      </c>
      <c r="V55" s="4187" t="s">
        <v>9924</v>
      </c>
      <c r="W55" s="4188"/>
      <c r="X55" s="4189"/>
      <c r="Y55" s="2666">
        <v>0</v>
      </c>
      <c r="Z55" s="4190" t="s">
        <v>9094</v>
      </c>
      <c r="AA55" s="4191"/>
      <c r="AB55" s="4192"/>
      <c r="AC55" s="2666">
        <v>0</v>
      </c>
      <c r="AD55" s="4193" t="str">
        <f>"Ki sin repartir: "&amp;AL63-AL64&amp;IF(AM63=0,""," ("&amp;AM63-AM64&amp;")")</f>
        <v>Ki sin repartir: 0</v>
      </c>
      <c r="AE55" s="4194"/>
      <c r="AF55" s="4194"/>
      <c r="AG55" s="4195"/>
      <c r="AH55" s="2496"/>
      <c r="AI55" s="4328"/>
      <c r="AJ55" s="2785">
        <v>1</v>
      </c>
      <c r="AK55" s="2785">
        <f>P46</f>
        <v>1</v>
      </c>
      <c r="AL55" s="2785" t="e">
        <f>VLOOKUP(F55,'Tablas Técnicas'!$V$199:$X$221,2,FALSE)</f>
        <v>#N/A</v>
      </c>
      <c r="AM55" s="2785"/>
      <c r="AN55" s="2786"/>
      <c r="AO55" s="2785"/>
      <c r="AP55" s="2785"/>
      <c r="AQ55" s="2786"/>
      <c r="AR55" s="2785"/>
      <c r="AS55" s="2785"/>
      <c r="AT55" s="2785"/>
      <c r="AU55" s="2785"/>
      <c r="AV55" s="2785"/>
      <c r="AW55" s="2787"/>
      <c r="AX55" s="2787"/>
      <c r="AY55" s="2785" t="str">
        <f>IF(F55="","",F55&amp;IF(K55="",""," ("&amp;IF(F55="Atadura Elemental",O55&amp;IF(Q55="","",", "&amp;Q55),K55)&amp;")")&amp;", ")</f>
        <v/>
      </c>
    </row>
    <row r="56" spans="1:51" ht="12" customHeight="1" x14ac:dyDescent="0.2">
      <c r="A56" s="2487"/>
      <c r="B56" s="2368">
        <f t="shared" si="8"/>
        <v>2</v>
      </c>
      <c r="C56" s="4325"/>
      <c r="D56" s="4276"/>
      <c r="E56" s="4277"/>
      <c r="F56" s="4246"/>
      <c r="G56" s="4247"/>
      <c r="H56" s="4247"/>
      <c r="I56" s="4247"/>
      <c r="J56" s="4248"/>
      <c r="K56" s="4249"/>
      <c r="L56" s="4250"/>
      <c r="M56" s="4251"/>
      <c r="N56" s="2199" t="str">
        <f>IFERROR(INDEX('Tablas Técnicas'!$Q$200:$Q$299,MATCH(F56&amp;K56,'Tablas Técnicas'!$S$200:$S$299,0)),"")</f>
        <v/>
      </c>
      <c r="O56" s="4252"/>
      <c r="P56" s="4253"/>
      <c r="Q56" s="4254"/>
      <c r="R56" s="4253"/>
      <c r="S56" s="2192" t="str">
        <f>IFERROR("Nivel: "&amp;MAX(1,INDEX('Tablas Técnicas'!$R$200:$R$299,MATCH(F56&amp;K56,'Tablas Técnicas'!$S$200:$S$299,0))),"")</f>
        <v/>
      </c>
      <c r="T56" s="2302"/>
      <c r="U56" s="2191" t="str">
        <f>IFERROR("("&amp;VLOOKUP(F56,'Tablas Técnicas'!$V$199:$X$225,3,FALSE)&amp;")","")</f>
        <v/>
      </c>
      <c r="V56" s="4184" t="str">
        <f>"Mod. "&amp;V48</f>
        <v>Mod. AGI</v>
      </c>
      <c r="W56" s="4185"/>
      <c r="X56" s="4184" t="str">
        <f t="shared" ref="X56" si="12">"Mod. "&amp;X48</f>
        <v>Mod. CON</v>
      </c>
      <c r="Y56" s="4185"/>
      <c r="Z56" s="4184" t="str">
        <f t="shared" ref="Z56" si="13">"Mod. "&amp;Z48</f>
        <v>Mod. DES</v>
      </c>
      <c r="AA56" s="4185"/>
      <c r="AB56" s="4184" t="str">
        <f t="shared" ref="AB56" si="14">"Mod. "&amp;AB48</f>
        <v>Mod. FUE</v>
      </c>
      <c r="AC56" s="4185"/>
      <c r="AD56" s="4184" t="str">
        <f t="shared" ref="AD56" si="15">"Mod. "&amp;AD48</f>
        <v>Mod. POD</v>
      </c>
      <c r="AE56" s="4185"/>
      <c r="AF56" s="4184" t="str">
        <f t="shared" ref="AF56" si="16">"Mod. "&amp;AF48</f>
        <v>Mod. VOL</v>
      </c>
      <c r="AG56" s="4186"/>
      <c r="AH56" s="2496"/>
      <c r="AI56" s="4328"/>
      <c r="AJ56" s="2785">
        <v>2</v>
      </c>
      <c r="AK56" s="2785">
        <f>P46</f>
        <v>1</v>
      </c>
      <c r="AL56" s="2785" t="e">
        <f>VLOOKUP(F56,'Tablas Técnicas'!$V$199:$X$221,2,FALSE)</f>
        <v>#N/A</v>
      </c>
      <c r="AM56" s="2785"/>
      <c r="AN56" s="2786"/>
      <c r="AO56" s="2785"/>
      <c r="AP56" s="2785"/>
      <c r="AQ56" s="2786"/>
      <c r="AR56" s="2785"/>
      <c r="AS56" s="2785"/>
      <c r="AT56" s="2785"/>
      <c r="AU56" s="2785"/>
      <c r="AV56" s="2785"/>
      <c r="AW56" s="2787"/>
      <c r="AX56" s="2787"/>
      <c r="AY56" s="2785" t="str">
        <f>IF(F56="","",F56&amp;IF(K56="",""," ("&amp;IF(F56="Atadura Elemental",O56&amp;IF(Q56="","",", "&amp;Q56),K56)&amp;")")&amp;", ")</f>
        <v/>
      </c>
    </row>
    <row r="57" spans="1:51" ht="12.75" customHeight="1" thickBot="1" x14ac:dyDescent="0.25">
      <c r="A57" s="2487"/>
      <c r="B57" s="2368">
        <f t="shared" si="8"/>
        <v>2</v>
      </c>
      <c r="C57" s="4325"/>
      <c r="D57" s="4278"/>
      <c r="E57" s="4279"/>
      <c r="F57" s="4255"/>
      <c r="G57" s="4256"/>
      <c r="H57" s="4256"/>
      <c r="I57" s="4256"/>
      <c r="J57" s="4257"/>
      <c r="K57" s="4258"/>
      <c r="L57" s="4259"/>
      <c r="M57" s="4260"/>
      <c r="N57" s="2200" t="str">
        <f>IFERROR(INDEX('Tablas Técnicas'!$Q$200:$Q$299,MATCH(F57&amp;K57,'Tablas Técnicas'!$S$200:$S$299,0)),"")</f>
        <v/>
      </c>
      <c r="O57" s="4261"/>
      <c r="P57" s="4262"/>
      <c r="Q57" s="4263"/>
      <c r="R57" s="4262"/>
      <c r="S57" s="2489" t="str">
        <f>IFERROR("Nivel: "&amp;MAX(1,INDEX('Tablas Técnicas'!$R$200:$R$299,MATCH(F57&amp;K57,'Tablas Técnicas'!$S$200:$S$299,0))),"")</f>
        <v/>
      </c>
      <c r="T57" s="2490"/>
      <c r="U57" s="2303" t="str">
        <f>IFERROR("("&amp;VLOOKUP(F57,'Tablas Técnicas'!$V$199:$X$225,3,FALSE)&amp;")","")</f>
        <v/>
      </c>
      <c r="V57" s="4199"/>
      <c r="W57" s="4198"/>
      <c r="X57" s="4198"/>
      <c r="Y57" s="4198"/>
      <c r="Z57" s="4198"/>
      <c r="AA57" s="4198"/>
      <c r="AB57" s="4198"/>
      <c r="AC57" s="4198"/>
      <c r="AD57" s="4198"/>
      <c r="AE57" s="4198"/>
      <c r="AF57" s="4198"/>
      <c r="AG57" s="4267"/>
      <c r="AH57" s="2496"/>
      <c r="AI57" s="4328"/>
      <c r="AJ57" s="2785">
        <v>3</v>
      </c>
      <c r="AK57" s="2785">
        <f>P46</f>
        <v>1</v>
      </c>
      <c r="AL57" s="2785" t="e">
        <f>VLOOKUP(F57,'Tablas Técnicas'!$V$199:$X$221,2,FALSE)</f>
        <v>#N/A</v>
      </c>
      <c r="AM57" s="2785"/>
      <c r="AN57" s="2786"/>
      <c r="AO57" s="2785"/>
      <c r="AP57" s="2785"/>
      <c r="AQ57" s="2786"/>
      <c r="AR57" s="2787"/>
      <c r="AS57" s="2787"/>
      <c r="AT57" s="2787"/>
      <c r="AU57" s="2787"/>
      <c r="AV57" s="2787"/>
      <c r="AW57" s="2787"/>
      <c r="AX57" s="2787"/>
      <c r="AY57" s="2785" t="str">
        <f>IF(F57="","",F57&amp;IF(K57="",""," ("&amp;IF(F57="Atadura Elemental",O57&amp;IF(Q57="","",", "&amp;Q57),K57)&amp;")")&amp;", ")</f>
        <v/>
      </c>
    </row>
    <row r="58" spans="1:51" ht="12.75" customHeight="1" x14ac:dyDescent="0.2">
      <c r="A58" s="2487"/>
      <c r="B58" s="2368">
        <f t="shared" si="8"/>
        <v>2</v>
      </c>
      <c r="C58" s="4325"/>
      <c r="D58" s="4213" t="s">
        <v>9596</v>
      </c>
      <c r="E58" s="4214"/>
      <c r="F58" s="4214"/>
      <c r="G58" s="4214"/>
      <c r="H58" s="4214"/>
      <c r="I58" s="4214"/>
      <c r="J58" s="4214"/>
      <c r="K58" s="4214"/>
      <c r="L58" s="4214"/>
      <c r="M58" s="4214"/>
      <c r="N58" s="4214"/>
      <c r="O58" s="4214"/>
      <c r="P58" s="4214"/>
      <c r="Q58" s="4214"/>
      <c r="R58" s="4214"/>
      <c r="S58" s="4214"/>
      <c r="T58" s="4214"/>
      <c r="U58" s="4214"/>
      <c r="V58" s="4215"/>
      <c r="W58" s="4215"/>
      <c r="X58" s="4215"/>
      <c r="Y58" s="4215"/>
      <c r="Z58" s="4215"/>
      <c r="AA58" s="4215"/>
      <c r="AB58" s="4215"/>
      <c r="AC58" s="4215"/>
      <c r="AD58" s="4215"/>
      <c r="AE58" s="4215"/>
      <c r="AF58" s="4215"/>
      <c r="AG58" s="4216"/>
      <c r="AH58" s="2496"/>
      <c r="AI58" s="4328"/>
      <c r="AJ58" s="2785"/>
      <c r="AK58" s="2785"/>
      <c r="AL58" s="2785"/>
      <c r="AM58" s="2785"/>
      <c r="AN58" s="2786" t="s">
        <v>9095</v>
      </c>
      <c r="AO58" s="2785" t="e">
        <f>LEFT(AY50&amp;AY51&amp;AY52&amp;AY53&amp;AY54,LEN(AY50&amp;AY51&amp;AY52&amp;AY53&amp;AY54)-2)</f>
        <v>#VALUE!</v>
      </c>
      <c r="AP58" s="2785"/>
      <c r="AQ58" s="2786"/>
      <c r="AR58" s="2787"/>
      <c r="AS58" s="2787"/>
      <c r="AT58" s="2787"/>
      <c r="AU58" s="2786"/>
      <c r="AV58" s="2786"/>
      <c r="AW58" s="2787"/>
      <c r="AX58" s="2787"/>
      <c r="AY58" s="2785"/>
    </row>
    <row r="59" spans="1:51" ht="12.75" customHeight="1" x14ac:dyDescent="0.2">
      <c r="A59" s="2487"/>
      <c r="B59" s="2368">
        <f t="shared" si="8"/>
        <v>2</v>
      </c>
      <c r="C59" s="4325"/>
      <c r="D59" s="4217" t="str">
        <f>IF(F50="","",F50)</f>
        <v/>
      </c>
      <c r="E59" s="4211"/>
      <c r="F59" s="4211"/>
      <c r="G59" s="4211"/>
      <c r="H59" s="4211"/>
      <c r="I59" s="4218"/>
      <c r="J59" s="4217" t="str">
        <f>IF(F51="","",F51)</f>
        <v/>
      </c>
      <c r="K59" s="4211"/>
      <c r="L59" s="4211"/>
      <c r="M59" s="4211"/>
      <c r="N59" s="4211"/>
      <c r="O59" s="4218"/>
      <c r="P59" s="4211" t="str">
        <f>IF(F52="","",F52)</f>
        <v/>
      </c>
      <c r="Q59" s="4211"/>
      <c r="R59" s="4211"/>
      <c r="S59" s="4211"/>
      <c r="T59" s="4211"/>
      <c r="U59" s="4218"/>
      <c r="V59" s="4217" t="str">
        <f>IF(F53="","",F53)</f>
        <v/>
      </c>
      <c r="W59" s="4211"/>
      <c r="X59" s="4211"/>
      <c r="Y59" s="4211"/>
      <c r="Z59" s="4211"/>
      <c r="AA59" s="4218"/>
      <c r="AB59" s="4211" t="str">
        <f>IF(F54="","",F54)</f>
        <v/>
      </c>
      <c r="AC59" s="4211"/>
      <c r="AD59" s="4211"/>
      <c r="AE59" s="4211"/>
      <c r="AF59" s="4211"/>
      <c r="AG59" s="4212"/>
      <c r="AH59" s="2496"/>
      <c r="AI59" s="4328"/>
      <c r="AJ59" s="2785"/>
      <c r="AK59" s="2785"/>
      <c r="AL59" s="2785"/>
      <c r="AM59" s="2785"/>
      <c r="AN59" s="2786" t="s">
        <v>9096</v>
      </c>
      <c r="AO59" s="2785" t="e">
        <f>LEFT(AY55&amp;AY56&amp;AY57,LEN(AY55&amp;AY56&amp;AY57)-2)</f>
        <v>#VALUE!</v>
      </c>
      <c r="AP59" s="2785"/>
      <c r="AQ59" s="2786"/>
      <c r="AR59" s="2787"/>
      <c r="AS59" s="2787"/>
      <c r="AT59" s="2787"/>
      <c r="AU59" s="2786"/>
      <c r="AV59" s="2786"/>
      <c r="AW59" s="2787"/>
      <c r="AX59" s="2787"/>
      <c r="AY59" s="2785"/>
    </row>
    <row r="60" spans="1:51" ht="12.75" customHeight="1" x14ac:dyDescent="0.2">
      <c r="A60" s="2487"/>
      <c r="B60" s="2368">
        <f t="shared" si="8"/>
        <v>2</v>
      </c>
      <c r="C60" s="4325"/>
      <c r="D60" s="2312" t="s">
        <v>1845</v>
      </c>
      <c r="E60" s="2188" t="str">
        <f>IFERROR(VLOOKUP(D59,'Tablas Técnicas'!$O$9:$T$88,3,FALSE),"")</f>
        <v/>
      </c>
      <c r="F60" s="2305"/>
      <c r="G60" s="2304"/>
      <c r="H60" s="2304" t="s">
        <v>1371</v>
      </c>
      <c r="I60" s="2188" t="str">
        <f>IFERROR(VLOOKUP(D59,'Tablas Técnicas'!$O$9:$T$88,4,FALSE),"")</f>
        <v/>
      </c>
      <c r="J60" s="2312" t="s">
        <v>1845</v>
      </c>
      <c r="K60" s="2188" t="str">
        <f>IFERROR(VLOOKUP(J59,'Tablas Técnicas'!$O$9:$T$88,3,FALSE),"")</f>
        <v/>
      </c>
      <c r="L60" s="2305"/>
      <c r="M60" s="2304"/>
      <c r="N60" s="2304" t="s">
        <v>1371</v>
      </c>
      <c r="O60" s="2201" t="str">
        <f>IFERROR(VLOOKUP(J59,'Tablas Técnicas'!$O$9:$T$88,4,FALSE),"")</f>
        <v/>
      </c>
      <c r="P60" s="2304" t="s">
        <v>1845</v>
      </c>
      <c r="Q60" s="2188" t="str">
        <f>IFERROR(VLOOKUP(P59,'Tablas Técnicas'!$O$9:$T$88,3,FALSE),"")</f>
        <v/>
      </c>
      <c r="R60" s="2305"/>
      <c r="S60" s="2304"/>
      <c r="T60" s="2304" t="s">
        <v>1371</v>
      </c>
      <c r="U60" s="2188" t="str">
        <f>IFERROR(VLOOKUP(P59,'Tablas Técnicas'!$O$9:$T$88,4,FALSE),"")</f>
        <v/>
      </c>
      <c r="V60" s="2312" t="s">
        <v>1845</v>
      </c>
      <c r="W60" s="2188" t="str">
        <f>IFERROR(VLOOKUP(V59,'Tablas Técnicas'!$O$9:$T$88,3,FALSE),"")</f>
        <v/>
      </c>
      <c r="X60" s="2305"/>
      <c r="Y60" s="2304"/>
      <c r="Z60" s="2304" t="s">
        <v>1371</v>
      </c>
      <c r="AA60" s="2201" t="str">
        <f>IFERROR(VLOOKUP(V59,'Tablas Técnicas'!$O$9:$T$88,4,FALSE),"")</f>
        <v/>
      </c>
      <c r="AB60" s="2304" t="s">
        <v>1845</v>
      </c>
      <c r="AC60" s="2188" t="str">
        <f>IFERROR(VLOOKUP(AB59,'Tablas Técnicas'!$O$9:$T$88,3,FALSE),"")</f>
        <v/>
      </c>
      <c r="AD60" s="2305"/>
      <c r="AE60" s="2304"/>
      <c r="AF60" s="2304" t="s">
        <v>1371</v>
      </c>
      <c r="AG60" s="2202" t="str">
        <f>IFERROR(VLOOKUP(AB59,'Tablas Técnicas'!$O$9:$T$88,4,FALSE),"")</f>
        <v/>
      </c>
      <c r="AH60" s="2496"/>
      <c r="AI60" s="4328"/>
      <c r="AJ60" s="2785"/>
      <c r="AK60" s="2785"/>
      <c r="AL60" s="2785"/>
      <c r="AM60" s="2785"/>
      <c r="AN60" s="2786"/>
      <c r="AO60" s="2785"/>
      <c r="AP60" s="2785"/>
      <c r="AQ60" s="2786"/>
      <c r="AR60" s="2787"/>
      <c r="AS60" s="2787"/>
      <c r="AT60" s="2787"/>
      <c r="AU60" s="2787"/>
      <c r="AV60" s="2787"/>
      <c r="AW60" s="2787"/>
      <c r="AX60" s="2787"/>
      <c r="AY60" s="2785"/>
    </row>
    <row r="61" spans="1:51" ht="12.75" customHeight="1" x14ac:dyDescent="0.2">
      <c r="A61" s="2487"/>
      <c r="B61" s="2368">
        <f t="shared" si="8"/>
        <v>2</v>
      </c>
      <c r="C61" s="4325"/>
      <c r="D61" s="2313" t="s">
        <v>9097</v>
      </c>
      <c r="E61" s="2304"/>
      <c r="F61" s="2305"/>
      <c r="G61" s="2306"/>
      <c r="H61" s="2306"/>
      <c r="I61" s="2303" t="str">
        <f>IFERROR(IF(D59="Ataque Elemental",IF(NOT(ISNA(VLOOKUP(D63,'Tablas Técnicas'!$Z$25:$Z$30,1,0))),D63,"Variable"),VLOOKUP(D59,'Tablas Técnicas'!$O$9:$W$88,9,FALSE)),"")</f>
        <v/>
      </c>
      <c r="J61" s="2203" t="s">
        <v>9097</v>
      </c>
      <c r="K61" s="2491"/>
      <c r="L61" s="2492"/>
      <c r="M61" s="2493"/>
      <c r="N61" s="2493"/>
      <c r="O61" s="2204" t="str">
        <f>IFERROR(IF(J59="Ataque Elemental",IF(NOT(ISNA(VLOOKUP(J63,'Tablas Técnicas'!$Z$25:$Z$30,1,0))),J63,"Variable"),VLOOKUP(J59,'Tablas Técnicas'!$O$9:$W$88,9,FALSE)),"")</f>
        <v/>
      </c>
      <c r="P61" s="2494" t="s">
        <v>9097</v>
      </c>
      <c r="Q61" s="2491"/>
      <c r="R61" s="2492"/>
      <c r="S61" s="2493"/>
      <c r="T61" s="2493"/>
      <c r="U61" s="2303" t="str">
        <f>IFERROR(IF(P59="Ataque Elemental",IF(NOT(ISNA(VLOOKUP(P63,'Tablas Técnicas'!$Z$25:$Z$30,1,0))),P63,"Variable"),VLOOKUP(P59,'Tablas Técnicas'!$O$9:$W$88,9,FALSE)),"")</f>
        <v/>
      </c>
      <c r="V61" s="2203" t="s">
        <v>9097</v>
      </c>
      <c r="W61" s="2491"/>
      <c r="X61" s="2492"/>
      <c r="Y61" s="2493"/>
      <c r="Z61" s="2493"/>
      <c r="AA61" s="2204" t="str">
        <f>IFERROR(IF(V59="Ataque Elemental",IF(NOT(ISNA(VLOOKUP(V63,'Tablas Técnicas'!$Z$25:$Z$30,1,0))),V63,"Variable"),VLOOKUP(V59,'Tablas Técnicas'!$O$9:$W$88,9,FALSE)),"")</f>
        <v/>
      </c>
      <c r="AB61" s="2494" t="s">
        <v>9097</v>
      </c>
      <c r="AC61" s="2491"/>
      <c r="AD61" s="2492"/>
      <c r="AE61" s="2493"/>
      <c r="AF61" s="2493"/>
      <c r="AG61" s="2319" t="str">
        <f>IFERROR(IF(AB59="Ataque Elemental",IF(NOT(ISNA(VLOOKUP(AB63,'Tablas Técnicas'!$Z$25:$Z$30,1,0))),AB63,"Variable"),VLOOKUP(AB59,'Tablas Técnicas'!$O$9:$W$88,9,FALSE)),"")</f>
        <v/>
      </c>
      <c r="AH61" s="2496"/>
      <c r="AI61" s="4328"/>
      <c r="AJ61" s="2785"/>
      <c r="AK61" s="2787" t="s">
        <v>1381</v>
      </c>
      <c r="AL61" s="2787" t="s">
        <v>1506</v>
      </c>
      <c r="AM61" s="2787" t="s">
        <v>1386</v>
      </c>
      <c r="AN61" s="2787" t="s">
        <v>1391</v>
      </c>
      <c r="AO61" s="2787" t="s">
        <v>1399</v>
      </c>
      <c r="AP61" s="2787" t="s">
        <v>1400</v>
      </c>
      <c r="AQ61" s="2786"/>
      <c r="AR61" s="2787"/>
      <c r="AS61" s="2787"/>
      <c r="AT61" s="2787"/>
      <c r="AU61" s="2787"/>
      <c r="AV61" s="2787"/>
      <c r="AW61" s="2787"/>
      <c r="AX61" s="2787"/>
      <c r="AY61" s="2785"/>
    </row>
    <row r="62" spans="1:51" ht="12.75" customHeight="1" x14ac:dyDescent="0.2">
      <c r="A62" s="2487"/>
      <c r="B62" s="2368">
        <f t="shared" si="8"/>
        <v>2</v>
      </c>
      <c r="C62" s="4325"/>
      <c r="D62" s="4217" t="s">
        <v>2913</v>
      </c>
      <c r="E62" s="4211"/>
      <c r="F62" s="4211"/>
      <c r="G62" s="4211"/>
      <c r="H62" s="4218"/>
      <c r="I62" s="2205" t="s">
        <v>1411</v>
      </c>
      <c r="J62" s="4217" t="s">
        <v>2913</v>
      </c>
      <c r="K62" s="4211"/>
      <c r="L62" s="4211"/>
      <c r="M62" s="4211"/>
      <c r="N62" s="4218"/>
      <c r="O62" s="2206" t="s">
        <v>1411</v>
      </c>
      <c r="P62" s="4217" t="s">
        <v>2913</v>
      </c>
      <c r="Q62" s="4211"/>
      <c r="R62" s="4211"/>
      <c r="S62" s="4211"/>
      <c r="T62" s="4218"/>
      <c r="U62" s="2206" t="s">
        <v>1411</v>
      </c>
      <c r="V62" s="4217"/>
      <c r="W62" s="4211"/>
      <c r="X62" s="4211"/>
      <c r="Y62" s="4211"/>
      <c r="Z62" s="4218"/>
      <c r="AA62" s="2206" t="s">
        <v>1411</v>
      </c>
      <c r="AB62" s="4217" t="s">
        <v>2913</v>
      </c>
      <c r="AC62" s="4211"/>
      <c r="AD62" s="4211"/>
      <c r="AE62" s="4211"/>
      <c r="AF62" s="4218"/>
      <c r="AG62" s="2207" t="s">
        <v>1411</v>
      </c>
      <c r="AH62" s="2496"/>
      <c r="AI62" s="4328"/>
      <c r="AJ62" s="2790" t="s">
        <v>9633</v>
      </c>
      <c r="AK62" s="2785" t="str">
        <f>IF(V48="","",IF(SUM(V50:V54)=0,"",V48&amp;" "&amp;SUM(V50:V54)+V57&amp;IF(SUM(W50:W54)=0,""," ("&amp;SUM(W50:W54)&amp;")")&amp;", "))</f>
        <v/>
      </c>
      <c r="AL62" s="2785" t="str">
        <f>IF(X48="","",IF(SUM(X50:X54)=0,"",X48&amp;" "&amp;SUM(X50:X54)+X57&amp;IF(SUM(Y50:Y54)=0,""," ("&amp;SUM(Y50:Y54)&amp;")")&amp;", "))</f>
        <v/>
      </c>
      <c r="AM62" s="2785" t="str">
        <f>IF(Z48="","",IF(SUM(Z50:Z54)=0,"",Z48&amp;" "&amp;SUM(Z50:Z54)+Z57&amp;IF(SUM(AA50:AA54)=0,""," ("&amp;SUM(AA50:AA54)&amp;")")&amp;", "))</f>
        <v/>
      </c>
      <c r="AN62" s="2785" t="str">
        <f>IF(AB48="","",IF(SUM(AB50:AB54)=0,"",AB48&amp;" "&amp;SUM(AB50:AB54)+AB57&amp;IF(SUM(AC50:AC54)=0,""," ("&amp;SUM(AC50:AC54)&amp;")")&amp;", "))</f>
        <v/>
      </c>
      <c r="AO62" s="2785" t="str">
        <f>IF(AD48="","",IF(SUM(AD50:AD54)=0,"",AD48&amp;" "&amp;SUM(AD50:AD54)+AD57&amp;IF(SUM(AE50:AE54)=0,""," ("&amp;SUM(AE50:AE54)&amp;")")&amp;", "))</f>
        <v/>
      </c>
      <c r="AP62" s="2785" t="str">
        <f>IF(AF48="","",IF(SUM(AF50:AF54)=0,"",AF48&amp;" "&amp;SUM(AF50:AF54)+AF57&amp;IF(SUM(AG50:AG54)=0,""," ("&amp;SUM(AG50:AG54)&amp;")")&amp;", "))</f>
        <v/>
      </c>
      <c r="AQ62" s="2785"/>
      <c r="AR62" s="2785"/>
      <c r="AS62" s="2785"/>
      <c r="AT62" s="2785"/>
      <c r="AU62" s="2785"/>
      <c r="AV62" s="2785"/>
      <c r="AW62" s="2785"/>
      <c r="AX62" s="2785"/>
      <c r="AY62" s="2785"/>
    </row>
    <row r="63" spans="1:51" ht="12.75" customHeight="1" x14ac:dyDescent="0.2">
      <c r="A63" s="2487"/>
      <c r="B63" s="2368">
        <f t="shared" si="8"/>
        <v>2</v>
      </c>
      <c r="C63" s="4325"/>
      <c r="D63" s="4219"/>
      <c r="E63" s="4197"/>
      <c r="F63" s="4197"/>
      <c r="G63" s="4197"/>
      <c r="H63" s="4197"/>
      <c r="I63" s="2208" t="str">
        <f>IF(OR(D59="",D63=""),"",MAX(1,SUMPRODUCT(--(INDEX('Tablas Técnicas'!$C$10:$L$643,,1)=D59),--(INDEX('Tablas Técnicas'!$C$10:$L$643,,2)=D63),INDEX('Tablas Técnicas'!$C$10:$L$643,,9))))</f>
        <v/>
      </c>
      <c r="J63" s="4196"/>
      <c r="K63" s="4197"/>
      <c r="L63" s="4197"/>
      <c r="M63" s="4197"/>
      <c r="N63" s="4197"/>
      <c r="O63" s="2208" t="str">
        <f>IF(OR(J59="",J63=""),"",MAX(1,SUMPRODUCT(--(INDEX('Tablas Técnicas'!$C$10:$L$643,,1)=J59),--(INDEX('Tablas Técnicas'!$C$10:$L$643,,2)=J63),INDEX('Tablas Técnicas'!$C$10:$L$643,,9))))</f>
        <v/>
      </c>
      <c r="P63" s="4196"/>
      <c r="Q63" s="4197"/>
      <c r="R63" s="4197"/>
      <c r="S63" s="4197"/>
      <c r="T63" s="4197"/>
      <c r="U63" s="2208" t="str">
        <f>IF(OR(P59="",P63=""),"",MAX(1,SUMPRODUCT(--(INDEX('Tablas Técnicas'!$C$10:$L$643,,1)=P59),--(INDEX('Tablas Técnicas'!$C$10:$L$643,,2)=P63),INDEX('Tablas Técnicas'!$C$10:$L$643,,9))))</f>
        <v/>
      </c>
      <c r="V63" s="4196"/>
      <c r="W63" s="4197"/>
      <c r="X63" s="4197"/>
      <c r="Y63" s="4197"/>
      <c r="Z63" s="4197"/>
      <c r="AA63" s="2208" t="str">
        <f>IF(OR(V59="",V63=""),"",MAX(1,SUMPRODUCT(--(INDEX('Tablas Técnicas'!$C$10:$L$643,,1)=V59),--(INDEX('Tablas Técnicas'!$C$10:$L$643,,2)=V63),INDEX('Tablas Técnicas'!$C$10:$L$643,,9))))</f>
        <v/>
      </c>
      <c r="AB63" s="4196"/>
      <c r="AC63" s="4197"/>
      <c r="AD63" s="4197"/>
      <c r="AE63" s="4197"/>
      <c r="AF63" s="4197"/>
      <c r="AG63" s="2209" t="str">
        <f>IF(OR(AB59="",AB63=""),"",MAX(1,SUMPRODUCT(--(INDEX('Tablas Técnicas'!$C$10:$L$643,,1)=AB59),--(INDEX('Tablas Técnicas'!$C$10:$L$643,,2)=AB63),INDEX('Tablas Técnicas'!$C$10:$L$643,,9))))</f>
        <v/>
      </c>
      <c r="AH63" s="2496">
        <f>P46</f>
        <v>1</v>
      </c>
      <c r="AI63" s="4328"/>
      <c r="AJ63" s="2785" t="s">
        <v>9597</v>
      </c>
      <c r="AK63" s="2785"/>
      <c r="AL63" s="2785">
        <f>MAX(0,SUM(AT50:AT54)+ABS($AC55*2/5))+IF(AM72,0,Y55)+IF(S46="Si",3*P46,0)</f>
        <v>0</v>
      </c>
      <c r="AM63" s="2785">
        <f t="array" ref="AM63">IF(ISNUMBER(SEARCH("Mantenido",K50&amp;K51&amp;K52&amp;K53&amp;K54)),MAX(0,SUM(VALUE(RIGHT($P50:$P54,2)))),0)</f>
        <v>0</v>
      </c>
      <c r="AN63" s="2787"/>
      <c r="AO63" s="2787"/>
      <c r="AP63" s="2792"/>
      <c r="AQ63" s="2792"/>
      <c r="AR63" s="2792"/>
      <c r="AS63" s="2792"/>
      <c r="AT63" s="2792"/>
      <c r="AU63" s="2792"/>
      <c r="AV63" s="2792"/>
      <c r="AW63" s="2792"/>
      <c r="AX63" s="2792"/>
      <c r="AY63" s="2785"/>
    </row>
    <row r="64" spans="1:51" ht="12.75" customHeight="1" x14ac:dyDescent="0.2">
      <c r="A64" s="2487"/>
      <c r="B64" s="2368">
        <f t="shared" si="8"/>
        <v>2</v>
      </c>
      <c r="C64" s="4325"/>
      <c r="D64" s="4200"/>
      <c r="E64" s="4201"/>
      <c r="F64" s="4201"/>
      <c r="G64" s="4201"/>
      <c r="H64" s="4201"/>
      <c r="I64" s="2210" t="str">
        <f>IF(OR(D59="",D64=""),"",MAX(1,SUMPRODUCT(--(INDEX('Tablas Técnicas'!$C$10:$L$643,,1)=D59),--(INDEX('Tablas Técnicas'!$C$10:$L$643,,2)=D64),INDEX('Tablas Técnicas'!$C$10:$L$643,,9))))</f>
        <v/>
      </c>
      <c r="J64" s="4200"/>
      <c r="K64" s="4201"/>
      <c r="L64" s="4201"/>
      <c r="M64" s="4201"/>
      <c r="N64" s="4201"/>
      <c r="O64" s="2210" t="str">
        <f>IF(OR(J59="",J64=""),"",MAX(1,SUMPRODUCT(--(INDEX('Tablas Técnicas'!$C$10:$L$643,,1)=J59),--(INDEX('Tablas Técnicas'!$C$10:$L$643,,2)=J64),INDEX('Tablas Técnicas'!$C$10:$L$643,,9))))</f>
        <v/>
      </c>
      <c r="P64" s="4200"/>
      <c r="Q64" s="4201"/>
      <c r="R64" s="4201"/>
      <c r="S64" s="4201"/>
      <c r="T64" s="4201"/>
      <c r="U64" s="2210" t="str">
        <f>IF(OR(P59="",P64=""),"",MAX(1,SUMPRODUCT(--(INDEX('Tablas Técnicas'!$C$10:$L$643,,1)=P59),--(INDEX('Tablas Técnicas'!$C$10:$L$643,,2)=P64),INDEX('Tablas Técnicas'!$C$10:$L$643,,9))))</f>
        <v/>
      </c>
      <c r="V64" s="4200"/>
      <c r="W64" s="4201"/>
      <c r="X64" s="4201"/>
      <c r="Y64" s="4201"/>
      <c r="Z64" s="4201"/>
      <c r="AA64" s="2210" t="str">
        <f>IF(OR(V59="",V64=""),"",MAX(1,SUMPRODUCT(--(INDEX('Tablas Técnicas'!$C$10:$L$643,,1)=V59),--(INDEX('Tablas Técnicas'!$C$10:$L$643,,2)=V64),INDEX('Tablas Técnicas'!$C$10:$L$643,,9))))</f>
        <v/>
      </c>
      <c r="AB64" s="4200"/>
      <c r="AC64" s="4201"/>
      <c r="AD64" s="4201"/>
      <c r="AE64" s="4201"/>
      <c r="AF64" s="4201"/>
      <c r="AG64" s="2211" t="str">
        <f>IF(OR(AB59="",AB64=""),"",MAX(1,SUMPRODUCT(--(INDEX('Tablas Técnicas'!$C$10:$L$643,,1)=AB59),--(INDEX('Tablas Técnicas'!$C$10:$L$643,,2)=AB64),INDEX('Tablas Técnicas'!$C$10:$L$643,,9))))</f>
        <v/>
      </c>
      <c r="AH64" s="2496">
        <f>P46</f>
        <v>1</v>
      </c>
      <c r="AI64" s="4328"/>
      <c r="AJ64" s="2785" t="s">
        <v>9099</v>
      </c>
      <c r="AK64" s="2785"/>
      <c r="AL64" s="2785">
        <f>SUM(V50:V54,X50:X54,Z50:Z54,AB50:AB54,AD50:AD54,AF50:AF54)+SUM(V57:AG57)</f>
        <v>0</v>
      </c>
      <c r="AM64" s="2785">
        <f>SUM(W50:W54,Y50:Y54,AA50:AA54,AC50:AC54,AE50:AE54,AG50:AG54)</f>
        <v>0</v>
      </c>
      <c r="AN64" s="2785"/>
      <c r="AO64" s="2785"/>
      <c r="AP64" s="2785"/>
      <c r="AQ64" s="2785"/>
      <c r="AR64" s="2785"/>
      <c r="AS64" s="2785"/>
      <c r="AT64" s="2785"/>
      <c r="AU64" s="2785"/>
      <c r="AV64" s="2785"/>
      <c r="AW64" s="2787"/>
      <c r="AX64" s="2785"/>
      <c r="AY64" s="2785"/>
    </row>
    <row r="65" spans="1:51" ht="12.75" customHeight="1" x14ac:dyDescent="0.2">
      <c r="A65" s="2487"/>
      <c r="B65" s="2368">
        <f t="shared" si="8"/>
        <v>2</v>
      </c>
      <c r="C65" s="4325"/>
      <c r="D65" s="4200"/>
      <c r="E65" s="4201"/>
      <c r="F65" s="4201"/>
      <c r="G65" s="4201"/>
      <c r="H65" s="4201"/>
      <c r="I65" s="2210" t="str">
        <f>IF(OR(D59="",D65=""),"",MAX(1,SUMPRODUCT(--(INDEX('Tablas Técnicas'!$C$10:$L$643,,1)=D59),--(INDEX('Tablas Técnicas'!$C$10:$L$643,,2)=D65),INDEX('Tablas Técnicas'!$C$10:$L$643,,9))))</f>
        <v/>
      </c>
      <c r="J65" s="4200"/>
      <c r="K65" s="4201"/>
      <c r="L65" s="4201"/>
      <c r="M65" s="4201"/>
      <c r="N65" s="4201"/>
      <c r="O65" s="2210" t="str">
        <f>IF(OR(J59="",J65=""),"",MAX(1,SUMPRODUCT(--(INDEX('Tablas Técnicas'!$C$10:$L$643,,1)=J59),--(INDEX('Tablas Técnicas'!$C$10:$L$643,,2)=J65),INDEX('Tablas Técnicas'!$C$10:$L$643,,9))))</f>
        <v/>
      </c>
      <c r="P65" s="4200"/>
      <c r="Q65" s="4201"/>
      <c r="R65" s="4201"/>
      <c r="S65" s="4201"/>
      <c r="T65" s="4201"/>
      <c r="U65" s="2210" t="str">
        <f>IF(OR(P59="",P65=""),"",MAX(1,SUMPRODUCT(--(INDEX('Tablas Técnicas'!$C$10:$L$643,,1)=P59),--(INDEX('Tablas Técnicas'!$C$10:$L$643,,2)=P65),INDEX('Tablas Técnicas'!$C$10:$L$643,,9))))</f>
        <v/>
      </c>
      <c r="V65" s="4200"/>
      <c r="W65" s="4201"/>
      <c r="X65" s="4201"/>
      <c r="Y65" s="4201"/>
      <c r="Z65" s="4201"/>
      <c r="AA65" s="2210" t="str">
        <f>IF(OR(V59="",V65=""),"",MAX(1,SUMPRODUCT(--(INDEX('Tablas Técnicas'!$C$10:$L$643,,1)=V59),--(INDEX('Tablas Técnicas'!$C$10:$L$643,,2)=V65),INDEX('Tablas Técnicas'!$C$10:$L$643,,9))))</f>
        <v/>
      </c>
      <c r="AB65" s="4200"/>
      <c r="AC65" s="4201"/>
      <c r="AD65" s="4201"/>
      <c r="AE65" s="4201"/>
      <c r="AF65" s="4201"/>
      <c r="AG65" s="2211" t="str">
        <f>IF(OR(AB59="",AB65=""),"",MAX(1,SUMPRODUCT(--(INDEX('Tablas Técnicas'!$C$10:$L$643,,1)=AB59),--(INDEX('Tablas Técnicas'!$C$10:$L$643,,2)=AB65),INDEX('Tablas Técnicas'!$C$10:$L$643,,9))))</f>
        <v/>
      </c>
      <c r="AH65" s="2496">
        <f>P46</f>
        <v>1</v>
      </c>
      <c r="AI65" s="4328"/>
      <c r="AJ65" s="2785"/>
      <c r="AK65" s="2785"/>
      <c r="AL65" s="2785"/>
      <c r="AM65" s="2785"/>
      <c r="AN65" s="2785"/>
      <c r="AO65" s="2785"/>
      <c r="AP65" s="2785"/>
      <c r="AQ65" s="2785"/>
      <c r="AR65" s="2785"/>
      <c r="AS65" s="2785"/>
      <c r="AT65" s="2785"/>
      <c r="AU65" s="2785"/>
      <c r="AV65" s="2785"/>
      <c r="AW65" s="2787"/>
      <c r="AX65" s="2787"/>
      <c r="AY65" s="2785"/>
    </row>
    <row r="66" spans="1:51" ht="12.75" customHeight="1" x14ac:dyDescent="0.2">
      <c r="A66" s="2487"/>
      <c r="B66" s="2368">
        <f t="shared" si="8"/>
        <v>2</v>
      </c>
      <c r="C66" s="4325"/>
      <c r="D66" s="4200"/>
      <c r="E66" s="4201"/>
      <c r="F66" s="4201"/>
      <c r="G66" s="4201"/>
      <c r="H66" s="4201"/>
      <c r="I66" s="2210" t="str">
        <f>IF(OR(D59="",D66=""),"",MAX(1,SUMPRODUCT(--(INDEX('Tablas Técnicas'!$C$10:$L$643,,1)=D59),--(INDEX('Tablas Técnicas'!$C$10:$L$643,,2)=D66),INDEX('Tablas Técnicas'!$C$10:$L$643,,9))))</f>
        <v/>
      </c>
      <c r="J66" s="4200"/>
      <c r="K66" s="4201"/>
      <c r="L66" s="4201"/>
      <c r="M66" s="4201"/>
      <c r="N66" s="4201"/>
      <c r="O66" s="2210" t="str">
        <f>IF(OR(J59="",J66=""),"",MAX(1,SUMPRODUCT(--(INDEX('Tablas Técnicas'!$C$10:$L$643,,1)=J59),--(INDEX('Tablas Técnicas'!$C$10:$L$643,,2)=J66),INDEX('Tablas Técnicas'!$C$10:$L$643,,9))))</f>
        <v/>
      </c>
      <c r="P66" s="4200"/>
      <c r="Q66" s="4201"/>
      <c r="R66" s="4201"/>
      <c r="S66" s="4201"/>
      <c r="T66" s="4201"/>
      <c r="U66" s="2210" t="str">
        <f>IF(OR(P59="",P66=""),"",MAX(1,SUMPRODUCT(--(INDEX('Tablas Técnicas'!$C$10:$L$643,,1)=P59),--(INDEX('Tablas Técnicas'!$C$10:$L$643,,2)=P66),INDEX('Tablas Técnicas'!$C$10:$L$643,,9))))</f>
        <v/>
      </c>
      <c r="V66" s="4200"/>
      <c r="W66" s="4201"/>
      <c r="X66" s="4201"/>
      <c r="Y66" s="4201"/>
      <c r="Z66" s="4201"/>
      <c r="AA66" s="2210" t="str">
        <f>IF(OR(V59="",V66=""),"",MAX(1,SUMPRODUCT(--(INDEX('Tablas Técnicas'!$C$10:$L$643,,1)=V59),--(INDEX('Tablas Técnicas'!$C$10:$L$643,,2)=V66),INDEX('Tablas Técnicas'!$C$10:$L$643,,9))))</f>
        <v/>
      </c>
      <c r="AB66" s="4200"/>
      <c r="AC66" s="4201"/>
      <c r="AD66" s="4201"/>
      <c r="AE66" s="4201"/>
      <c r="AF66" s="4201"/>
      <c r="AG66" s="2211" t="str">
        <f>IF(OR(AB59="",AB66=""),"",MAX(1,SUMPRODUCT(--(INDEX('Tablas Técnicas'!$C$10:$L$643,,1)=AB59),--(INDEX('Tablas Técnicas'!$C$10:$L$643,,2)=AB66),INDEX('Tablas Técnicas'!$C$10:$L$643,,9))))</f>
        <v/>
      </c>
      <c r="AH66" s="2496">
        <f>P46</f>
        <v>1</v>
      </c>
      <c r="AI66" s="4328"/>
      <c r="AJ66" s="2785"/>
      <c r="AK66" s="2785"/>
      <c r="AL66" s="2785"/>
      <c r="AM66" s="2785"/>
      <c r="AN66" s="2785"/>
      <c r="AO66" s="2785"/>
      <c r="AP66" s="2785"/>
      <c r="AQ66" s="2786"/>
      <c r="AR66" s="2787"/>
      <c r="AS66" s="2787"/>
      <c r="AT66" s="2787"/>
      <c r="AU66" s="2787"/>
      <c r="AV66" s="2787"/>
      <c r="AW66" s="2787"/>
      <c r="AX66" s="2787"/>
      <c r="AY66" s="2785"/>
    </row>
    <row r="67" spans="1:51" ht="12.75" customHeight="1" x14ac:dyDescent="0.2">
      <c r="A67" s="2487"/>
      <c r="B67" s="2368">
        <f t="shared" si="8"/>
        <v>2</v>
      </c>
      <c r="C67" s="4325"/>
      <c r="D67" s="4200"/>
      <c r="E67" s="4201"/>
      <c r="F67" s="4201"/>
      <c r="G67" s="4201"/>
      <c r="H67" s="4201"/>
      <c r="I67" s="2210" t="str">
        <f>IF(OR(D59="",D67=""),"",MAX(1,SUMPRODUCT(--(INDEX('Tablas Técnicas'!$C$10:$L$643,,1)=D59),--(INDEX('Tablas Técnicas'!$C$10:$L$643,,2)=D67),INDEX('Tablas Técnicas'!$C$10:$L$643,,9))))</f>
        <v/>
      </c>
      <c r="J67" s="4200"/>
      <c r="K67" s="4201"/>
      <c r="L67" s="4201"/>
      <c r="M67" s="4201"/>
      <c r="N67" s="4201"/>
      <c r="O67" s="2210" t="str">
        <f>IF(OR(J59="",J67=""),"",MAX(1,SUMPRODUCT(--(INDEX('Tablas Técnicas'!$C$10:$L$643,,1)=J59),--(INDEX('Tablas Técnicas'!$C$10:$L$643,,2)=J67),INDEX('Tablas Técnicas'!$C$10:$L$643,,9))))</f>
        <v/>
      </c>
      <c r="P67" s="4200"/>
      <c r="Q67" s="4201"/>
      <c r="R67" s="4201"/>
      <c r="S67" s="4201"/>
      <c r="T67" s="4201"/>
      <c r="U67" s="2210" t="str">
        <f>IF(OR(P59="",P67=""),"",MAX(1,SUMPRODUCT(--(INDEX('Tablas Técnicas'!$C$10:$L$643,,1)=P59),--(INDEX('Tablas Técnicas'!$C$10:$L$643,,2)=P67),INDEX('Tablas Técnicas'!$C$10:$L$643,,9))))</f>
        <v/>
      </c>
      <c r="V67" s="4200"/>
      <c r="W67" s="4201"/>
      <c r="X67" s="4201"/>
      <c r="Y67" s="4201"/>
      <c r="Z67" s="4201"/>
      <c r="AA67" s="2210" t="str">
        <f>IF(OR(V59="",V67=""),"",MAX(1,SUMPRODUCT(--(INDEX('Tablas Técnicas'!$C$10:$L$643,,1)=V59),--(INDEX('Tablas Técnicas'!$C$10:$L$643,,2)=V67),INDEX('Tablas Técnicas'!$C$10:$L$643,,9))))</f>
        <v/>
      </c>
      <c r="AB67" s="4200"/>
      <c r="AC67" s="4201"/>
      <c r="AD67" s="4201"/>
      <c r="AE67" s="4201"/>
      <c r="AF67" s="4201"/>
      <c r="AG67" s="2211" t="str">
        <f>IF(OR(AB59="",AB67=""),"",MAX(1,SUMPRODUCT(--(INDEX('Tablas Técnicas'!$C$10:$L$643,,1)=AB59),--(INDEX('Tablas Técnicas'!$C$10:$L$643,,2)=AB67),INDEX('Tablas Técnicas'!$C$10:$L$643,,9))))</f>
        <v/>
      </c>
      <c r="AH67" s="2496">
        <f>P46</f>
        <v>1</v>
      </c>
      <c r="AI67" s="4328"/>
      <c r="AJ67" s="2785" t="s">
        <v>9100</v>
      </c>
      <c r="AK67" s="2785"/>
      <c r="AL67" s="2785"/>
      <c r="AM67" s="2785"/>
      <c r="AN67" s="2785"/>
      <c r="AO67" s="2785"/>
      <c r="AP67" s="2785"/>
      <c r="AQ67" s="2785"/>
      <c r="AR67" s="2787"/>
      <c r="AS67" s="2787"/>
      <c r="AT67" s="2787"/>
      <c r="AU67" s="2787"/>
      <c r="AV67" s="2787"/>
      <c r="AW67" s="2787"/>
      <c r="AX67" s="2787"/>
      <c r="AY67" s="2785"/>
    </row>
    <row r="68" spans="1:51" ht="12.75" customHeight="1" x14ac:dyDescent="0.2">
      <c r="A68" s="2487"/>
      <c r="B68" s="2368">
        <f t="shared" si="8"/>
        <v>2</v>
      </c>
      <c r="C68" s="4325"/>
      <c r="D68" s="4200"/>
      <c r="E68" s="4201"/>
      <c r="F68" s="4201"/>
      <c r="G68" s="4201"/>
      <c r="H68" s="4201"/>
      <c r="I68" s="2210" t="str">
        <f>IF(OR(D59="",D68=""),"",MAX(1,SUMPRODUCT(--(INDEX('Tablas Técnicas'!$C$10:$L$643,,1)=D59),--(INDEX('Tablas Técnicas'!$C$10:$L$643,,2)=D68),INDEX('Tablas Técnicas'!$C$10:$L$643,,9))))</f>
        <v/>
      </c>
      <c r="J68" s="4200"/>
      <c r="K68" s="4201"/>
      <c r="L68" s="4201"/>
      <c r="M68" s="4201"/>
      <c r="N68" s="4201"/>
      <c r="O68" s="2210" t="str">
        <f>IF(OR(J59="",J68=""),"",MAX(1,SUMPRODUCT(--(INDEX('Tablas Técnicas'!$C$10:$L$643,,1)=J59),--(INDEX('Tablas Técnicas'!$C$10:$L$643,,2)=J68),INDEX('Tablas Técnicas'!$C$10:$L$643,,9))))</f>
        <v/>
      </c>
      <c r="P68" s="4200"/>
      <c r="Q68" s="4201"/>
      <c r="R68" s="4201"/>
      <c r="S68" s="4201"/>
      <c r="T68" s="4201"/>
      <c r="U68" s="2210" t="str">
        <f>IF(OR(P59="",P68=""),"",MAX(1,SUMPRODUCT(--(INDEX('Tablas Técnicas'!$C$10:$L$643,,1)=P59),--(INDEX('Tablas Técnicas'!$C$10:$L$643,,2)=P68),INDEX('Tablas Técnicas'!$C$10:$L$643,,9))))</f>
        <v/>
      </c>
      <c r="V68" s="4200"/>
      <c r="W68" s="4201"/>
      <c r="X68" s="4201"/>
      <c r="Y68" s="4201"/>
      <c r="Z68" s="4201"/>
      <c r="AA68" s="2210" t="str">
        <f>IF(OR(V59="",V68=""),"",MAX(1,SUMPRODUCT(--(INDEX('Tablas Técnicas'!$C$10:$L$643,,1)=V59),--(INDEX('Tablas Técnicas'!$C$10:$L$643,,2)=V68),INDEX('Tablas Técnicas'!$C$10:$L$643,,9))))</f>
        <v/>
      </c>
      <c r="AB68" s="4200"/>
      <c r="AC68" s="4201"/>
      <c r="AD68" s="4201"/>
      <c r="AE68" s="4201"/>
      <c r="AF68" s="4201"/>
      <c r="AG68" s="2211" t="str">
        <f>IF(OR(AB59="",AB68=""),"",MAX(1,SUMPRODUCT(--(INDEX('Tablas Técnicas'!$C$10:$L$643,,1)=AB59),--(INDEX('Tablas Técnicas'!$C$10:$L$643,,2)=AB68),INDEX('Tablas Técnicas'!$C$10:$L$643,,9))))</f>
        <v/>
      </c>
      <c r="AH68" s="2496">
        <f>P46</f>
        <v>1</v>
      </c>
      <c r="AI68" s="4328"/>
      <c r="AJ68" s="2785" t="s">
        <v>9101</v>
      </c>
      <c r="AK68" s="2785"/>
      <c r="AL68" s="2785"/>
      <c r="AM68" s="2785" t="b">
        <f t="array" ref="AM68">MAX(I63:I69,O63:O69,U63:U69,AA63:AA69,AG63:AG69,RIGHT(S55:S57,1))&gt;P46</f>
        <v>0</v>
      </c>
      <c r="AN68" s="2785"/>
      <c r="AO68" s="2785"/>
      <c r="AP68" s="2785"/>
      <c r="AQ68" s="2786"/>
      <c r="AR68" s="2787"/>
      <c r="AS68" s="2787"/>
      <c r="AT68" s="2787"/>
      <c r="AU68" s="2787"/>
      <c r="AV68" s="2787"/>
      <c r="AW68" s="2787"/>
      <c r="AX68" s="2787"/>
      <c r="AY68" s="2785"/>
    </row>
    <row r="69" spans="1:51" ht="12.75" customHeight="1" x14ac:dyDescent="0.2">
      <c r="A69" s="2487"/>
      <c r="B69" s="2368">
        <f t="shared" si="8"/>
        <v>2</v>
      </c>
      <c r="C69" s="4325"/>
      <c r="D69" s="4230"/>
      <c r="E69" s="4231"/>
      <c r="F69" s="4231"/>
      <c r="G69" s="4231"/>
      <c r="H69" s="4231"/>
      <c r="I69" s="2212" t="str">
        <f>IF(OR(D59="",D69=""),"",MAX(1,SUMPRODUCT(--(INDEX('Tablas Técnicas'!$C$10:$L$643,,1)=D59),--(INDEX('Tablas Técnicas'!$C$10:$L$643,,2)=D69),INDEX('Tablas Técnicas'!$C$10:$L$643,,9))))</f>
        <v/>
      </c>
      <c r="J69" s="4230"/>
      <c r="K69" s="4231"/>
      <c r="L69" s="4231"/>
      <c r="M69" s="4231"/>
      <c r="N69" s="4231"/>
      <c r="O69" s="2212" t="str">
        <f>IF(OR(J59="",J69=""),"",MAX(1,SUMPRODUCT(--(INDEX('Tablas Técnicas'!$C$10:$L$643,,1)=J59),--(INDEX('Tablas Técnicas'!$C$10:$L$643,,2)=J69),INDEX('Tablas Técnicas'!$C$10:$L$643,,9))))</f>
        <v/>
      </c>
      <c r="P69" s="4230"/>
      <c r="Q69" s="4231"/>
      <c r="R69" s="4231"/>
      <c r="S69" s="4231"/>
      <c r="T69" s="4231"/>
      <c r="U69" s="2212" t="str">
        <f>IF(OR(P59="",P69=""),"",MAX(1,SUMPRODUCT(--(INDEX('Tablas Técnicas'!$C$10:$L$643,,1)=P59),--(INDEX('Tablas Técnicas'!$C$10:$L$643,,2)=P69),INDEX('Tablas Técnicas'!$C$10:$L$643,,9))))</f>
        <v/>
      </c>
      <c r="V69" s="4230"/>
      <c r="W69" s="4231"/>
      <c r="X69" s="4231"/>
      <c r="Y69" s="4231"/>
      <c r="Z69" s="4231"/>
      <c r="AA69" s="2212" t="str">
        <f>IF(OR(V59="",V69=""),"",MAX(1,SUMPRODUCT(--(INDEX('Tablas Técnicas'!$C$10:$L$643,,1)=V59),--(INDEX('Tablas Técnicas'!$C$10:$L$643,,2)=V69),INDEX('Tablas Técnicas'!$C$10:$L$643,,9))))</f>
        <v/>
      </c>
      <c r="AB69" s="4230"/>
      <c r="AC69" s="4231"/>
      <c r="AD69" s="4231"/>
      <c r="AE69" s="4231"/>
      <c r="AF69" s="4231"/>
      <c r="AG69" s="2213" t="str">
        <f>IF(OR(AB59="",AB69=""),"",MAX(1,SUMPRODUCT(--(INDEX('Tablas Técnicas'!$C$10:$L$643,,1)=AB59),--(INDEX('Tablas Técnicas'!$C$10:$L$643,,2)=AB69),INDEX('Tablas Técnicas'!$C$10:$L$643,,9))))</f>
        <v/>
      </c>
      <c r="AH69" s="2496">
        <f>P46</f>
        <v>1</v>
      </c>
      <c r="AI69" s="4328"/>
      <c r="AJ69" s="2785" t="s">
        <v>9614</v>
      </c>
      <c r="AK69" s="2785"/>
      <c r="AL69" s="2785"/>
      <c r="AM69" s="2785" t="b">
        <f>AND(COUNTIF(K50:M54,"Mantenido"),OR(COUNTIF(K50:M54,"Sostenimiento Menor"),COUNTIF(K50:M54,"Sostenimiento Mayor")))</f>
        <v>0</v>
      </c>
      <c r="AN69" s="2786"/>
      <c r="AO69" s="2785"/>
      <c r="AP69" s="2785"/>
      <c r="AQ69" s="2785"/>
      <c r="AR69" s="2785"/>
      <c r="AS69" s="2785"/>
      <c r="AT69" s="2785"/>
      <c r="AU69" s="2787"/>
      <c r="AV69" s="2787"/>
      <c r="AW69" s="2787"/>
      <c r="AX69" s="2787"/>
      <c r="AY69" s="2785"/>
    </row>
    <row r="70" spans="1:51" ht="12.75" customHeight="1" x14ac:dyDescent="0.2">
      <c r="A70" s="2487"/>
      <c r="B70" s="2368">
        <f t="shared" si="8"/>
        <v>2</v>
      </c>
      <c r="C70" s="4325"/>
      <c r="D70" s="4213" t="s">
        <v>1558</v>
      </c>
      <c r="E70" s="4214"/>
      <c r="F70" s="4214"/>
      <c r="G70" s="4214"/>
      <c r="H70" s="4214"/>
      <c r="I70" s="4214"/>
      <c r="J70" s="4214"/>
      <c r="K70" s="4214"/>
      <c r="L70" s="4214"/>
      <c r="M70" s="4214"/>
      <c r="N70" s="4214"/>
      <c r="O70" s="4214"/>
      <c r="P70" s="4214"/>
      <c r="Q70" s="4214"/>
      <c r="R70" s="4214"/>
      <c r="S70" s="4214"/>
      <c r="T70" s="4214"/>
      <c r="U70" s="4214"/>
      <c r="V70" s="4214"/>
      <c r="W70" s="4214"/>
      <c r="X70" s="4214"/>
      <c r="Y70" s="4214"/>
      <c r="Z70" s="4214"/>
      <c r="AA70" s="4214"/>
      <c r="AB70" s="4214"/>
      <c r="AC70" s="4214"/>
      <c r="AD70" s="4214"/>
      <c r="AE70" s="4214"/>
      <c r="AF70" s="4214"/>
      <c r="AG70" s="4270"/>
      <c r="AH70" s="2496"/>
      <c r="AI70" s="4328"/>
      <c r="AJ70" s="2785" t="s">
        <v>9613</v>
      </c>
      <c r="AK70" s="2785"/>
      <c r="AL70" s="2785"/>
      <c r="AM70" s="2785" t="b">
        <f>OR(AND(ISNUMBER(SEARCH("Sostenimiento",K50)),OR(P46=1,MAX(I63:I69)=3)),AND(ISNUMBER(SEARCH("Sostenimiento",K51)),OR(P46=1,MAX(O63:O69)=3)),AND(ISNUMBER(SEARCH("Sostenimiento",K52)),OR(P46=1,MAX(U63:U69)=3)),AND(ISNUMBER(SEARCH("Sostenimiento",K53)),OR(P46=1,MAX(AA63:AA69)=3)),AND(ISNUMBER(SEARCH("Sostenimiento",K54)),OR(P46=1,MAX(AG63:AG69)=3)))</f>
        <v>0</v>
      </c>
      <c r="AN70" s="2785"/>
      <c r="AO70" s="2785"/>
      <c r="AP70" s="2785"/>
      <c r="AQ70" s="2786"/>
      <c r="AR70" s="2785"/>
      <c r="AS70" s="2785"/>
      <c r="AT70" s="2785"/>
      <c r="AU70" s="2787"/>
      <c r="AV70" s="2787"/>
      <c r="AW70" s="2787"/>
      <c r="AX70" s="2787"/>
      <c r="AY70" s="2785"/>
    </row>
    <row r="71" spans="1:51" ht="12.75" customHeight="1" x14ac:dyDescent="0.2">
      <c r="A71" s="2487"/>
      <c r="B71" s="2368">
        <f t="shared" si="8"/>
        <v>2</v>
      </c>
      <c r="C71" s="4325"/>
      <c r="D71" s="4271"/>
      <c r="E71" s="4272"/>
      <c r="F71" s="4272"/>
      <c r="G71" s="4272"/>
      <c r="H71" s="4272"/>
      <c r="I71" s="4272"/>
      <c r="J71" s="4272"/>
      <c r="K71" s="4272"/>
      <c r="L71" s="4272"/>
      <c r="M71" s="4272"/>
      <c r="N71" s="4272"/>
      <c r="O71" s="4272"/>
      <c r="P71" s="4272"/>
      <c r="Q71" s="4272"/>
      <c r="R71" s="4272"/>
      <c r="S71" s="4272"/>
      <c r="T71" s="4272"/>
      <c r="U71" s="4272"/>
      <c r="V71" s="4272"/>
      <c r="W71" s="4272"/>
      <c r="X71" s="4272"/>
      <c r="Y71" s="4272"/>
      <c r="Z71" s="4272"/>
      <c r="AA71" s="4272"/>
      <c r="AB71" s="4272"/>
      <c r="AC71" s="4272"/>
      <c r="AD71" s="4272"/>
      <c r="AE71" s="4272"/>
      <c r="AF71" s="4272"/>
      <c r="AG71" s="4273"/>
      <c r="AH71" s="2496"/>
      <c r="AI71" s="4328"/>
      <c r="AJ71" s="2785" t="s">
        <v>9621</v>
      </c>
      <c r="AK71" s="2785"/>
      <c r="AL71" s="2785"/>
      <c r="AM71" s="278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5"/>
      <c r="AO71" s="2785"/>
      <c r="AP71" s="2785"/>
      <c r="AQ71" s="2786"/>
      <c r="AR71" s="2785"/>
      <c r="AS71" s="2785"/>
      <c r="AT71" s="2785"/>
      <c r="AU71" s="2787"/>
      <c r="AV71" s="2787"/>
      <c r="AW71" s="2787"/>
      <c r="AX71" s="2787"/>
      <c r="AY71" s="2785"/>
    </row>
    <row r="72" spans="1:51" ht="12.75" customHeight="1" x14ac:dyDescent="0.2">
      <c r="A72" s="2487"/>
      <c r="B72" s="2368">
        <f t="shared" si="8"/>
        <v>2</v>
      </c>
      <c r="C72" s="4325"/>
      <c r="D72" s="4271"/>
      <c r="E72" s="4272"/>
      <c r="F72" s="4272"/>
      <c r="G72" s="4272"/>
      <c r="H72" s="4272"/>
      <c r="I72" s="4272"/>
      <c r="J72" s="4272"/>
      <c r="K72" s="4272"/>
      <c r="L72" s="4272"/>
      <c r="M72" s="4272"/>
      <c r="N72" s="4272"/>
      <c r="O72" s="4272"/>
      <c r="P72" s="4272"/>
      <c r="Q72" s="4272"/>
      <c r="R72" s="4272"/>
      <c r="S72" s="4272"/>
      <c r="T72" s="4272"/>
      <c r="U72" s="4272"/>
      <c r="V72" s="4272"/>
      <c r="W72" s="4272"/>
      <c r="X72" s="4272"/>
      <c r="Y72" s="4272"/>
      <c r="Z72" s="4272"/>
      <c r="AA72" s="4272"/>
      <c r="AB72" s="4272"/>
      <c r="AC72" s="4272"/>
      <c r="AD72" s="4272"/>
      <c r="AE72" s="4272"/>
      <c r="AF72" s="4272"/>
      <c r="AG72" s="4273"/>
      <c r="AH72" s="2496"/>
      <c r="AI72" s="4328"/>
      <c r="AJ72" s="2785" t="s">
        <v>9600</v>
      </c>
      <c r="AK72" s="2785"/>
      <c r="AL72" s="2785"/>
      <c r="AM72" s="2785" t="b">
        <f>AND((IF(SUM(V50:V54)&gt;0,1,0)+IF(SUM(X50:X54)&gt;0,1,0)+IF(SUM(Z50:Z54)&gt;0,1,0)+IF(SUM(AB50:AB54)&gt;0,1,0)+IF(SUM(AD50:AD54,)&gt;0,1,0)+IF(SUM(AF50:AF54)&gt;0,1,0))&lt;3,OR(V57&lt;0,X57&lt;0,Z57&lt;0,AB57&lt;0,AD57&lt;0,AF57&lt;0,Y55&lt;0))</f>
        <v>0</v>
      </c>
      <c r="AN72" s="2785"/>
      <c r="AO72" s="2785"/>
      <c r="AP72" s="2785"/>
      <c r="AQ72" s="2786"/>
      <c r="AR72" s="2785"/>
      <c r="AS72" s="2785"/>
      <c r="AT72" s="2785"/>
      <c r="AU72" s="2787"/>
      <c r="AV72" s="2787"/>
      <c r="AW72" s="2787"/>
      <c r="AX72" s="2787"/>
      <c r="AY72" s="2785"/>
    </row>
    <row r="73" spans="1:51" ht="12.75" customHeight="1" x14ac:dyDescent="0.2">
      <c r="A73" s="2487"/>
      <c r="B73" s="2368">
        <f t="shared" si="8"/>
        <v>2</v>
      </c>
      <c r="C73" s="4325"/>
      <c r="D73" s="4271"/>
      <c r="E73" s="4272"/>
      <c r="F73" s="4272"/>
      <c r="G73" s="4272"/>
      <c r="H73" s="4272"/>
      <c r="I73" s="4272"/>
      <c r="J73" s="4272"/>
      <c r="K73" s="4272"/>
      <c r="L73" s="4272"/>
      <c r="M73" s="4272"/>
      <c r="N73" s="4272"/>
      <c r="O73" s="4272"/>
      <c r="P73" s="4272"/>
      <c r="Q73" s="4272"/>
      <c r="R73" s="4272"/>
      <c r="S73" s="4272"/>
      <c r="T73" s="4272"/>
      <c r="U73" s="4272"/>
      <c r="V73" s="4272"/>
      <c r="W73" s="4272"/>
      <c r="X73" s="4272"/>
      <c r="Y73" s="4272"/>
      <c r="Z73" s="4272"/>
      <c r="AA73" s="4272"/>
      <c r="AB73" s="4272"/>
      <c r="AC73" s="4272"/>
      <c r="AD73" s="4272"/>
      <c r="AE73" s="4272"/>
      <c r="AF73" s="4272"/>
      <c r="AG73" s="4273"/>
      <c r="AH73" s="2496"/>
      <c r="AI73" s="4328"/>
      <c r="AJ73" s="2785" t="s">
        <v>9615</v>
      </c>
      <c r="AK73" s="2785"/>
      <c r="AL73" s="2785"/>
      <c r="AM73" s="2785" t="b">
        <f>OR(-V57&gt;TRUNC(SUM(V50:V54)/2),-X57&gt;TRUNC(SUM(X50:X54)/2),-Z57&gt;TRUNC(SUM(Z50:Z54)/2),-AB57&gt;TRUNC(SUM(AB50:AB54)/2),-AD57&gt;TRUNC(SUM(AD50:AD54)/2),-AF57&gt;TRUNC(SUM(AF50:AF54)/2))</f>
        <v>0</v>
      </c>
      <c r="AN73" s="2785"/>
      <c r="AO73" s="2785"/>
      <c r="AP73" s="2785"/>
      <c r="AQ73" s="2786"/>
      <c r="AR73" s="2785"/>
      <c r="AS73" s="2785"/>
      <c r="AT73" s="2785"/>
      <c r="AU73" s="2787"/>
      <c r="AV73" s="2787"/>
      <c r="AW73" s="2787"/>
      <c r="AX73" s="2787"/>
      <c r="AY73" s="2785"/>
    </row>
    <row r="74" spans="1:51" ht="12.75" customHeight="1" x14ac:dyDescent="0.2">
      <c r="A74" s="2487"/>
      <c r="B74" s="2368">
        <f t="shared" si="8"/>
        <v>2</v>
      </c>
      <c r="C74" s="4325"/>
      <c r="D74" s="4271"/>
      <c r="E74" s="4272"/>
      <c r="F74" s="4272"/>
      <c r="G74" s="4272"/>
      <c r="H74" s="4272"/>
      <c r="I74" s="4272"/>
      <c r="J74" s="4272"/>
      <c r="K74" s="4272"/>
      <c r="L74" s="4272"/>
      <c r="M74" s="4272"/>
      <c r="N74" s="4272"/>
      <c r="O74" s="4272"/>
      <c r="P74" s="4272"/>
      <c r="Q74" s="4272"/>
      <c r="R74" s="4272"/>
      <c r="S74" s="4272"/>
      <c r="T74" s="4272"/>
      <c r="U74" s="4272"/>
      <c r="V74" s="4272"/>
      <c r="W74" s="4272"/>
      <c r="X74" s="4272"/>
      <c r="Y74" s="4272"/>
      <c r="Z74" s="4272"/>
      <c r="AA74" s="4272"/>
      <c r="AB74" s="4272"/>
      <c r="AC74" s="4272"/>
      <c r="AD74" s="4272"/>
      <c r="AE74" s="4272"/>
      <c r="AF74" s="4272"/>
      <c r="AG74" s="4273"/>
      <c r="AH74" s="2496"/>
      <c r="AI74" s="4328"/>
      <c r="AJ74" s="2785" t="s">
        <v>9616</v>
      </c>
      <c r="AK74" s="2785"/>
      <c r="AL74" s="2785"/>
      <c r="AM74" s="2785" t="b">
        <f>COUNTIF(D50:E54,"Primario")&gt;1</f>
        <v>0</v>
      </c>
      <c r="AN74" s="2785"/>
      <c r="AO74" s="2785"/>
      <c r="AP74" s="2785"/>
      <c r="AQ74" s="2786"/>
      <c r="AR74" s="2786"/>
      <c r="AS74" s="2786"/>
      <c r="AT74" s="2786"/>
      <c r="AU74" s="2787"/>
      <c r="AV74" s="2787"/>
      <c r="AW74" s="2787"/>
      <c r="AX74" s="2785"/>
      <c r="AY74" s="2785"/>
    </row>
    <row r="75" spans="1:51" ht="12.75" customHeight="1" x14ac:dyDescent="0.2">
      <c r="A75" s="2487"/>
      <c r="B75" s="2368">
        <f t="shared" si="8"/>
        <v>2</v>
      </c>
      <c r="C75" s="4325"/>
      <c r="D75" s="4271"/>
      <c r="E75" s="4272"/>
      <c r="F75" s="4272"/>
      <c r="G75" s="4272"/>
      <c r="H75" s="4272"/>
      <c r="I75" s="4272"/>
      <c r="J75" s="4272"/>
      <c r="K75" s="4272"/>
      <c r="L75" s="4272"/>
      <c r="M75" s="4272"/>
      <c r="N75" s="4272"/>
      <c r="O75" s="4272"/>
      <c r="P75" s="4272"/>
      <c r="Q75" s="4272"/>
      <c r="R75" s="4272"/>
      <c r="S75" s="4272"/>
      <c r="T75" s="4272"/>
      <c r="U75" s="4272"/>
      <c r="V75" s="4272"/>
      <c r="W75" s="4272"/>
      <c r="X75" s="4272"/>
      <c r="Y75" s="4272"/>
      <c r="Z75" s="4272"/>
      <c r="AA75" s="4272"/>
      <c r="AB75" s="4272"/>
      <c r="AC75" s="4272"/>
      <c r="AD75" s="4272"/>
      <c r="AE75" s="4272"/>
      <c r="AF75" s="4272"/>
      <c r="AG75" s="4273"/>
      <c r="AH75" s="2496"/>
      <c r="AI75" s="4328"/>
      <c r="AJ75" s="2785" t="s">
        <v>9599</v>
      </c>
      <c r="AK75" s="2785"/>
      <c r="AL75" s="2785"/>
      <c r="AM75" s="2785" t="b">
        <f>SUM(V57:AG57)&lt;&gt;Y55+ABS(AC55)*2/5+IF(S46="Si",3*P46,0)</f>
        <v>0</v>
      </c>
      <c r="AN75" s="2785"/>
      <c r="AO75" s="2785"/>
      <c r="AP75" s="2785"/>
      <c r="AQ75" s="2786"/>
      <c r="AR75" s="2786"/>
      <c r="AS75" s="2786"/>
      <c r="AT75" s="2786"/>
      <c r="AU75" s="2787"/>
      <c r="AV75" s="2787"/>
      <c r="AW75" s="2787"/>
      <c r="AX75" s="2785"/>
      <c r="AY75" s="2785"/>
    </row>
    <row r="76" spans="1:51" ht="13.5" customHeight="1" x14ac:dyDescent="0.2">
      <c r="A76" s="2487"/>
      <c r="B76" s="2368">
        <f t="shared" si="8"/>
        <v>2</v>
      </c>
      <c r="C76" s="4325"/>
      <c r="D76" s="4271"/>
      <c r="E76" s="4272"/>
      <c r="F76" s="4272"/>
      <c r="G76" s="4272"/>
      <c r="H76" s="4272"/>
      <c r="I76" s="4272"/>
      <c r="J76" s="4272"/>
      <c r="K76" s="4272"/>
      <c r="L76" s="4272"/>
      <c r="M76" s="4272"/>
      <c r="N76" s="4272"/>
      <c r="O76" s="4272"/>
      <c r="P76" s="4272"/>
      <c r="Q76" s="4272"/>
      <c r="R76" s="4272"/>
      <c r="S76" s="4272"/>
      <c r="T76" s="4272"/>
      <c r="U76" s="4272"/>
      <c r="V76" s="4272"/>
      <c r="W76" s="4272"/>
      <c r="X76" s="4272"/>
      <c r="Y76" s="4272"/>
      <c r="Z76" s="4272"/>
      <c r="AA76" s="4272"/>
      <c r="AB76" s="4272"/>
      <c r="AC76" s="4272"/>
      <c r="AD76" s="4272"/>
      <c r="AE76" s="4272"/>
      <c r="AF76" s="4272"/>
      <c r="AG76" s="4273"/>
      <c r="AH76" s="2496"/>
      <c r="AI76" s="4328"/>
      <c r="AJ76" s="2785" t="s">
        <v>9598</v>
      </c>
      <c r="AK76" s="2785"/>
      <c r="AL76" s="2785"/>
      <c r="AM76" s="2785" t="b">
        <f>AL63-AL64+AM63-AM64&lt;&gt;0</f>
        <v>0</v>
      </c>
      <c r="AN76" s="2787"/>
      <c r="AO76" s="2787"/>
      <c r="AP76" s="2787"/>
      <c r="AQ76" s="2787"/>
      <c r="AR76" s="2786"/>
      <c r="AS76" s="2786"/>
      <c r="AT76" s="2786"/>
      <c r="AU76" s="2787"/>
      <c r="AV76" s="2787"/>
      <c r="AW76" s="2787"/>
      <c r="AX76" s="2785"/>
      <c r="AY76" s="2785"/>
    </row>
    <row r="77" spans="1:51" ht="12.75" customHeight="1" thickBot="1" x14ac:dyDescent="0.25">
      <c r="A77" s="2487"/>
      <c r="B77" s="2368"/>
      <c r="C77" s="4326"/>
      <c r="D77" s="432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30"/>
      <c r="F77" s="4330"/>
      <c r="G77" s="4330"/>
      <c r="H77" s="4330"/>
      <c r="I77" s="4330"/>
      <c r="J77" s="4330"/>
      <c r="K77" s="4330"/>
      <c r="L77" s="4330"/>
      <c r="M77" s="4330"/>
      <c r="N77" s="4330"/>
      <c r="O77" s="4330"/>
      <c r="P77" s="4330"/>
      <c r="Q77" s="4330"/>
      <c r="R77" s="4330"/>
      <c r="S77" s="4330"/>
      <c r="T77" s="4330"/>
      <c r="U77" s="4330"/>
      <c r="V77" s="4330"/>
      <c r="W77" s="4330"/>
      <c r="X77" s="4330"/>
      <c r="Y77" s="4330"/>
      <c r="Z77" s="4330"/>
      <c r="AA77" s="4330"/>
      <c r="AB77" s="4330"/>
      <c r="AC77" s="4330"/>
      <c r="AD77" s="4330"/>
      <c r="AE77" s="4330"/>
      <c r="AF77" s="4330"/>
      <c r="AG77" s="4331"/>
      <c r="AH77" s="2496"/>
      <c r="AI77" s="4328"/>
      <c r="AJ77" s="2785" t="s">
        <v>9635</v>
      </c>
      <c r="AK77" s="2787"/>
      <c r="AL77" s="2787"/>
      <c r="AM77" s="2787" t="b">
        <f>ABS(SUM(N55:N57))&gt;(SUM(N50:N54)-10*Y55+AC55+IF(S46="Si",10*P46,0)+IF(COUNTIF(K50:M54,"Mantenido")&gt;0,P46*10)+MAX(IF(COUNTIF(K50:M54,"Sostenimiento Menor")&gt;0,P46*20)+IF(COUNTIF(K50:M54,"Sostenimiento Mayor")&gt;0,P46*30)))/2</f>
        <v>0</v>
      </c>
      <c r="AN77" s="2785"/>
      <c r="AO77" s="2785"/>
      <c r="AP77" s="2785"/>
      <c r="AQ77" s="2785"/>
      <c r="AR77" s="2786"/>
      <c r="AS77" s="2786"/>
      <c r="AT77" s="2786"/>
      <c r="AU77" s="2787"/>
      <c r="AV77" s="2787"/>
      <c r="AW77" s="2787"/>
      <c r="AX77" s="2785"/>
      <c r="AY77" s="2785"/>
    </row>
    <row r="78" spans="1:51" x14ac:dyDescent="0.2">
      <c r="A78" s="2487"/>
      <c r="B78" s="2368"/>
      <c r="C78" s="4220"/>
      <c r="D78" s="4220" t="str">
        <f>IFERROR(VLOOKUP(D59,'Tablas Técnicas'!$O$9:$T$88,2,FALSE),"")</f>
        <v/>
      </c>
      <c r="E78" s="4220"/>
      <c r="F78" s="4220"/>
      <c r="G78" s="4220"/>
      <c r="H78" s="4220"/>
      <c r="I78" s="4220"/>
      <c r="J78" s="4220" t="str">
        <f>IFERROR(VLOOKUP(J59,'Tablas Técnicas'!$O$9:$T$88,2,FALSE),"")</f>
        <v/>
      </c>
      <c r="K78" s="4220"/>
      <c r="L78" s="4220"/>
      <c r="M78" s="4220"/>
      <c r="N78" s="4220"/>
      <c r="O78" s="4220"/>
      <c r="P78" s="4220" t="str">
        <f>IFERROR(VLOOKUP(P59,'Tablas Técnicas'!$O$9:$T$88,2,FALSE),"")</f>
        <v/>
      </c>
      <c r="Q78" s="4220"/>
      <c r="R78" s="4220"/>
      <c r="S78" s="4220"/>
      <c r="T78" s="4220"/>
      <c r="U78" s="4220"/>
      <c r="V78" s="4220" t="str">
        <f>IFERROR(VLOOKUP(V59,'Tablas Técnicas'!$O$9:$T$88,2,FALSE),"")</f>
        <v/>
      </c>
      <c r="W78" s="4220"/>
      <c r="X78" s="4220"/>
      <c r="Y78" s="4220"/>
      <c r="Z78" s="4220"/>
      <c r="AA78" s="4220"/>
      <c r="AB78" s="4220" t="str">
        <f>IFERROR(VLOOKUP(AB59,'Tablas Técnicas'!$O$9:$T$88,2,FALSE),"")</f>
        <v/>
      </c>
      <c r="AC78" s="4220"/>
      <c r="AD78" s="4220"/>
      <c r="AE78" s="4220"/>
      <c r="AF78" s="4220"/>
      <c r="AG78" s="4220"/>
      <c r="AH78" s="2496"/>
      <c r="AI78" s="2188"/>
      <c r="AJ78" s="2785"/>
      <c r="AK78" s="2785"/>
      <c r="AL78" s="2785"/>
      <c r="AM78" s="2785"/>
      <c r="AN78" s="2785"/>
      <c r="AO78" s="2785"/>
      <c r="AP78" s="2785"/>
      <c r="AQ78" s="2785"/>
      <c r="AR78" s="2786"/>
      <c r="AS78" s="2786"/>
      <c r="AT78" s="2786"/>
      <c r="AU78" s="2787"/>
      <c r="AV78" s="2787"/>
      <c r="AW78" s="2787"/>
      <c r="AX78" s="2787"/>
      <c r="AY78" s="2785"/>
    </row>
    <row r="79" spans="1:51" ht="12" thickBot="1" x14ac:dyDescent="0.25">
      <c r="A79" s="2487"/>
      <c r="B79" s="2368"/>
      <c r="C79" s="4233"/>
      <c r="D79" s="2635"/>
      <c r="E79" s="2370"/>
      <c r="F79" s="2370"/>
      <c r="G79" s="2370"/>
      <c r="H79" s="2370"/>
      <c r="I79" s="2370"/>
      <c r="J79" s="2370"/>
      <c r="K79" s="2370"/>
      <c r="L79" s="2370"/>
      <c r="M79" s="2370"/>
      <c r="N79" s="2370"/>
      <c r="O79" s="2370"/>
      <c r="P79" s="2370"/>
      <c r="Q79" s="2370"/>
      <c r="R79" s="2370"/>
      <c r="S79" s="2370"/>
      <c r="T79" s="2370"/>
      <c r="U79" s="2370"/>
      <c r="V79" s="2636"/>
      <c r="W79" s="2636"/>
      <c r="X79" s="2636"/>
      <c r="Y79" s="2636"/>
      <c r="Z79" s="2636"/>
      <c r="AA79" s="2636"/>
      <c r="AB79" s="2636"/>
      <c r="AC79" s="2636"/>
      <c r="AD79" s="2636"/>
      <c r="AE79" s="2636"/>
      <c r="AF79" s="2370"/>
      <c r="AG79" s="2370"/>
      <c r="AH79" s="2496"/>
      <c r="AI79" s="2188"/>
      <c r="AJ79" s="2793"/>
      <c r="AK79" s="2793"/>
      <c r="AL79" s="2793"/>
      <c r="AM79" s="2793"/>
      <c r="AN79" s="2793"/>
      <c r="AO79" s="2793"/>
      <c r="AP79" s="2785"/>
      <c r="AQ79" s="2786"/>
      <c r="AR79" s="2787"/>
      <c r="AS79" s="2787"/>
      <c r="AT79" s="2787"/>
      <c r="AU79" s="2787"/>
      <c r="AV79" s="2787"/>
      <c r="AW79" s="2787"/>
      <c r="AX79" s="2787"/>
      <c r="AY79" s="2794"/>
    </row>
    <row r="80" spans="1:51" ht="11.25" customHeight="1" x14ac:dyDescent="0.2">
      <c r="A80" s="2487"/>
      <c r="B80" s="2368">
        <f t="shared" ref="B80:B110" si="17">1+B46</f>
        <v>3</v>
      </c>
      <c r="C80" s="4324" t="str">
        <f>"Técnica "&amp;B80</f>
        <v>Técnica 3</v>
      </c>
      <c r="D80" s="4318" t="s">
        <v>8999</v>
      </c>
      <c r="E80" s="4319"/>
      <c r="F80" s="4319"/>
      <c r="G80" s="4319"/>
      <c r="H80" s="4319"/>
      <c r="I80" s="4319"/>
      <c r="J80" s="4319"/>
      <c r="K80" s="4319"/>
      <c r="L80" s="4319"/>
      <c r="M80" s="4319"/>
      <c r="N80" s="4320"/>
      <c r="O80" s="4284" t="s">
        <v>1333</v>
      </c>
      <c r="P80" s="4286">
        <v>1</v>
      </c>
      <c r="Q80" s="4203" t="s">
        <v>9083</v>
      </c>
      <c r="R80" s="4280"/>
      <c r="S80" s="4282" t="s">
        <v>1389</v>
      </c>
      <c r="T80" s="4204" t="s">
        <v>1514</v>
      </c>
      <c r="U80" s="4268">
        <f>MAX(IF(P80=3,60,IF(P80=2,40,20)),MIN(IF(P80=3,200,IF(P80=2,100,50)),SUM(N84:N91)-10*Y89+AC89+IF(S80="Si",10*P80,0)+IF(COUNTIF(K84:M88,"Mantenido")&gt;0,P80*10)+MAX(IF(COUNTIF(K84:M88,"Sostenimiento Menor")&gt;0,P80*20)+IF(COUNTIF(K84:M88,"Sostenimiento Mayor")&gt;0,P80*30))))</f>
        <v>20</v>
      </c>
      <c r="V80" s="4203" t="s">
        <v>9084</v>
      </c>
      <c r="W80" s="4204"/>
      <c r="X80" s="4207" t="str">
        <f>IFERROR(LEFT(AK96&amp;AL96&amp;AM96&amp;AN96&amp;AO96&amp;AP96,LEN(AK96&amp;AL96&amp;AM96&amp;AN96&amp;AO96&amp;AP96)-2),"")</f>
        <v/>
      </c>
      <c r="Y80" s="4207"/>
      <c r="Z80" s="4207"/>
      <c r="AA80" s="4207"/>
      <c r="AB80" s="4207"/>
      <c r="AC80" s="4207"/>
      <c r="AD80" s="4207"/>
      <c r="AE80" s="4207"/>
      <c r="AF80" s="4207"/>
      <c r="AG80" s="4208"/>
      <c r="AH80" s="2496"/>
      <c r="AI80" s="4328"/>
      <c r="AJ80" s="2790" t="s">
        <v>9632</v>
      </c>
      <c r="AK80" s="2790"/>
      <c r="AL80" s="2790"/>
      <c r="AM80" s="2790"/>
      <c r="AN80" s="2790"/>
      <c r="AO80" s="2790"/>
      <c r="AP80" s="2790"/>
      <c r="AQ80" s="2790"/>
      <c r="AR80" s="2790"/>
      <c r="AS80" s="2785"/>
      <c r="AT80" s="2785"/>
      <c r="AU80" s="2785"/>
      <c r="AV80" s="2785"/>
      <c r="AW80" s="2787"/>
      <c r="AX80" s="2787"/>
      <c r="AY80" s="2785"/>
    </row>
    <row r="81" spans="1:51" ht="11.25" customHeight="1" x14ac:dyDescent="0.2">
      <c r="A81" s="2487"/>
      <c r="B81" s="2368">
        <f t="shared" si="17"/>
        <v>3</v>
      </c>
      <c r="C81" s="4325"/>
      <c r="D81" s="4321"/>
      <c r="E81" s="4322"/>
      <c r="F81" s="4322"/>
      <c r="G81" s="4322"/>
      <c r="H81" s="4322"/>
      <c r="I81" s="4322"/>
      <c r="J81" s="4322"/>
      <c r="K81" s="4322"/>
      <c r="L81" s="4322"/>
      <c r="M81" s="4322"/>
      <c r="N81" s="4323"/>
      <c r="O81" s="4285"/>
      <c r="P81" s="4283"/>
      <c r="Q81" s="4205"/>
      <c r="R81" s="4281"/>
      <c r="S81" s="4283"/>
      <c r="T81" s="4206"/>
      <c r="U81" s="4269"/>
      <c r="V81" s="4205"/>
      <c r="W81" s="4206"/>
      <c r="X81" s="4209"/>
      <c r="Y81" s="4209"/>
      <c r="Z81" s="4209"/>
      <c r="AA81" s="4209"/>
      <c r="AB81" s="4209"/>
      <c r="AC81" s="4209"/>
      <c r="AD81" s="4209"/>
      <c r="AE81" s="4209"/>
      <c r="AF81" s="4209"/>
      <c r="AG81" s="4210"/>
      <c r="AH81" s="2496"/>
      <c r="AI81" s="4328"/>
      <c r="AJ81" s="2790"/>
      <c r="AK81" s="2790" t="s">
        <v>9633</v>
      </c>
      <c r="AL81" s="2790" t="s">
        <v>10237</v>
      </c>
      <c r="AM81" s="2791"/>
      <c r="AN81" s="2791"/>
      <c r="AO81" s="2791"/>
      <c r="AP81" s="2791"/>
      <c r="AQ81" s="2791"/>
      <c r="AR81" s="2790"/>
      <c r="AS81" s="2785"/>
      <c r="AT81" s="2785"/>
      <c r="AU81" s="2785"/>
      <c r="AV81" s="2785"/>
      <c r="AW81" s="2787"/>
      <c r="AX81" s="4327" t="s">
        <v>9602</v>
      </c>
      <c r="AY81" s="4327"/>
    </row>
    <row r="82" spans="1:51" ht="12" customHeight="1" x14ac:dyDescent="0.2">
      <c r="A82" s="2487"/>
      <c r="B82" s="2368">
        <f t="shared" si="17"/>
        <v>3</v>
      </c>
      <c r="C82" s="4325"/>
      <c r="D82" s="4213" t="s">
        <v>2910</v>
      </c>
      <c r="E82" s="4214"/>
      <c r="F82" s="4214"/>
      <c r="G82" s="4214"/>
      <c r="H82" s="4214"/>
      <c r="I82" s="4214"/>
      <c r="J82" s="4214"/>
      <c r="K82" s="4290" t="s">
        <v>9935</v>
      </c>
      <c r="L82" s="4290"/>
      <c r="M82" s="4290"/>
      <c r="N82" s="4214" t="s">
        <v>1508</v>
      </c>
      <c r="O82" s="4290" t="s">
        <v>2908</v>
      </c>
      <c r="P82" s="4290" t="s">
        <v>9085</v>
      </c>
      <c r="Q82" s="4214" t="s">
        <v>1372</v>
      </c>
      <c r="R82" s="4214"/>
      <c r="S82" s="4214"/>
      <c r="T82" s="4214"/>
      <c r="U82" s="4214"/>
      <c r="V82" s="4202" t="s">
        <v>1381</v>
      </c>
      <c r="W82" s="4185"/>
      <c r="X82" s="4202" t="s">
        <v>1506</v>
      </c>
      <c r="Y82" s="4287"/>
      <c r="Z82" s="4185" t="s">
        <v>1386</v>
      </c>
      <c r="AA82" s="4185"/>
      <c r="AB82" s="4202" t="s">
        <v>1391</v>
      </c>
      <c r="AC82" s="4287"/>
      <c r="AD82" s="4185" t="s">
        <v>1399</v>
      </c>
      <c r="AE82" s="4185"/>
      <c r="AF82" s="4202" t="s">
        <v>1400</v>
      </c>
      <c r="AG82" s="4186"/>
      <c r="AH82" s="2496"/>
      <c r="AI82" s="4328"/>
      <c r="AJ82" s="2785"/>
      <c r="AK82" s="2785"/>
      <c r="AL82" s="2785" t="s">
        <v>9910</v>
      </c>
      <c r="AM82" s="2785"/>
      <c r="AN82" s="2785"/>
      <c r="AO82" s="2785"/>
      <c r="AP82" s="2785"/>
      <c r="AQ82" s="2785"/>
      <c r="AR82" s="2787"/>
      <c r="AS82" s="2787" t="s">
        <v>9622</v>
      </c>
      <c r="AT82" s="2787" t="s">
        <v>9623</v>
      </c>
      <c r="AU82" s="2785" t="s">
        <v>9611</v>
      </c>
      <c r="AV82" s="2785" t="s">
        <v>9612</v>
      </c>
      <c r="AW82" s="2787" t="s">
        <v>1508</v>
      </c>
      <c r="AX82" s="2787" t="s">
        <v>9087</v>
      </c>
      <c r="AY82" s="2785" t="s">
        <v>9088</v>
      </c>
    </row>
    <row r="83" spans="1:51" ht="12.75" customHeight="1" x14ac:dyDescent="0.2">
      <c r="A83" s="2487"/>
      <c r="B83" s="2368">
        <f t="shared" si="17"/>
        <v>3</v>
      </c>
      <c r="C83" s="4325"/>
      <c r="D83" s="4288"/>
      <c r="E83" s="4289"/>
      <c r="F83" s="4289"/>
      <c r="G83" s="4289"/>
      <c r="H83" s="4289"/>
      <c r="I83" s="4289"/>
      <c r="J83" s="4289"/>
      <c r="K83" s="4291"/>
      <c r="L83" s="4291"/>
      <c r="M83" s="4291"/>
      <c r="N83" s="4215"/>
      <c r="O83" s="4291"/>
      <c r="P83" s="4292"/>
      <c r="Q83" s="4215"/>
      <c r="R83" s="4215"/>
      <c r="S83" s="4215"/>
      <c r="T83" s="4215"/>
      <c r="U83" s="4215"/>
      <c r="V83" s="2373" t="s">
        <v>9601</v>
      </c>
      <c r="W83" s="2488" t="s">
        <v>2914</v>
      </c>
      <c r="X83" s="2373" t="s">
        <v>9601</v>
      </c>
      <c r="Y83" s="2488" t="s">
        <v>2914</v>
      </c>
      <c r="Z83" s="2373" t="s">
        <v>9601</v>
      </c>
      <c r="AA83" s="2488" t="s">
        <v>2914</v>
      </c>
      <c r="AB83" s="2373" t="s">
        <v>9601</v>
      </c>
      <c r="AC83" s="2488" t="s">
        <v>2914</v>
      </c>
      <c r="AD83" s="2373" t="s">
        <v>9601</v>
      </c>
      <c r="AE83" s="2488" t="s">
        <v>2914</v>
      </c>
      <c r="AF83" s="2373" t="s">
        <v>9601</v>
      </c>
      <c r="AG83" s="2195" t="s">
        <v>2914</v>
      </c>
      <c r="AH83" s="2496"/>
      <c r="AI83" s="4328"/>
      <c r="AJ83" s="2785"/>
      <c r="AK83" s="2785" t="s">
        <v>9603</v>
      </c>
      <c r="AL83" s="2785">
        <v>1</v>
      </c>
      <c r="AM83" s="2785">
        <v>2</v>
      </c>
      <c r="AN83" s="2785">
        <v>3</v>
      </c>
      <c r="AO83" s="2785">
        <v>4</v>
      </c>
      <c r="AP83" s="2785">
        <v>5</v>
      </c>
      <c r="AQ83" s="2785">
        <v>6</v>
      </c>
      <c r="AR83" s="2785">
        <v>7</v>
      </c>
      <c r="AS83" s="2787"/>
      <c r="AT83" s="2785" t="s">
        <v>9634</v>
      </c>
      <c r="AU83" s="2787"/>
      <c r="AV83" s="2787"/>
      <c r="AW83" s="2787" t="s">
        <v>9634</v>
      </c>
      <c r="AX83" s="2787"/>
      <c r="AY83" s="2785"/>
    </row>
    <row r="84" spans="1:51" ht="12.75" customHeight="1" x14ac:dyDescent="0.2">
      <c r="A84" s="2487"/>
      <c r="B84" s="2368">
        <f t="shared" si="17"/>
        <v>3</v>
      </c>
      <c r="C84" s="4325"/>
      <c r="D84" s="4293" t="s">
        <v>9089</v>
      </c>
      <c r="E84" s="4294"/>
      <c r="F84" s="4295"/>
      <c r="G84" s="4296"/>
      <c r="H84" s="4296"/>
      <c r="I84" s="4296"/>
      <c r="J84" s="4240"/>
      <c r="K84" s="4297" t="s">
        <v>1464</v>
      </c>
      <c r="L84" s="4298"/>
      <c r="M84" s="4299"/>
      <c r="N84" s="2374">
        <f>IF(AW84&gt;0,IF(VLOOKUP(F84,'Tablas Técnicas'!$O$9:$X$88,10,0),MAX(5,AW84-5),AW84),0)</f>
        <v>0</v>
      </c>
      <c r="O84" s="2374" t="str">
        <f>AS84&amp;" / "&amp;AT84</f>
        <v>0 / 0</v>
      </c>
      <c r="P84" s="2374" t="str">
        <f t="array" ref="P84">W84+Y84+AA84+AC84+AE84+AG84&amp;" / "&amp;IF(K84&lt;&gt;"Mantenido",0,SUM(IF($AL84:$AR84='Tablas Técnicas'!$L$10:$L$643,'Tablas Técnicas'!$H$10:$H$643,0)))</f>
        <v>0 / 0</v>
      </c>
      <c r="Q84" s="4300" t="str">
        <f>IFERROR(VLOOKUP(F84,'Tablas Técnicas'!$O$9:$T$88,5,FALSE),"")</f>
        <v/>
      </c>
      <c r="R84" s="4300"/>
      <c r="S84" s="4300"/>
      <c r="T84" s="4300"/>
      <c r="U84" s="4300"/>
      <c r="V84" s="2324"/>
      <c r="W84" s="2325"/>
      <c r="X84" s="2324"/>
      <c r="Y84" s="2326"/>
      <c r="Z84" s="2327"/>
      <c r="AA84" s="2325"/>
      <c r="AB84" s="2324"/>
      <c r="AC84" s="2326"/>
      <c r="AD84" s="2327"/>
      <c r="AE84" s="2325"/>
      <c r="AF84" s="2324"/>
      <c r="AG84" s="2328"/>
      <c r="AH84" s="2496"/>
      <c r="AI84" s="4328"/>
      <c r="AJ84" s="2785">
        <v>1</v>
      </c>
      <c r="AK84" s="2785">
        <f>P80</f>
        <v>1</v>
      </c>
      <c r="AL84" s="2785" t="str">
        <f>IF(AND(ISNUMBER(MATCH($F84,'Tablas Técnicas'!$L$10:$L$643,0)),INDEX($D97:$D103,Tablas!A$1)="",COUNTIF(AM84:$AS84,$F84)=0),$F84,IF(INDEX($D97:$D103,Tablas!A$1)="","",$F84&amp;INDEX($D97:$D103,Tablas!A$1)))</f>
        <v/>
      </c>
      <c r="AM84" s="2785" t="str">
        <f>IF(AND(ISNUMBER(MATCH($F84,'Tablas Técnicas'!$L$10:$L$643,0)),INDEX($D97:$D103,Tablas!B$1)="",COUNTIF(AN84:$AS84,$F84)=0),$F84,IF(INDEX($D97:$D103,Tablas!B$1)="","",$F84&amp;INDEX($D97:$D103,Tablas!B$1)))</f>
        <v/>
      </c>
      <c r="AN84" s="2785" t="str">
        <f>IF(AND(ISNUMBER(MATCH($F84,'Tablas Técnicas'!$L$10:$L$643,0)),INDEX($D97:$D103,Tablas!C$1)="",COUNTIF(AO84:$AS84,$F84)=0),$F84,IF(INDEX($D97:$D103,Tablas!C$1)="","",$F84&amp;INDEX($D97:$D103,Tablas!C$1)))</f>
        <v/>
      </c>
      <c r="AO84" s="2785" t="str">
        <f>IF(AND(ISNUMBER(MATCH($F84,'Tablas Técnicas'!$L$10:$L$643,0)),INDEX($D97:$D103,Tablas!D$1)="",COUNTIF(AP84:$AS84,$F84)=0),$F84,IF(INDEX($D97:$D103,Tablas!D$1)="","",$F84&amp;INDEX($D97:$D103,Tablas!D$1)))</f>
        <v/>
      </c>
      <c r="AP84" s="2785" t="str">
        <f>IF(AND(ISNUMBER(MATCH($F84,'Tablas Técnicas'!$L$10:$L$643,0)),INDEX($D97:$D103,Tablas!E$1)="",COUNTIF(AQ84:$AS84,$F84)=0),$F84,IF(INDEX($D97:$D103,Tablas!E$1)="","",$F84&amp;INDEX($D97:$D103,Tablas!E$1)))</f>
        <v/>
      </c>
      <c r="AQ84" s="2785" t="str">
        <f>IF(AND(ISNUMBER(MATCH($F84,'Tablas Técnicas'!$L$10:$L$643,0)),INDEX($D97:$D103,Tablas!F$1)="",COUNTIF(AR84:$AS84,$F84)=0),$F84,IF(INDEX($D97:$D103,Tablas!F$1)="","",$F84&amp;INDEX($D97:$D103,Tablas!F$1)))</f>
        <v/>
      </c>
      <c r="AR84" s="2785" t="str">
        <f>IF(AND(ISNUMBER(MATCH($F84,'Tablas Técnicas'!$L$10:$L$643,0)),INDEX($D97:$D103,Tablas!G$1)="",COUNTIF(AS84:$AS84,$F84)=0),$F84,IF(INDEX($D97:$D103,Tablas!G$1)="","",$F84&amp;INDEX($D97:$D103,Tablas!G$1)))</f>
        <v/>
      </c>
      <c r="AS84" s="2787">
        <f>V84+X84+Z84+AB84+AD84+AF84</f>
        <v>0</v>
      </c>
      <c r="AT84" s="2787">
        <f t="array" ref="AT84">SUM(IF($AL84:$AR84='Tablas Técnicas'!$L$10:$L$643,IF(D84="Primario",'Tablas Técnicas'!$E$10:$E$643,'Tablas Técnicas'!$F$10:$F$643)+IF(K84="Sostenimiento menor",'Tablas Técnicas'!$I$10:$I$643,IF(K84="sostenimiento mayor",'Tablas Técnicas'!$J$10:$J$643,0)),0),0)+VALUE(RIGHT(P84,2))+AU84+AV84</f>
        <v>0</v>
      </c>
      <c r="AU84" s="2787">
        <f>IFERROR(IF(V84=0,0,VALUE(MID(Q84,SEARCH("AGI",Q84)+4,1))),0)+IFERROR(IF(X84=0,0,VALUE(MID(Q84,SEARCH("CON",Q84)+4,1))),0)+IFERROR(IF(Z84=0,0,VALUE(MID(Q84,SEARCH("DES",Q84)+4,1))),0)+IFERROR(IF(AB84=0,0,VALUE(MID(Q84,SEARCH("FUE",Q84)+4,1))),0)+IFERROR(IF(AD84=0,0,VALUE(MID(Q84,SEARCH("POD",Q84)+4,1))),0)+IFERROR(IF(AF84=0,0,VALUE(MID(Q84,SEARCH("VOL",Q84)+4,1))),0)</f>
        <v>0</v>
      </c>
      <c r="AV84" s="2787">
        <f>(COUNTIF(AL84:AR84,"*Estado añadido:*")-1)*COUNTIF(AL84:AR84,"*Estado añadido:*")</f>
        <v>0</v>
      </c>
      <c r="AW84" s="2787">
        <f t="array" ref="AW84">SUM(IF($AL84:$AR84='Tablas Técnicas'!$L$10:$L$643,'Tablas Técnicas'!$G$10:$G$643,0))</f>
        <v>0</v>
      </c>
      <c r="AX84" s="2785" t="str">
        <f>IF(F84="","",F84&amp;" ("&amp;IF(AL84="","",SUBSTITUTE(AL84,F84,"")&amp;", ")&amp;IF(AM84="","",SUBSTITUTE(AM84,F84,"")&amp;", ")&amp;IF(AN84="","",SUBSTITUTE(AN84,F84,"")&amp;", ")&amp;IF(AO84="","",SUBSTITUTE(AO84,F84,"")&amp;", ")&amp;IF(AP84="","",SUBSTITUTE(AP84,F84,"")&amp;", ")&amp;IF(AQ84="","",SUBSTITUTE(AQ84,F84,"")&amp;", ")&amp;IF(AR84="","",SUBSTITUTE(AR84,F84,"")&amp;", ")&amp;IF(OR(K84="",K84="-"),"",K84&amp;", "))</f>
        <v/>
      </c>
      <c r="AY84" s="2785" t="str">
        <f t="shared" ref="AY84:AY86" si="18">IFERROR(LEFT(AX84,LEN(AX84)-2)&amp;"), ","")</f>
        <v/>
      </c>
    </row>
    <row r="85" spans="1:51" ht="12.75" customHeight="1" x14ac:dyDescent="0.2">
      <c r="A85" s="2487"/>
      <c r="B85" s="2368">
        <f t="shared" si="17"/>
        <v>3</v>
      </c>
      <c r="C85" s="4325"/>
      <c r="D85" s="4221" t="s">
        <v>526</v>
      </c>
      <c r="E85" s="4222"/>
      <c r="F85" s="4304"/>
      <c r="G85" s="4305"/>
      <c r="H85" s="4305"/>
      <c r="I85" s="4305"/>
      <c r="J85" s="4249"/>
      <c r="K85" s="4306" t="s">
        <v>1464</v>
      </c>
      <c r="L85" s="4307"/>
      <c r="M85" s="4308"/>
      <c r="N85" s="2192">
        <f>IF(AW85&gt;0,IF(VLOOKUP(F85,'Tablas Técnicas'!$O$9:$X$88,10,0),MAX(5,AW85-5),AW85),0)</f>
        <v>0</v>
      </c>
      <c r="O85" s="2192" t="str">
        <f>AS85&amp;" / "&amp;AT85</f>
        <v>0 / 0</v>
      </c>
      <c r="P85" s="2192" t="str">
        <f t="array" ref="P85">W85+Y85+AA85+AC85+AE85+AG85&amp;" / "&amp;IF(K85&lt;&gt;"Mantenido",0,SUM(IF($AL85:$AR85='Tablas Técnicas'!$L$10:$L$643,'Tablas Técnicas'!$H$10:$H$643,0)))</f>
        <v>0 / 0</v>
      </c>
      <c r="Q85" s="4223" t="str">
        <f>IFERROR(VLOOKUP(F85,'Tablas Técnicas'!$O$9:$T$88,5,FALSE),"")</f>
        <v/>
      </c>
      <c r="R85" s="4223"/>
      <c r="S85" s="4223"/>
      <c r="T85" s="4223"/>
      <c r="U85" s="4223"/>
      <c r="V85" s="2329"/>
      <c r="W85" s="2330"/>
      <c r="X85" s="2329"/>
      <c r="Y85" s="2331"/>
      <c r="Z85" s="2332"/>
      <c r="AA85" s="2330"/>
      <c r="AB85" s="2329"/>
      <c r="AC85" s="2331"/>
      <c r="AD85" s="2332"/>
      <c r="AE85" s="2330"/>
      <c r="AF85" s="2329"/>
      <c r="AG85" s="2333"/>
      <c r="AH85" s="2496"/>
      <c r="AI85" s="4328"/>
      <c r="AJ85" s="2785">
        <v>2</v>
      </c>
      <c r="AK85" s="2785">
        <f>P80</f>
        <v>1</v>
      </c>
      <c r="AL85" s="2785" t="str">
        <f>IF(AND(ISNUMBER(MATCH($F85,'Tablas Técnicas'!$L$10:$L$643,0)),INDEX($J97:$J103,Tablas!A$1)="",COUNTIF(AM85:$AS85,$F85)=0),$F85,IF(INDEX($J97:$J103,Tablas!A$1)="","",$F85&amp;INDEX($J97:$J103,Tablas!A$1)))</f>
        <v/>
      </c>
      <c r="AM85" s="2785" t="str">
        <f>IF(AND(ISNUMBER(MATCH($F85,'Tablas Técnicas'!$L$10:$L$643,0)),INDEX($J97:$J103,Tablas!B$1)="",COUNTIF(AN85:$AS85,$F85)=0),$F85,IF(INDEX($J97:$J103,Tablas!B$1)="","",$F85&amp;INDEX($J97:$J103,Tablas!B$1)))</f>
        <v/>
      </c>
      <c r="AN85" s="2785" t="str">
        <f>IF(AND(ISNUMBER(MATCH($F85,'Tablas Técnicas'!$L$10:$L$643,0)),INDEX($J97:$J103,Tablas!C$1)="",COUNTIF(AO85:$AS85,$F85)=0),$F85,IF(INDEX($J97:$J103,Tablas!C$1)="","",$F85&amp;INDEX($J97:$J103,Tablas!C$1)))</f>
        <v/>
      </c>
      <c r="AO85" s="2785" t="str">
        <f>IF(AND(ISNUMBER(MATCH($F85,'Tablas Técnicas'!$L$10:$L$643,0)),INDEX($J97:$J103,Tablas!D$1)="",COUNTIF(AP85:$AS85,$F85)=0),$F85,IF(INDEX($J97:$J103,Tablas!D$1)="","",$F85&amp;INDEX($J97:$J103,Tablas!D$1)))</f>
        <v/>
      </c>
      <c r="AP85" s="2785" t="str">
        <f>IF(AND(ISNUMBER(MATCH($F85,'Tablas Técnicas'!$L$10:$L$643,0)),INDEX($J97:$J103,Tablas!E$1)="",COUNTIF(AQ85:$AS85,$F85)=0),$F85,IF(INDEX($J97:$J103,Tablas!E$1)="","",$F85&amp;INDEX($J97:$J103,Tablas!E$1)))</f>
        <v/>
      </c>
      <c r="AQ85" s="2785" t="str">
        <f>IF(AND(ISNUMBER(MATCH($F85,'Tablas Técnicas'!$L$10:$L$643,0)),INDEX($J97:$J103,Tablas!F$1)="",COUNTIF(AR85:$AS85,$F85)=0),$F85,IF(INDEX($J97:$J103,Tablas!F$1)="","",$F85&amp;INDEX($J97:$J103,Tablas!F$1)))</f>
        <v/>
      </c>
      <c r="AR85" s="2785" t="str">
        <f>IF(AND(ISNUMBER(MATCH($F85,'Tablas Técnicas'!$L$10:$L$643,0)),INDEX($J97:$J103,Tablas!G$1)="",COUNTIF(AS85:$AS85,$F85)=0),$F85,IF(INDEX($J97:$J103,Tablas!G$1)="","",$F85&amp;INDEX($J97:$J103,Tablas!G$1)))</f>
        <v/>
      </c>
      <c r="AS85" s="2787">
        <f>V85+X85+Z85+AB85+AD85+AF85</f>
        <v>0</v>
      </c>
      <c r="AT85" s="2787">
        <f t="array" ref="AT85">SUM(IF($AL85:$AR85='Tablas Técnicas'!$L$10:$L$643,IF(D85="Primario",'Tablas Técnicas'!$E$10:$E$643,'Tablas Técnicas'!$F$10:$F$643)+IF(K85="Sostenimiento menor",'Tablas Técnicas'!$I$10:$I$643,IF(K85="sostenimiento mayor",'Tablas Técnicas'!$J$10:$J$643,0)),0),0)+VALUE(RIGHT(P85,2))+AU85+AV85</f>
        <v>0</v>
      </c>
      <c r="AU85" s="2787">
        <f>IFERROR(IF(V85=0,0,VALUE(MID(Q85,SEARCH("AGI",Q85)+4,1))),0)+IFERROR(IF(X85=0,0,VALUE(MID(Q85,SEARCH("CON",Q85)+4,1))),0)+IFERROR(IF(Z85=0,0,VALUE(MID(Q85,SEARCH("DES",Q85)+4,1))),0)+IFERROR(IF(AB85=0,0,VALUE(MID(Q85,SEARCH("FUE",Q85)+4,1))),0)+IFERROR(IF(AD85=0,0,VALUE(MID(Q85,SEARCH("POD",Q85)+4,1))),0)+IFERROR(IF(AF85=0,0,VALUE(MID(Q85,SEARCH("VOL",Q85)+4,1))),0)</f>
        <v>0</v>
      </c>
      <c r="AV85" s="2787">
        <f>(COUNTIF(AL85:AR85,"*Estado añadido:*")-1)*COUNTIF(AL85:AR85,"*Estado añadido:*")</f>
        <v>0</v>
      </c>
      <c r="AW85" s="2787">
        <f t="array" ref="AW85">SUM(IF($AL85:$AR85='Tablas Técnicas'!$L$10:$L$643,'Tablas Técnicas'!$G$10:$G$643,0))</f>
        <v>0</v>
      </c>
      <c r="AX85" s="278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85" t="str">
        <f t="shared" si="18"/>
        <v/>
      </c>
    </row>
    <row r="86" spans="1:51" ht="12.75" customHeight="1" x14ac:dyDescent="0.2">
      <c r="A86" s="2487"/>
      <c r="B86" s="2368">
        <f t="shared" si="17"/>
        <v>3</v>
      </c>
      <c r="C86" s="4325"/>
      <c r="D86" s="4312" t="s">
        <v>526</v>
      </c>
      <c r="E86" s="4313"/>
      <c r="F86" s="4227"/>
      <c r="G86" s="4228"/>
      <c r="H86" s="4228"/>
      <c r="I86" s="4228"/>
      <c r="J86" s="4229"/>
      <c r="K86" s="4309" t="s">
        <v>1464</v>
      </c>
      <c r="L86" s="4310"/>
      <c r="M86" s="4311"/>
      <c r="N86" s="2188">
        <f>IF(AW86&gt;0,IF(VLOOKUP(F86,'Tablas Técnicas'!$O$9:$X$88,10,0),MAX(5,AW86-5),AW86),0)</f>
        <v>0</v>
      </c>
      <c r="O86" s="2188" t="str">
        <f>AS86&amp;" / "&amp;AT86</f>
        <v>0 / 0</v>
      </c>
      <c r="P86" s="2188" t="str">
        <f t="array" ref="P86">W86+Y86+AA86+AC86+AE86+AG86&amp;" / "&amp;IF(K86&lt;&gt;"Mantenido",0,SUM(IF($AL86:$AR86='Tablas Técnicas'!$L$10:$L$643,'Tablas Técnicas'!$H$10:$H$643,0)))</f>
        <v>0 / 0</v>
      </c>
      <c r="Q86" s="4314" t="str">
        <f>IFERROR(VLOOKUP(F86,'Tablas Técnicas'!$O$9:$T$88,5,FALSE),"")</f>
        <v/>
      </c>
      <c r="R86" s="4314"/>
      <c r="S86" s="4314"/>
      <c r="T86" s="4314"/>
      <c r="U86" s="4314"/>
      <c r="V86" s="2334"/>
      <c r="W86" s="2335"/>
      <c r="X86" s="2334"/>
      <c r="Y86" s="2336"/>
      <c r="Z86" s="2337"/>
      <c r="AA86" s="2335"/>
      <c r="AB86" s="2334"/>
      <c r="AC86" s="2336"/>
      <c r="AD86" s="2337"/>
      <c r="AE86" s="2335"/>
      <c r="AF86" s="2334"/>
      <c r="AG86" s="2338"/>
      <c r="AH86" s="2496"/>
      <c r="AI86" s="4328"/>
      <c r="AJ86" s="2785">
        <v>3</v>
      </c>
      <c r="AK86" s="2785">
        <f>P80</f>
        <v>1</v>
      </c>
      <c r="AL86" s="2785" t="str">
        <f>IF(AND(ISNUMBER(MATCH($F86,'Tablas Técnicas'!$L$10:$L$643,0)),INDEX($P97:$P103,Tablas!A$1)="",COUNTIF(AM86:$AS86,$F86)=0),$F86,IF(INDEX($P97:$P103,Tablas!A$1)="","",$F86&amp;INDEX($P97:$P103,Tablas!A$1)))</f>
        <v/>
      </c>
      <c r="AM86" s="2785" t="str">
        <f>IF(AND(ISNUMBER(MATCH($F86,'Tablas Técnicas'!$L$10:$L$643,0)),INDEX($P97:$P103,Tablas!B$1)="",COUNTIF(AN86:$AS86,$F86)=0),$F86,IF(INDEX($P97:$P103,Tablas!B$1)="","",$F86&amp;INDEX($P97:$P103,Tablas!B$1)))</f>
        <v/>
      </c>
      <c r="AN86" s="2785" t="str">
        <f>IF(AND(ISNUMBER(MATCH($F86,'Tablas Técnicas'!$L$10:$L$643,0)),INDEX($P97:$P103,Tablas!C$1)="",COUNTIF(AO86:$AS86,$F86)=0),$F86,IF(INDEX($P97:$P103,Tablas!C$1)="","",$F86&amp;INDEX($P97:$P103,Tablas!C$1)))</f>
        <v/>
      </c>
      <c r="AO86" s="2785" t="str">
        <f>IF(AND(ISNUMBER(MATCH($F86,'Tablas Técnicas'!$L$10:$L$643,0)),INDEX($P97:$P103,Tablas!D$1)="",COUNTIF(AP86:$AS86,$F86)=0),$F86,IF(INDEX($P97:$P103,Tablas!D$1)="","",$F86&amp;INDEX($P97:$P103,Tablas!D$1)))</f>
        <v/>
      </c>
      <c r="AP86" s="2785" t="str">
        <f>IF(AND(ISNUMBER(MATCH($F86,'Tablas Técnicas'!$L$10:$L$643,0)),INDEX($P97:$P103,Tablas!E$1)="",COUNTIF(AQ86:$AS86,$F86)=0),$F86,IF(INDEX($P97:$P103,Tablas!E$1)="","",$F86&amp;INDEX($P97:$P103,Tablas!E$1)))</f>
        <v/>
      </c>
      <c r="AQ86" s="2785" t="str">
        <f>IF(AND(ISNUMBER(MATCH($F86,'Tablas Técnicas'!$L$10:$L$643,0)),INDEX($P97:$P103,Tablas!F$1)="",COUNTIF(AR86:$AS86,$F86)=0),$F86,IF(INDEX($P97:$P103,Tablas!F$1)="","",$F86&amp;INDEX($P97:$P103,Tablas!F$1)))</f>
        <v/>
      </c>
      <c r="AR86" s="2785" t="str">
        <f>IF(AND(ISNUMBER(MATCH($F86,'Tablas Técnicas'!$L$10:$L$643,0)),INDEX($P97:$P103,Tablas!G$1)="",COUNTIF(AS86:$AS86,$F86)=0),$F86,IF(INDEX($P97:$P103,Tablas!G$1)="","",$F86&amp;INDEX($P97:$P103,Tablas!G$1)))</f>
        <v/>
      </c>
      <c r="AS86" s="2787">
        <f>V86+X86+Z86+AB86+AD86+AF86</f>
        <v>0</v>
      </c>
      <c r="AT86" s="2787">
        <f t="array" ref="AT86">SUM(IF($AL86:$AR86='Tablas Técnicas'!$L$10:$L$643,IF(D86="Primario",'Tablas Técnicas'!$E$10:$E$643,'Tablas Técnicas'!$F$10:$F$643)+IF(K86="Sostenimiento menor",'Tablas Técnicas'!$I$10:$I$643,IF(K86="sostenimiento mayor",'Tablas Técnicas'!$J$10:$J$643,0)),0),0)+VALUE(RIGHT(P86,2))+AU86+AV86</f>
        <v>0</v>
      </c>
      <c r="AU86" s="2787">
        <f>IFERROR(IF(V86=0,0,VALUE(MID(Q86,SEARCH("AGI",Q86)+4,1))),0)+IFERROR(IF(X86=0,0,VALUE(MID(Q86,SEARCH("CON",Q86)+4,1))),0)+IFERROR(IF(Z86=0,0,VALUE(MID(Q86,SEARCH("DES",Q86)+4,1))),0)+IFERROR(IF(AB86=0,0,VALUE(MID(Q86,SEARCH("FUE",Q86)+4,1))),0)+IFERROR(IF(AD86=0,0,VALUE(MID(Q86,SEARCH("POD",Q86)+4,1))),0)+IFERROR(IF(AF86=0,0,VALUE(MID(Q86,SEARCH("VOL",Q86)+4,1))),0)</f>
        <v>0</v>
      </c>
      <c r="AV86" s="2787">
        <f>(COUNTIF(AL86:AR86,"*Estado añadido:*")-1)*COUNTIF(AL86:AR86,"*Estado añadido:*")</f>
        <v>0</v>
      </c>
      <c r="AW86" s="2787">
        <f t="array" ref="AW86">SUM(IF($AL86:$AR86='Tablas Técnicas'!$L$10:$L$643,'Tablas Técnicas'!$G$10:$G$643,0))</f>
        <v>0</v>
      </c>
      <c r="AX86" s="2785" t="str">
        <f t="shared" si="19"/>
        <v/>
      </c>
      <c r="AY86" s="2785" t="str">
        <f t="shared" si="18"/>
        <v/>
      </c>
    </row>
    <row r="87" spans="1:51" ht="12.75" customHeight="1" x14ac:dyDescent="0.2">
      <c r="A87" s="2487"/>
      <c r="B87" s="2368">
        <f t="shared" si="17"/>
        <v>3</v>
      </c>
      <c r="C87" s="4325"/>
      <c r="D87" s="4221" t="s">
        <v>526</v>
      </c>
      <c r="E87" s="4222"/>
      <c r="F87" s="4304"/>
      <c r="G87" s="4305"/>
      <c r="H87" s="4305"/>
      <c r="I87" s="4305"/>
      <c r="J87" s="4249"/>
      <c r="K87" s="4306" t="s">
        <v>1464</v>
      </c>
      <c r="L87" s="4307"/>
      <c r="M87" s="4308"/>
      <c r="N87" s="2192">
        <f>IF(AW87&gt;0,IF(VLOOKUP(F87,'Tablas Técnicas'!$O$9:$X$88,10,0),MAX(5,AW87-5),AW87),0)</f>
        <v>0</v>
      </c>
      <c r="O87" s="2192" t="str">
        <f>AS87&amp;" / "&amp;AT87</f>
        <v>0 / 0</v>
      </c>
      <c r="P87" s="2192" t="str">
        <f t="array" ref="P87">W87+Y87+AA87+AC87+AE87+AG87&amp;" / "&amp;IF(K87&lt;&gt;"Mantenido",0,SUM(IF($AL87:$AR87='Tablas Técnicas'!$L$10:$L$643,'Tablas Técnicas'!$H$10:$H$643,0)))</f>
        <v>0 / 0</v>
      </c>
      <c r="Q87" s="4223" t="str">
        <f>IFERROR(VLOOKUP(F87,'Tablas Técnicas'!$O$9:$T$88,5,FALSE),"")</f>
        <v/>
      </c>
      <c r="R87" s="4223"/>
      <c r="S87" s="4223"/>
      <c r="T87" s="4223"/>
      <c r="U87" s="4223"/>
      <c r="V87" s="2329"/>
      <c r="W87" s="2330"/>
      <c r="X87" s="2329"/>
      <c r="Y87" s="2331"/>
      <c r="Z87" s="2332"/>
      <c r="AA87" s="2330"/>
      <c r="AB87" s="2329"/>
      <c r="AC87" s="2331"/>
      <c r="AD87" s="2332"/>
      <c r="AE87" s="2330"/>
      <c r="AF87" s="2329"/>
      <c r="AG87" s="2333"/>
      <c r="AH87" s="2496"/>
      <c r="AI87" s="4328"/>
      <c r="AJ87" s="2785">
        <v>4</v>
      </c>
      <c r="AK87" s="2785">
        <f>P80</f>
        <v>1</v>
      </c>
      <c r="AL87" s="2785" t="str">
        <f>IF(AND(ISNUMBER(MATCH($F87,'Tablas Técnicas'!$L$10:$L$643,0)),INDEX($V97:$V103,Tablas!A$1)="",COUNTIF(AM87:$AS87,$F87)=0),$F87,IF(INDEX($V97:$V103,Tablas!A$1)="","",$F87&amp;INDEX($V97:$V103,Tablas!A$1)))</f>
        <v/>
      </c>
      <c r="AM87" s="2785" t="str">
        <f>IF(AND(ISNUMBER(MATCH($F87,'Tablas Técnicas'!$L$10:$L$643,0)),INDEX($V97:$V103,Tablas!B$1)="",COUNTIF(AN87:$AS87,$F87)=0),$F87,IF(INDEX($V97:$V103,Tablas!B$1)="","",$F87&amp;INDEX($V97:$V103,Tablas!B$1)))</f>
        <v/>
      </c>
      <c r="AN87" s="2785" t="str">
        <f>IF(AND(ISNUMBER(MATCH($F87,'Tablas Técnicas'!$L$10:$L$643,0)),INDEX($V97:$V103,Tablas!C$1)="",COUNTIF(AO87:$AS87,$F87)=0),$F87,IF(INDEX($V97:$V103,Tablas!C$1)="","",$F87&amp;INDEX($V97:$V103,Tablas!C$1)))</f>
        <v/>
      </c>
      <c r="AO87" s="2785" t="str">
        <f>IF(AND(ISNUMBER(MATCH($F87,'Tablas Técnicas'!$L$10:$L$643,0)),INDEX($V97:$V103,Tablas!D$1)="",COUNTIF(AP87:$AS87,$F87)=0),$F87,IF(INDEX($V97:$V103,Tablas!D$1)="","",$F87&amp;INDEX($V97:$V103,Tablas!D$1)))</f>
        <v/>
      </c>
      <c r="AP87" s="2785" t="str">
        <f>IF(AND(ISNUMBER(MATCH($F87,'Tablas Técnicas'!$L$10:$L$643,0)),INDEX($V97:$V103,Tablas!E$1)="",COUNTIF(AQ87:$AS87,$F87)=0),$F87,IF(INDEX($V97:$V103,Tablas!E$1)="","",$F87&amp;INDEX($V97:$V103,Tablas!E$1)))</f>
        <v/>
      </c>
      <c r="AQ87" s="2785" t="str">
        <f>IF(AND(ISNUMBER(MATCH($F87,'Tablas Técnicas'!$L$10:$L$643,0)),INDEX($V97:$V103,Tablas!F$1)="",COUNTIF(AR87:$AS87,$F87)=0),$F87,IF(INDEX($V97:$V103,Tablas!F$1)="","",$F87&amp;INDEX($V97:$V103,Tablas!F$1)))</f>
        <v/>
      </c>
      <c r="AR87" s="2785" t="str">
        <f>IF(AND(ISNUMBER(MATCH($F87,'Tablas Técnicas'!$L$10:$L$643,0)),INDEX($V97:$V103,Tablas!G$1)="",COUNTIF(AS87:$AS87,$F87)=0),$F87,IF(INDEX($V97:$V103,Tablas!G$1)="","",$F87&amp;INDEX($V97:$V103,Tablas!G$1)))</f>
        <v/>
      </c>
      <c r="AS87" s="2787">
        <f>V87+X87+Z87+AB87+AD87+AF87</f>
        <v>0</v>
      </c>
      <c r="AT87" s="2787">
        <f t="array" ref="AT87">SUM(IF($AL87:$AR87='Tablas Técnicas'!$L$10:$L$643,IF(D87="Primario",'Tablas Técnicas'!$E$10:$E$643,'Tablas Técnicas'!$F$10:$F$643)+IF(K87="Sostenimiento menor",'Tablas Técnicas'!$I$10:$I$643,IF(K87="sostenimiento mayor",'Tablas Técnicas'!$J$10:$J$643,0)),0),0)+VALUE(RIGHT(P87,2))+AU87+AV87</f>
        <v>0</v>
      </c>
      <c r="AU87" s="2787">
        <f>IFERROR(IF(V87=0,0,VALUE(MID(Q87,SEARCH("AGI",Q87)+4,1))),0)+IFERROR(IF(X87=0,0,VALUE(MID(Q87,SEARCH("CON",Q87)+4,1))),0)+IFERROR(IF(Z87=0,0,VALUE(MID(Q87,SEARCH("DES",Q87)+4,1))),0)+IFERROR(IF(AB87=0,0,VALUE(MID(Q87,SEARCH("FUE",Q87)+4,1))),0)+IFERROR(IF(AD87=0,0,VALUE(MID(Q87,SEARCH("POD",Q87)+4,1))),0)+IFERROR(IF(AF87=0,0,VALUE(MID(Q87,SEARCH("VOL",Q87)+4,1))),0)</f>
        <v>0</v>
      </c>
      <c r="AV87" s="2787">
        <f>(COUNTIF(AL87:AR87,"*Estado añadido:*")-1)*COUNTIF(AL87:AR87,"*Estado añadido:*")</f>
        <v>0</v>
      </c>
      <c r="AW87" s="2787">
        <f t="array" ref="AW87">SUM(IF($AL87:$AR87='Tablas Técnicas'!$L$10:$L$643,'Tablas Técnicas'!$G$10:$G$643,0))</f>
        <v>0</v>
      </c>
      <c r="AX87" s="2785" t="str">
        <f t="shared" si="19"/>
        <v/>
      </c>
      <c r="AY87" s="2785" t="str">
        <f>IFERROR(LEFT(AX87,LEN(AX87)-2)&amp;"), ","")</f>
        <v/>
      </c>
    </row>
    <row r="88" spans="1:51" ht="12.75" customHeight="1" thickBot="1" x14ac:dyDescent="0.25">
      <c r="A88" s="2487"/>
      <c r="B88" s="2368">
        <f t="shared" si="17"/>
        <v>3</v>
      </c>
      <c r="C88" s="4325"/>
      <c r="D88" s="4224" t="s">
        <v>526</v>
      </c>
      <c r="E88" s="4225"/>
      <c r="F88" s="4315"/>
      <c r="G88" s="4316"/>
      <c r="H88" s="4316"/>
      <c r="I88" s="4316"/>
      <c r="J88" s="4317"/>
      <c r="K88" s="4301" t="s">
        <v>1464</v>
      </c>
      <c r="L88" s="4302"/>
      <c r="M88" s="4303"/>
      <c r="N88" s="2489">
        <f>IF(AW88&gt;0,IF(VLOOKUP(F88,'Tablas Técnicas'!$O$9:$X$88,10,0),MAX(5,AW88-5),AW88),0)</f>
        <v>0</v>
      </c>
      <c r="O88" s="2489" t="str">
        <f>AS88&amp;" / "&amp;AT88</f>
        <v>0 / 0</v>
      </c>
      <c r="P88" s="2489" t="str">
        <f t="array" ref="P88">W88+Y88+AA88+AC88+AE88+AG88&amp;" / "&amp;IF(K88&lt;&gt;"Mantenido",0,SUM(IF($AL88:$AR88='Tablas Técnicas'!$L$10:$L$643,'Tablas Técnicas'!$H$10:$H$643,0)))</f>
        <v>0 / 0</v>
      </c>
      <c r="Q88" s="4226" t="str">
        <f>IFERROR(VLOOKUP(F88,'Tablas Técnicas'!$O$9:$T$88,5,FALSE),"")</f>
        <v/>
      </c>
      <c r="R88" s="4226"/>
      <c r="S88" s="4226"/>
      <c r="T88" s="4226"/>
      <c r="U88" s="4226"/>
      <c r="V88" s="2339"/>
      <c r="W88" s="2340"/>
      <c r="X88" s="2339"/>
      <c r="Y88" s="2341"/>
      <c r="Z88" s="2342"/>
      <c r="AA88" s="2340"/>
      <c r="AB88" s="2339"/>
      <c r="AC88" s="2341"/>
      <c r="AD88" s="2342"/>
      <c r="AE88" s="2340"/>
      <c r="AF88" s="2339"/>
      <c r="AG88" s="2343"/>
      <c r="AH88" s="2496"/>
      <c r="AI88" s="4328"/>
      <c r="AJ88" s="2785">
        <v>5</v>
      </c>
      <c r="AK88" s="2785">
        <f>P80</f>
        <v>1</v>
      </c>
      <c r="AL88" s="2785" t="str">
        <f>IF(AND(ISNUMBER(MATCH($F88,'Tablas Técnicas'!$L$10:$L$643,0)),INDEX($AB97:$AB103,Tablas!A$1)="",COUNTIF(AM88:$AS88,$F88)=0),$F88,IF(INDEX($AB97:$AB103,Tablas!A$1)="","",$F88&amp;INDEX($AB97:$AB103,Tablas!A$1)))</f>
        <v/>
      </c>
      <c r="AM88" s="2785" t="str">
        <f>IF(AND(ISNUMBER(MATCH($F88,'Tablas Técnicas'!$L$10:$L$643,0)),INDEX($AB97:$AB103,Tablas!B$1)="",COUNTIF(AN88:$AS88,$F88)=0),$F88,IF(INDEX($AB97:$AB103,Tablas!B$1)="","",$F88&amp;INDEX($AB97:$AB103,Tablas!B$1)))</f>
        <v/>
      </c>
      <c r="AN88" s="2785" t="str">
        <f>IF(AND(ISNUMBER(MATCH($F88,'Tablas Técnicas'!$L$10:$L$643,0)),INDEX($AB97:$AB103,Tablas!C$1)="",COUNTIF(AO88:$AS88,$F88)=0),$F88,IF(INDEX($AB97:$AB103,Tablas!C$1)="","",$F88&amp;INDEX($AB97:$AB103,Tablas!C$1)))</f>
        <v/>
      </c>
      <c r="AO88" s="2785" t="str">
        <f>IF(AND(ISNUMBER(MATCH($F88,'Tablas Técnicas'!$L$10:$L$643,0)),INDEX($AB97:$AB103,Tablas!D$1)="",COUNTIF(AP88:$AS88,$F88)=0),$F88,IF(INDEX($AB97:$AB103,Tablas!D$1)="","",$F88&amp;INDEX($AB97:$AB103,Tablas!D$1)))</f>
        <v/>
      </c>
      <c r="AP88" s="2785" t="str">
        <f>IF(AND(ISNUMBER(MATCH($F88,'Tablas Técnicas'!$L$10:$L$643,0)),INDEX($AB97:$AB103,Tablas!E$1)="",COUNTIF(AQ88:$AS88,$F88)=0),$F88,IF(INDEX($AB97:$AB103,Tablas!E$1)="","",$F88&amp;INDEX($AB97:$AB103,Tablas!E$1)))</f>
        <v/>
      </c>
      <c r="AQ88" s="2785" t="str">
        <f>IF(AND(ISNUMBER(MATCH($F88,'Tablas Técnicas'!$L$10:$L$643,0)),INDEX($AB97:$AB103,Tablas!F$1)="",COUNTIF(AR88:$AS88,$F88)=0),$F88,IF(INDEX($AB97:$AB103,Tablas!F$1)="","",$F88&amp;INDEX($AB97:$AB103,Tablas!F$1)))</f>
        <v/>
      </c>
      <c r="AR88" s="2785" t="str">
        <f>IF(AND(ISNUMBER(MATCH($F88,'Tablas Técnicas'!$L$10:$L$643,0)),INDEX($AB97:$AB103,Tablas!G$1)="",COUNTIF(AS88:$AS88,$F88)=0),$F88,IF(INDEX($AB97:$AB103,Tablas!G$1)="","",$F88&amp;INDEX($AB97:$AB103,Tablas!G$1)))</f>
        <v/>
      </c>
      <c r="AS88" s="2787">
        <f>V88+X88+Z88+AB88+AD88+AF88</f>
        <v>0</v>
      </c>
      <c r="AT88" s="2787">
        <f t="array" ref="AT88">SUM(IF($AL88:$AR88='Tablas Técnicas'!$L$10:$L$643,IF(D88="Primario",'Tablas Técnicas'!$E$10:$E$643,'Tablas Técnicas'!$F$10:$F$643)+IF(K88="Sostenimiento menor",'Tablas Técnicas'!$I$10:$I$643,IF(K88="sostenimiento mayor",'Tablas Técnicas'!$J$10:$J$643,0)),0),0)+VALUE(RIGHT(P88,2))+AU88+AV88</f>
        <v>0</v>
      </c>
      <c r="AU88" s="2787">
        <f>IFERROR(IF(V88=0,0,VALUE(MID(Q88,SEARCH("AGI",Q88)+4,1))),0)+IFERROR(IF(X88=0,0,VALUE(MID(Q88,SEARCH("CON",Q88)+4,1))),0)+IFERROR(IF(Z88=0,0,VALUE(MID(Q88,SEARCH("DES",Q88)+4,1))),0)+IFERROR(IF(AB88=0,0,VALUE(MID(Q88,SEARCH("FUE",Q88)+4,1))),0)+IFERROR(IF(AD88=0,0,VALUE(MID(Q88,SEARCH("POD",Q88)+4,1))),0)+IFERROR(IF(AF88=0,0,VALUE(MID(Q88,SEARCH("VOL",Q88)+4,1))),0)</f>
        <v>0</v>
      </c>
      <c r="AV88" s="2787">
        <f>(COUNTIF(AL88:AR88,"*Estado añadido:*")-1)*COUNTIF(AL88:AR88,"*Estado añadido:*")</f>
        <v>0</v>
      </c>
      <c r="AW88" s="2787">
        <f t="array" ref="AW88">SUM(IF($AL88:$AR88='Tablas Técnicas'!$L$10:$L$643,'Tablas Técnicas'!$G$10:$G$643,0))</f>
        <v>0</v>
      </c>
      <c r="AX88" s="2785" t="str">
        <f t="shared" si="19"/>
        <v/>
      </c>
      <c r="AY88" s="2785" t="str">
        <f t="shared" ref="AY88" si="20">IFERROR(LEFT(AX88,LEN(AX88)-2)&amp;"), ","")</f>
        <v/>
      </c>
    </row>
    <row r="89" spans="1:51" ht="12.75" customHeight="1" x14ac:dyDescent="0.2">
      <c r="A89" s="2487"/>
      <c r="B89" s="2368">
        <f t="shared" si="17"/>
        <v>3</v>
      </c>
      <c r="C89" s="4325"/>
      <c r="D89" s="4274" t="s">
        <v>2905</v>
      </c>
      <c r="E89" s="4275"/>
      <c r="F89" s="4264"/>
      <c r="G89" s="4265"/>
      <c r="H89" s="4265"/>
      <c r="I89" s="4265"/>
      <c r="J89" s="4266"/>
      <c r="K89" s="4240"/>
      <c r="L89" s="4241"/>
      <c r="M89" s="4242"/>
      <c r="N89" s="2196" t="str">
        <f>IFERROR(INDEX('Tablas Técnicas'!$Q$200:$Q$299,MATCH(F89&amp;K89,'Tablas Técnicas'!$S$200:$S$299,0)),"")</f>
        <v/>
      </c>
      <c r="O89" s="4243"/>
      <c r="P89" s="4244"/>
      <c r="Q89" s="4245"/>
      <c r="R89" s="4244"/>
      <c r="S89" s="2374" t="str">
        <f>IFERROR("Nivel: "&amp;MAX(1,INDEX('Tablas Técnicas'!$R$200:$R$299,MATCH(F89&amp;K89,'Tablas Técnicas'!$S$200:$S$299,0))),"")</f>
        <v/>
      </c>
      <c r="T89" s="2197"/>
      <c r="U89" s="2198" t="str">
        <f>IFERROR("("&amp;VLOOKUP(F89,'Tablas Técnicas'!$V$199:$X$225,3,FALSE)&amp;")","")</f>
        <v/>
      </c>
      <c r="V89" s="4187" t="s">
        <v>9924</v>
      </c>
      <c r="W89" s="4188"/>
      <c r="X89" s="4189"/>
      <c r="Y89" s="2666">
        <v>0</v>
      </c>
      <c r="Z89" s="4190" t="s">
        <v>9094</v>
      </c>
      <c r="AA89" s="4191"/>
      <c r="AB89" s="4192"/>
      <c r="AC89" s="2666">
        <v>0</v>
      </c>
      <c r="AD89" s="4193" t="str">
        <f>"Ki sin repartir: "&amp;AL97-AL98&amp;IF(AM97=0,""," ("&amp;AM97-AM98&amp;")")</f>
        <v>Ki sin repartir: 0</v>
      </c>
      <c r="AE89" s="4194"/>
      <c r="AF89" s="4194"/>
      <c r="AG89" s="4195"/>
      <c r="AH89" s="2496"/>
      <c r="AI89" s="4328"/>
      <c r="AJ89" s="2785">
        <v>1</v>
      </c>
      <c r="AK89" s="2785">
        <f>P80</f>
        <v>1</v>
      </c>
      <c r="AL89" s="2785" t="e">
        <f>VLOOKUP(F89,'Tablas Técnicas'!$V$199:$X$221,2,FALSE)</f>
        <v>#N/A</v>
      </c>
      <c r="AM89" s="2785"/>
      <c r="AN89" s="2786"/>
      <c r="AO89" s="2785"/>
      <c r="AP89" s="2785"/>
      <c r="AQ89" s="2786"/>
      <c r="AR89" s="2785"/>
      <c r="AS89" s="2785"/>
      <c r="AT89" s="2785"/>
      <c r="AU89" s="2785"/>
      <c r="AV89" s="2785"/>
      <c r="AW89" s="2787"/>
      <c r="AX89" s="2787"/>
      <c r="AY89" s="2785" t="str">
        <f>IF(F89="","",F89&amp;IF(K89="",""," ("&amp;IF(F89="Atadura Elemental",O89&amp;IF(Q89="","",", "&amp;Q89),K89)&amp;")")&amp;", ")</f>
        <v/>
      </c>
    </row>
    <row r="90" spans="1:51" ht="12" customHeight="1" x14ac:dyDescent="0.2">
      <c r="A90" s="2487"/>
      <c r="B90" s="2368">
        <f t="shared" si="17"/>
        <v>3</v>
      </c>
      <c r="C90" s="4325"/>
      <c r="D90" s="4276"/>
      <c r="E90" s="4277"/>
      <c r="F90" s="4246"/>
      <c r="G90" s="4247"/>
      <c r="H90" s="4247"/>
      <c r="I90" s="4247"/>
      <c r="J90" s="4248"/>
      <c r="K90" s="4249"/>
      <c r="L90" s="4250"/>
      <c r="M90" s="4251"/>
      <c r="N90" s="2199" t="str">
        <f>IFERROR(INDEX('Tablas Técnicas'!$Q$200:$Q$299,MATCH(F90&amp;K90,'Tablas Técnicas'!$S$200:$S$299,0)),"")</f>
        <v/>
      </c>
      <c r="O90" s="4252"/>
      <c r="P90" s="4253"/>
      <c r="Q90" s="4254"/>
      <c r="R90" s="4253"/>
      <c r="S90" s="2192" t="str">
        <f>IFERROR("Nivel: "&amp;MAX(1,INDEX('Tablas Técnicas'!$R$200:$R$299,MATCH(F90&amp;K90,'Tablas Técnicas'!$S$200:$S$299,0))),"")</f>
        <v/>
      </c>
      <c r="T90" s="2302"/>
      <c r="U90" s="2191" t="str">
        <f>IFERROR("("&amp;VLOOKUP(F90,'Tablas Técnicas'!$V$199:$X$225,3,FALSE)&amp;")","")</f>
        <v/>
      </c>
      <c r="V90" s="4184" t="str">
        <f>"Mod. "&amp;V82</f>
        <v>Mod. AGI</v>
      </c>
      <c r="W90" s="4185"/>
      <c r="X90" s="4184" t="str">
        <f t="shared" ref="X90" si="21">"Mod. "&amp;X82</f>
        <v>Mod. CON</v>
      </c>
      <c r="Y90" s="4185"/>
      <c r="Z90" s="4184" t="str">
        <f t="shared" ref="Z90" si="22">"Mod. "&amp;Z82</f>
        <v>Mod. DES</v>
      </c>
      <c r="AA90" s="4185"/>
      <c r="AB90" s="4184" t="str">
        <f t="shared" ref="AB90" si="23">"Mod. "&amp;AB82</f>
        <v>Mod. FUE</v>
      </c>
      <c r="AC90" s="4185"/>
      <c r="AD90" s="4184" t="str">
        <f t="shared" ref="AD90" si="24">"Mod. "&amp;AD82</f>
        <v>Mod. POD</v>
      </c>
      <c r="AE90" s="4185"/>
      <c r="AF90" s="4184" t="str">
        <f t="shared" ref="AF90" si="25">"Mod. "&amp;AF82</f>
        <v>Mod. VOL</v>
      </c>
      <c r="AG90" s="4186"/>
      <c r="AH90" s="2496"/>
      <c r="AI90" s="4328"/>
      <c r="AJ90" s="2785">
        <v>2</v>
      </c>
      <c r="AK90" s="2785">
        <f>P80</f>
        <v>1</v>
      </c>
      <c r="AL90" s="2785" t="e">
        <f>VLOOKUP(F90,'Tablas Técnicas'!$V$199:$X$221,2,FALSE)</f>
        <v>#N/A</v>
      </c>
      <c r="AM90" s="2785"/>
      <c r="AN90" s="2786"/>
      <c r="AO90" s="2785"/>
      <c r="AP90" s="2785"/>
      <c r="AQ90" s="2786"/>
      <c r="AR90" s="2785"/>
      <c r="AS90" s="2785"/>
      <c r="AT90" s="2785"/>
      <c r="AU90" s="2785"/>
      <c r="AV90" s="2785"/>
      <c r="AW90" s="2787"/>
      <c r="AX90" s="2787"/>
      <c r="AY90" s="2785" t="str">
        <f>IF(F90="","",F90&amp;IF(K90="",""," ("&amp;IF(F90="Atadura Elemental",O90&amp;IF(Q90="","",", "&amp;Q90),K90)&amp;")")&amp;", ")</f>
        <v/>
      </c>
    </row>
    <row r="91" spans="1:51" ht="12.75" customHeight="1" thickBot="1" x14ac:dyDescent="0.25">
      <c r="A91" s="2487"/>
      <c r="B91" s="2368">
        <f t="shared" si="17"/>
        <v>3</v>
      </c>
      <c r="C91" s="4325"/>
      <c r="D91" s="4278"/>
      <c r="E91" s="4279"/>
      <c r="F91" s="4255"/>
      <c r="G91" s="4256"/>
      <c r="H91" s="4256"/>
      <c r="I91" s="4256"/>
      <c r="J91" s="4257"/>
      <c r="K91" s="4258"/>
      <c r="L91" s="4259"/>
      <c r="M91" s="4260"/>
      <c r="N91" s="2200" t="str">
        <f>IFERROR(INDEX('Tablas Técnicas'!$Q$200:$Q$299,MATCH(F91&amp;K91,'Tablas Técnicas'!$S$200:$S$299,0)),"")</f>
        <v/>
      </c>
      <c r="O91" s="4261"/>
      <c r="P91" s="4262"/>
      <c r="Q91" s="4263"/>
      <c r="R91" s="4262"/>
      <c r="S91" s="2489" t="str">
        <f>IFERROR("Nivel: "&amp;MAX(1,INDEX('Tablas Técnicas'!$R$200:$R$299,MATCH(F91&amp;K91,'Tablas Técnicas'!$S$200:$S$299,0))),"")</f>
        <v/>
      </c>
      <c r="T91" s="2490"/>
      <c r="U91" s="2303" t="str">
        <f>IFERROR("("&amp;VLOOKUP(F91,'Tablas Técnicas'!$V$199:$X$225,3,FALSE)&amp;")","")</f>
        <v/>
      </c>
      <c r="V91" s="4199"/>
      <c r="W91" s="4198"/>
      <c r="X91" s="4198"/>
      <c r="Y91" s="4198"/>
      <c r="Z91" s="4198"/>
      <c r="AA91" s="4198"/>
      <c r="AB91" s="4198"/>
      <c r="AC91" s="4198"/>
      <c r="AD91" s="4198"/>
      <c r="AE91" s="4198"/>
      <c r="AF91" s="4198"/>
      <c r="AG91" s="4267"/>
      <c r="AH91" s="2496"/>
      <c r="AI91" s="4328"/>
      <c r="AJ91" s="2785">
        <v>3</v>
      </c>
      <c r="AK91" s="2785">
        <f>P80</f>
        <v>1</v>
      </c>
      <c r="AL91" s="2785" t="e">
        <f>VLOOKUP(F91,'Tablas Técnicas'!$V$199:$X$221,2,FALSE)</f>
        <v>#N/A</v>
      </c>
      <c r="AM91" s="2785"/>
      <c r="AN91" s="2786"/>
      <c r="AO91" s="2785"/>
      <c r="AP91" s="2785"/>
      <c r="AQ91" s="2786"/>
      <c r="AR91" s="2787"/>
      <c r="AS91" s="2787"/>
      <c r="AT91" s="2787"/>
      <c r="AU91" s="2787"/>
      <c r="AV91" s="2787"/>
      <c r="AW91" s="2787"/>
      <c r="AX91" s="2787"/>
      <c r="AY91" s="2785" t="str">
        <f>IF(F91="","",F91&amp;IF(K91="",""," ("&amp;IF(F91="Atadura Elemental",O91&amp;IF(Q91="","",", "&amp;Q91),K91)&amp;")")&amp;", ")</f>
        <v/>
      </c>
    </row>
    <row r="92" spans="1:51" ht="12.75" customHeight="1" x14ac:dyDescent="0.2">
      <c r="A92" s="2487"/>
      <c r="B92" s="2368">
        <f t="shared" si="17"/>
        <v>3</v>
      </c>
      <c r="C92" s="4325"/>
      <c r="D92" s="4213" t="s">
        <v>9596</v>
      </c>
      <c r="E92" s="4214"/>
      <c r="F92" s="4214"/>
      <c r="G92" s="4214"/>
      <c r="H92" s="4214"/>
      <c r="I92" s="4214"/>
      <c r="J92" s="4214"/>
      <c r="K92" s="4214"/>
      <c r="L92" s="4214"/>
      <c r="M92" s="4214"/>
      <c r="N92" s="4214"/>
      <c r="O92" s="4214"/>
      <c r="P92" s="4214"/>
      <c r="Q92" s="4214"/>
      <c r="R92" s="4214"/>
      <c r="S92" s="4214"/>
      <c r="T92" s="4214"/>
      <c r="U92" s="4214"/>
      <c r="V92" s="4215"/>
      <c r="W92" s="4215"/>
      <c r="X92" s="4215"/>
      <c r="Y92" s="4215"/>
      <c r="Z92" s="4215"/>
      <c r="AA92" s="4215"/>
      <c r="AB92" s="4215"/>
      <c r="AC92" s="4215"/>
      <c r="AD92" s="4215"/>
      <c r="AE92" s="4215"/>
      <c r="AF92" s="4215"/>
      <c r="AG92" s="4216"/>
      <c r="AH92" s="2496"/>
      <c r="AI92" s="4328"/>
      <c r="AJ92" s="2785"/>
      <c r="AK92" s="2785"/>
      <c r="AL92" s="2785"/>
      <c r="AM92" s="2785"/>
      <c r="AN92" s="2786" t="s">
        <v>9095</v>
      </c>
      <c r="AO92" s="2785" t="e">
        <f>LEFT(AY84&amp;AY85&amp;AY86&amp;AY87&amp;AY88,LEN(AY84&amp;AY85&amp;AY86&amp;AY87&amp;AY88)-2)</f>
        <v>#VALUE!</v>
      </c>
      <c r="AP92" s="2785"/>
      <c r="AQ92" s="2786"/>
      <c r="AR92" s="2787"/>
      <c r="AS92" s="2787"/>
      <c r="AT92" s="2787"/>
      <c r="AU92" s="2786"/>
      <c r="AV92" s="2786"/>
      <c r="AW92" s="2787"/>
      <c r="AX92" s="2787"/>
      <c r="AY92" s="2785"/>
    </row>
    <row r="93" spans="1:51" ht="12.75" customHeight="1" x14ac:dyDescent="0.2">
      <c r="A93" s="2487"/>
      <c r="B93" s="2368">
        <f t="shared" si="17"/>
        <v>3</v>
      </c>
      <c r="C93" s="4325"/>
      <c r="D93" s="4217" t="str">
        <f>IF(F84="","",F84)</f>
        <v/>
      </c>
      <c r="E93" s="4211"/>
      <c r="F93" s="4211"/>
      <c r="G93" s="4211"/>
      <c r="H93" s="4211"/>
      <c r="I93" s="4218"/>
      <c r="J93" s="4217" t="str">
        <f>IF(F85="","",F85)</f>
        <v/>
      </c>
      <c r="K93" s="4211"/>
      <c r="L93" s="4211"/>
      <c r="M93" s="4211"/>
      <c r="N93" s="4211"/>
      <c r="O93" s="4218"/>
      <c r="P93" s="4211" t="str">
        <f>IF(F86="","",F86)</f>
        <v/>
      </c>
      <c r="Q93" s="4211"/>
      <c r="R93" s="4211"/>
      <c r="S93" s="4211"/>
      <c r="T93" s="4211"/>
      <c r="U93" s="4218"/>
      <c r="V93" s="4217" t="str">
        <f>IF(F87="","",F87)</f>
        <v/>
      </c>
      <c r="W93" s="4211"/>
      <c r="X93" s="4211"/>
      <c r="Y93" s="4211"/>
      <c r="Z93" s="4211"/>
      <c r="AA93" s="4218"/>
      <c r="AB93" s="4211" t="str">
        <f>IF(F88="","",F88)</f>
        <v/>
      </c>
      <c r="AC93" s="4211"/>
      <c r="AD93" s="4211"/>
      <c r="AE93" s="4211"/>
      <c r="AF93" s="4211"/>
      <c r="AG93" s="4212"/>
      <c r="AH93" s="2496"/>
      <c r="AI93" s="4328"/>
      <c r="AJ93" s="2785"/>
      <c r="AK93" s="2785"/>
      <c r="AL93" s="2785"/>
      <c r="AM93" s="2785"/>
      <c r="AN93" s="2786" t="s">
        <v>9096</v>
      </c>
      <c r="AO93" s="2785" t="e">
        <f>LEFT(AY89&amp;AY90&amp;AY91,LEN(AY89&amp;AY90&amp;AY91)-2)</f>
        <v>#VALUE!</v>
      </c>
      <c r="AP93" s="2785"/>
      <c r="AQ93" s="2786"/>
      <c r="AR93" s="2787"/>
      <c r="AS93" s="2787"/>
      <c r="AT93" s="2787"/>
      <c r="AU93" s="2786"/>
      <c r="AV93" s="2786"/>
      <c r="AW93" s="2787"/>
      <c r="AX93" s="2787"/>
      <c r="AY93" s="2785"/>
    </row>
    <row r="94" spans="1:51" ht="12.75" customHeight="1" x14ac:dyDescent="0.2">
      <c r="A94" s="2487"/>
      <c r="B94" s="2368">
        <f t="shared" si="17"/>
        <v>3</v>
      </c>
      <c r="C94" s="4325"/>
      <c r="D94" s="2312" t="s">
        <v>1845</v>
      </c>
      <c r="E94" s="2188" t="str">
        <f>IFERROR(VLOOKUP(D93,'Tablas Técnicas'!$O$9:$T$88,3,FALSE),"")</f>
        <v/>
      </c>
      <c r="F94" s="2305"/>
      <c r="G94" s="2304"/>
      <c r="H94" s="2304" t="s">
        <v>1371</v>
      </c>
      <c r="I94" s="2188" t="str">
        <f>IFERROR(VLOOKUP(D93,'Tablas Técnicas'!$O$9:$T$88,4,FALSE),"")</f>
        <v/>
      </c>
      <c r="J94" s="2312" t="s">
        <v>1845</v>
      </c>
      <c r="K94" s="2188" t="str">
        <f>IFERROR(VLOOKUP(J93,'Tablas Técnicas'!$O$9:$T$88,3,FALSE),"")</f>
        <v/>
      </c>
      <c r="L94" s="2305"/>
      <c r="M94" s="2304"/>
      <c r="N94" s="2304" t="s">
        <v>1371</v>
      </c>
      <c r="O94" s="2201" t="str">
        <f>IFERROR(VLOOKUP(J93,'Tablas Técnicas'!$O$9:$T$88,4,FALSE),"")</f>
        <v/>
      </c>
      <c r="P94" s="2304" t="s">
        <v>1845</v>
      </c>
      <c r="Q94" s="2188" t="str">
        <f>IFERROR(VLOOKUP(P93,'Tablas Técnicas'!$O$9:$T$88,3,FALSE),"")</f>
        <v/>
      </c>
      <c r="R94" s="2305"/>
      <c r="S94" s="2304"/>
      <c r="T94" s="2304" t="s">
        <v>1371</v>
      </c>
      <c r="U94" s="2188" t="str">
        <f>IFERROR(VLOOKUP(P93,'Tablas Técnicas'!$O$9:$T$88,4,FALSE),"")</f>
        <v/>
      </c>
      <c r="V94" s="2312" t="s">
        <v>1845</v>
      </c>
      <c r="W94" s="2188" t="str">
        <f>IFERROR(VLOOKUP(V93,'Tablas Técnicas'!$O$9:$T$88,3,FALSE),"")</f>
        <v/>
      </c>
      <c r="X94" s="2305"/>
      <c r="Y94" s="2304"/>
      <c r="Z94" s="2304" t="s">
        <v>1371</v>
      </c>
      <c r="AA94" s="2201" t="str">
        <f>IFERROR(VLOOKUP(V93,'Tablas Técnicas'!$O$9:$T$88,4,FALSE),"")</f>
        <v/>
      </c>
      <c r="AB94" s="2304" t="s">
        <v>1845</v>
      </c>
      <c r="AC94" s="2188" t="str">
        <f>IFERROR(VLOOKUP(AB93,'Tablas Técnicas'!$O$9:$T$88,3,FALSE),"")</f>
        <v/>
      </c>
      <c r="AD94" s="2305"/>
      <c r="AE94" s="2304"/>
      <c r="AF94" s="2304" t="s">
        <v>1371</v>
      </c>
      <c r="AG94" s="2202" t="str">
        <f>IFERROR(VLOOKUP(AB93,'Tablas Técnicas'!$O$9:$T$88,4,FALSE),"")</f>
        <v/>
      </c>
      <c r="AH94" s="2496"/>
      <c r="AI94" s="4328"/>
      <c r="AJ94" s="2785"/>
      <c r="AK94" s="2785"/>
      <c r="AL94" s="2785"/>
      <c r="AM94" s="2785"/>
      <c r="AN94" s="2786"/>
      <c r="AO94" s="2785"/>
      <c r="AP94" s="2785"/>
      <c r="AQ94" s="2786"/>
      <c r="AR94" s="2787"/>
      <c r="AS94" s="2787"/>
      <c r="AT94" s="2787"/>
      <c r="AU94" s="2787"/>
      <c r="AV94" s="2787"/>
      <c r="AW94" s="2787"/>
      <c r="AX94" s="2787"/>
      <c r="AY94" s="2785"/>
    </row>
    <row r="95" spans="1:51" ht="12.75" customHeight="1" x14ac:dyDescent="0.2">
      <c r="A95" s="2487"/>
      <c r="B95" s="2368">
        <f t="shared" si="17"/>
        <v>3</v>
      </c>
      <c r="C95" s="4325"/>
      <c r="D95" s="2313" t="s">
        <v>9097</v>
      </c>
      <c r="E95" s="2304"/>
      <c r="F95" s="2305"/>
      <c r="G95" s="2306"/>
      <c r="H95" s="2306"/>
      <c r="I95" s="2303" t="str">
        <f>IFERROR(IF(D93="Ataque Elemental",IF(NOT(ISNA(VLOOKUP(D97,'Tablas Técnicas'!$Z$25:$Z$30,1,0))),D97,"Variable"),VLOOKUP(D93,'Tablas Técnicas'!$O$9:$W$88,9,FALSE)),"")</f>
        <v/>
      </c>
      <c r="J95" s="2203" t="s">
        <v>9097</v>
      </c>
      <c r="K95" s="2491"/>
      <c r="L95" s="2492"/>
      <c r="M95" s="2493"/>
      <c r="N95" s="2493"/>
      <c r="O95" s="2204" t="str">
        <f>IFERROR(IF(J93="Ataque Elemental",IF(NOT(ISNA(VLOOKUP(J97,'Tablas Técnicas'!$Z$25:$Z$30,1,0))),J97,"Variable"),VLOOKUP(J93,'Tablas Técnicas'!$O$9:$W$88,9,FALSE)),"")</f>
        <v/>
      </c>
      <c r="P95" s="2494" t="s">
        <v>9097</v>
      </c>
      <c r="Q95" s="2491"/>
      <c r="R95" s="2492"/>
      <c r="S95" s="2493"/>
      <c r="T95" s="2493"/>
      <c r="U95" s="2303" t="str">
        <f>IFERROR(IF(P93="Ataque Elemental",IF(NOT(ISNA(VLOOKUP(P97,'Tablas Técnicas'!$Z$25:$Z$30,1,0))),P97,"Variable"),VLOOKUP(P93,'Tablas Técnicas'!$O$9:$W$88,9,FALSE)),"")</f>
        <v/>
      </c>
      <c r="V95" s="2203" t="s">
        <v>9097</v>
      </c>
      <c r="W95" s="2491"/>
      <c r="X95" s="2492"/>
      <c r="Y95" s="2493"/>
      <c r="Z95" s="2493"/>
      <c r="AA95" s="2204" t="str">
        <f>IFERROR(IF(V93="Ataque Elemental",IF(NOT(ISNA(VLOOKUP(V97,'Tablas Técnicas'!$Z$25:$Z$30,1,0))),V97,"Variable"),VLOOKUP(V93,'Tablas Técnicas'!$O$9:$W$88,9,FALSE)),"")</f>
        <v/>
      </c>
      <c r="AB95" s="2494" t="s">
        <v>9097</v>
      </c>
      <c r="AC95" s="2491"/>
      <c r="AD95" s="2492"/>
      <c r="AE95" s="2493"/>
      <c r="AF95" s="2493"/>
      <c r="AG95" s="2319" t="str">
        <f>IFERROR(IF(AB93="Ataque Elemental",IF(NOT(ISNA(VLOOKUP(AB97,'Tablas Técnicas'!$Z$25:$Z$30,1,0))),AB97,"Variable"),VLOOKUP(AB93,'Tablas Técnicas'!$O$9:$W$88,9,FALSE)),"")</f>
        <v/>
      </c>
      <c r="AH95" s="2496"/>
      <c r="AI95" s="4328"/>
      <c r="AJ95" s="2785"/>
      <c r="AK95" s="2787" t="s">
        <v>1381</v>
      </c>
      <c r="AL95" s="2787" t="s">
        <v>1506</v>
      </c>
      <c r="AM95" s="2787" t="s">
        <v>1386</v>
      </c>
      <c r="AN95" s="2787" t="s">
        <v>1391</v>
      </c>
      <c r="AO95" s="2787" t="s">
        <v>1399</v>
      </c>
      <c r="AP95" s="2787" t="s">
        <v>1400</v>
      </c>
      <c r="AQ95" s="2786"/>
      <c r="AR95" s="2787"/>
      <c r="AS95" s="2787"/>
      <c r="AT95" s="2787"/>
      <c r="AU95" s="2787"/>
      <c r="AV95" s="2787"/>
      <c r="AW95" s="2787"/>
      <c r="AX95" s="2787"/>
      <c r="AY95" s="2785"/>
    </row>
    <row r="96" spans="1:51" ht="12.75" customHeight="1" x14ac:dyDescent="0.2">
      <c r="A96" s="2487"/>
      <c r="B96" s="2368">
        <f t="shared" si="17"/>
        <v>3</v>
      </c>
      <c r="C96" s="4325"/>
      <c r="D96" s="4217" t="s">
        <v>2913</v>
      </c>
      <c r="E96" s="4211"/>
      <c r="F96" s="4211"/>
      <c r="G96" s="4211"/>
      <c r="H96" s="4218"/>
      <c r="I96" s="2205" t="s">
        <v>1411</v>
      </c>
      <c r="J96" s="4217" t="s">
        <v>2913</v>
      </c>
      <c r="K96" s="4211"/>
      <c r="L96" s="4211"/>
      <c r="M96" s="4211"/>
      <c r="N96" s="4218"/>
      <c r="O96" s="2206" t="s">
        <v>1411</v>
      </c>
      <c r="P96" s="4217" t="s">
        <v>2913</v>
      </c>
      <c r="Q96" s="4211"/>
      <c r="R96" s="4211"/>
      <c r="S96" s="4211"/>
      <c r="T96" s="4218"/>
      <c r="U96" s="2206" t="s">
        <v>1411</v>
      </c>
      <c r="V96" s="4217"/>
      <c r="W96" s="4211"/>
      <c r="X96" s="4211"/>
      <c r="Y96" s="4211"/>
      <c r="Z96" s="4218"/>
      <c r="AA96" s="2206" t="s">
        <v>1411</v>
      </c>
      <c r="AB96" s="4217" t="s">
        <v>2913</v>
      </c>
      <c r="AC96" s="4211"/>
      <c r="AD96" s="4211"/>
      <c r="AE96" s="4211"/>
      <c r="AF96" s="4218"/>
      <c r="AG96" s="2207" t="s">
        <v>1411</v>
      </c>
      <c r="AH96" s="2496"/>
      <c r="AI96" s="4328"/>
      <c r="AJ96" s="2790" t="s">
        <v>9633</v>
      </c>
      <c r="AK96" s="2785" t="str">
        <f>IF(V82="","",IF(SUM(V84:V88)=0,"",V82&amp;" "&amp;SUM(V84:V88)+V91&amp;IF(SUM(W84:W88)=0,""," ("&amp;SUM(W84:W88)&amp;")")&amp;", "))</f>
        <v/>
      </c>
      <c r="AL96" s="2785" t="str">
        <f>IF(X82="","",IF(SUM(X84:X88)=0,"",X82&amp;" "&amp;SUM(X84:X88)+X91&amp;IF(SUM(Y84:Y88)=0,""," ("&amp;SUM(Y84:Y88)&amp;")")&amp;", "))</f>
        <v/>
      </c>
      <c r="AM96" s="2785" t="str">
        <f>IF(Z82="","",IF(SUM(Z84:Z88)=0,"",Z82&amp;" "&amp;SUM(Z84:Z88)+Z91&amp;IF(SUM(AA84:AA88)=0,""," ("&amp;SUM(AA84:AA88)&amp;")")&amp;", "))</f>
        <v/>
      </c>
      <c r="AN96" s="2785" t="str">
        <f>IF(AB82="","",IF(SUM(AB84:AB88)=0,"",AB82&amp;" "&amp;SUM(AB84:AB88)+AB91&amp;IF(SUM(AC84:AC88)=0,""," ("&amp;SUM(AC84:AC88)&amp;")")&amp;", "))</f>
        <v/>
      </c>
      <c r="AO96" s="2785" t="str">
        <f>IF(AD82="","",IF(SUM(AD84:AD88)=0,"",AD82&amp;" "&amp;SUM(AD84:AD88)+AD91&amp;IF(SUM(AE84:AE88)=0,""," ("&amp;SUM(AE84:AE88)&amp;")")&amp;", "))</f>
        <v/>
      </c>
      <c r="AP96" s="2785" t="str">
        <f>IF(AF82="","",IF(SUM(AF84:AF88)=0,"",AF82&amp;" "&amp;SUM(AF84:AF88)+AF91&amp;IF(SUM(AG84:AG88)=0,""," ("&amp;SUM(AG84:AG88)&amp;")")&amp;", "))</f>
        <v/>
      </c>
      <c r="AQ96" s="2785"/>
      <c r="AR96" s="2785"/>
      <c r="AS96" s="2785"/>
      <c r="AT96" s="2785"/>
      <c r="AU96" s="2785"/>
      <c r="AV96" s="2785"/>
      <c r="AW96" s="2785"/>
      <c r="AX96" s="2785"/>
      <c r="AY96" s="2785"/>
    </row>
    <row r="97" spans="1:51" ht="12.75" customHeight="1" x14ac:dyDescent="0.2">
      <c r="A97" s="2487"/>
      <c r="B97" s="2368">
        <f t="shared" si="17"/>
        <v>3</v>
      </c>
      <c r="C97" s="4325"/>
      <c r="D97" s="4219"/>
      <c r="E97" s="4197"/>
      <c r="F97" s="4197"/>
      <c r="G97" s="4197"/>
      <c r="H97" s="4197"/>
      <c r="I97" s="2208" t="str">
        <f>IF(OR(D93="",D97=""),"",MAX(1,SUMPRODUCT(--(INDEX('Tablas Técnicas'!$C$10:$L$643,,1)=D93),--(INDEX('Tablas Técnicas'!$C$10:$L$643,,2)=D97),INDEX('Tablas Técnicas'!$C$10:$L$643,,9))))</f>
        <v/>
      </c>
      <c r="J97" s="4196"/>
      <c r="K97" s="4197"/>
      <c r="L97" s="4197"/>
      <c r="M97" s="4197"/>
      <c r="N97" s="4197"/>
      <c r="O97" s="2208" t="str">
        <f>IF(OR(J93="",J97=""),"",MAX(1,SUMPRODUCT(--(INDEX('Tablas Técnicas'!$C$10:$L$643,,1)=J93),--(INDEX('Tablas Técnicas'!$C$10:$L$643,,2)=J97),INDEX('Tablas Técnicas'!$C$10:$L$643,,9))))</f>
        <v/>
      </c>
      <c r="P97" s="4196"/>
      <c r="Q97" s="4197"/>
      <c r="R97" s="4197"/>
      <c r="S97" s="4197"/>
      <c r="T97" s="4197"/>
      <c r="U97" s="2208" t="str">
        <f>IF(OR(P93="",P97=""),"",MAX(1,SUMPRODUCT(--(INDEX('Tablas Técnicas'!$C$10:$L$643,,1)=P93),--(INDEX('Tablas Técnicas'!$C$10:$L$643,,2)=P97),INDEX('Tablas Técnicas'!$C$10:$L$643,,9))))</f>
        <v/>
      </c>
      <c r="V97" s="4196"/>
      <c r="W97" s="4197"/>
      <c r="X97" s="4197"/>
      <c r="Y97" s="4197"/>
      <c r="Z97" s="4197"/>
      <c r="AA97" s="2208" t="str">
        <f>IF(OR(V93="",V97=""),"",MAX(1,SUMPRODUCT(--(INDEX('Tablas Técnicas'!$C$10:$L$643,,1)=V93),--(INDEX('Tablas Técnicas'!$C$10:$L$643,,2)=V97),INDEX('Tablas Técnicas'!$C$10:$L$643,,9))))</f>
        <v/>
      </c>
      <c r="AB97" s="4196"/>
      <c r="AC97" s="4197"/>
      <c r="AD97" s="4197"/>
      <c r="AE97" s="4197"/>
      <c r="AF97" s="4197"/>
      <c r="AG97" s="2209" t="str">
        <f>IF(OR(AB93="",AB97=""),"",MAX(1,SUMPRODUCT(--(INDEX('Tablas Técnicas'!$C$10:$L$643,,1)=AB93),--(INDEX('Tablas Técnicas'!$C$10:$L$643,,2)=AB97),INDEX('Tablas Técnicas'!$C$10:$L$643,,9))))</f>
        <v/>
      </c>
      <c r="AH97" s="2496">
        <f>P80</f>
        <v>1</v>
      </c>
      <c r="AI97" s="4328"/>
      <c r="AJ97" s="2785" t="s">
        <v>9597</v>
      </c>
      <c r="AK97" s="2785"/>
      <c r="AL97" s="2785">
        <f>MAX(0,SUM(AT84:AT88)+ABS($AC89*2/5))+IF(AM106,0,Y89)+IF(S80="Si",3*P80,0)</f>
        <v>0</v>
      </c>
      <c r="AM97" s="2785">
        <f t="array" ref="AM97">IF(ISNUMBER(SEARCH("Mantenido",K84&amp;K85&amp;K86&amp;K87&amp;K88)),MAX(0,SUM(VALUE(RIGHT($P84:$P88,2)))),0)</f>
        <v>0</v>
      </c>
      <c r="AN97" s="2787"/>
      <c r="AO97" s="2787"/>
      <c r="AP97" s="2792"/>
      <c r="AQ97" s="2792"/>
      <c r="AR97" s="2792"/>
      <c r="AS97" s="2792"/>
      <c r="AT97" s="2792"/>
      <c r="AU97" s="2792"/>
      <c r="AV97" s="2792"/>
      <c r="AW97" s="2792"/>
      <c r="AX97" s="2792"/>
      <c r="AY97" s="2785"/>
    </row>
    <row r="98" spans="1:51" ht="12.75" customHeight="1" x14ac:dyDescent="0.2">
      <c r="A98" s="2487"/>
      <c r="B98" s="2368">
        <f t="shared" si="17"/>
        <v>3</v>
      </c>
      <c r="C98" s="4325"/>
      <c r="D98" s="4200"/>
      <c r="E98" s="4201"/>
      <c r="F98" s="4201"/>
      <c r="G98" s="4201"/>
      <c r="H98" s="4201"/>
      <c r="I98" s="2210" t="str">
        <f>IF(OR(D93="",D98=""),"",MAX(1,SUMPRODUCT(--(INDEX('Tablas Técnicas'!$C$10:$L$643,,1)=D93),--(INDEX('Tablas Técnicas'!$C$10:$L$643,,2)=D98),INDEX('Tablas Técnicas'!$C$10:$L$643,,9))))</f>
        <v/>
      </c>
      <c r="J98" s="4200"/>
      <c r="K98" s="4201"/>
      <c r="L98" s="4201"/>
      <c r="M98" s="4201"/>
      <c r="N98" s="4201"/>
      <c r="O98" s="2210" t="str">
        <f>IF(OR(J93="",J98=""),"",MAX(1,SUMPRODUCT(--(INDEX('Tablas Técnicas'!$C$10:$L$643,,1)=J93),--(INDEX('Tablas Técnicas'!$C$10:$L$643,,2)=J98),INDEX('Tablas Técnicas'!$C$10:$L$643,,9))))</f>
        <v/>
      </c>
      <c r="P98" s="4200"/>
      <c r="Q98" s="4201"/>
      <c r="R98" s="4201"/>
      <c r="S98" s="4201"/>
      <c r="T98" s="4201"/>
      <c r="U98" s="2210" t="str">
        <f>IF(OR(P93="",P98=""),"",MAX(1,SUMPRODUCT(--(INDEX('Tablas Técnicas'!$C$10:$L$643,,1)=P93),--(INDEX('Tablas Técnicas'!$C$10:$L$643,,2)=P98),INDEX('Tablas Técnicas'!$C$10:$L$643,,9))))</f>
        <v/>
      </c>
      <c r="V98" s="4200"/>
      <c r="W98" s="4201"/>
      <c r="X98" s="4201"/>
      <c r="Y98" s="4201"/>
      <c r="Z98" s="4201"/>
      <c r="AA98" s="2210" t="str">
        <f>IF(OR(V93="",V98=""),"",MAX(1,SUMPRODUCT(--(INDEX('Tablas Técnicas'!$C$10:$L$643,,1)=V93),--(INDEX('Tablas Técnicas'!$C$10:$L$643,,2)=V98),INDEX('Tablas Técnicas'!$C$10:$L$643,,9))))</f>
        <v/>
      </c>
      <c r="AB98" s="4200"/>
      <c r="AC98" s="4201"/>
      <c r="AD98" s="4201"/>
      <c r="AE98" s="4201"/>
      <c r="AF98" s="4201"/>
      <c r="AG98" s="2211" t="str">
        <f>IF(OR(AB93="",AB98=""),"",MAX(1,SUMPRODUCT(--(INDEX('Tablas Técnicas'!$C$10:$L$643,,1)=AB93),--(INDEX('Tablas Técnicas'!$C$10:$L$643,,2)=AB98),INDEX('Tablas Técnicas'!$C$10:$L$643,,9))))</f>
        <v/>
      </c>
      <c r="AH98" s="2496">
        <f>P80</f>
        <v>1</v>
      </c>
      <c r="AI98" s="4328"/>
      <c r="AJ98" s="2785" t="s">
        <v>9099</v>
      </c>
      <c r="AK98" s="2785"/>
      <c r="AL98" s="2785">
        <f>SUM(V84:V88,X84:X88,Z84:Z88,AB84:AB88,AD84:AD88,AF84:AF88)+SUM(V91:AG91)</f>
        <v>0</v>
      </c>
      <c r="AM98" s="2785">
        <f>SUM(W84:W88,Y84:Y88,AA84:AA88,AC84:AC88,AE84:AE88,AG84:AG88)</f>
        <v>0</v>
      </c>
      <c r="AN98" s="2785"/>
      <c r="AO98" s="2785"/>
      <c r="AP98" s="2785"/>
      <c r="AQ98" s="2785"/>
      <c r="AR98" s="2785"/>
      <c r="AS98" s="2785"/>
      <c r="AT98" s="2785"/>
      <c r="AU98" s="2785"/>
      <c r="AV98" s="2785"/>
      <c r="AW98" s="2787"/>
      <c r="AX98" s="2785"/>
      <c r="AY98" s="2785"/>
    </row>
    <row r="99" spans="1:51" ht="12.75" customHeight="1" x14ac:dyDescent="0.2">
      <c r="A99" s="2487"/>
      <c r="B99" s="2368">
        <f t="shared" si="17"/>
        <v>3</v>
      </c>
      <c r="C99" s="4325"/>
      <c r="D99" s="4200"/>
      <c r="E99" s="4201"/>
      <c r="F99" s="4201"/>
      <c r="G99" s="4201"/>
      <c r="H99" s="4201"/>
      <c r="I99" s="2210" t="str">
        <f>IF(OR(D93="",D99=""),"",MAX(1,SUMPRODUCT(--(INDEX('Tablas Técnicas'!$C$10:$L$643,,1)=D93),--(INDEX('Tablas Técnicas'!$C$10:$L$643,,2)=D99),INDEX('Tablas Técnicas'!$C$10:$L$643,,9))))</f>
        <v/>
      </c>
      <c r="J99" s="4200"/>
      <c r="K99" s="4201"/>
      <c r="L99" s="4201"/>
      <c r="M99" s="4201"/>
      <c r="N99" s="4201"/>
      <c r="O99" s="2210" t="str">
        <f>IF(OR(J93="",J99=""),"",MAX(1,SUMPRODUCT(--(INDEX('Tablas Técnicas'!$C$10:$L$643,,1)=J93),--(INDEX('Tablas Técnicas'!$C$10:$L$643,,2)=J99),INDEX('Tablas Técnicas'!$C$10:$L$643,,9))))</f>
        <v/>
      </c>
      <c r="P99" s="4200"/>
      <c r="Q99" s="4201"/>
      <c r="R99" s="4201"/>
      <c r="S99" s="4201"/>
      <c r="T99" s="4201"/>
      <c r="U99" s="2210" t="str">
        <f>IF(OR(P93="",P99=""),"",MAX(1,SUMPRODUCT(--(INDEX('Tablas Técnicas'!$C$10:$L$643,,1)=P93),--(INDEX('Tablas Técnicas'!$C$10:$L$643,,2)=P99),INDEX('Tablas Técnicas'!$C$10:$L$643,,9))))</f>
        <v/>
      </c>
      <c r="V99" s="4200"/>
      <c r="W99" s="4201"/>
      <c r="X99" s="4201"/>
      <c r="Y99" s="4201"/>
      <c r="Z99" s="4201"/>
      <c r="AA99" s="2210" t="str">
        <f>IF(OR(V93="",V99=""),"",MAX(1,SUMPRODUCT(--(INDEX('Tablas Técnicas'!$C$10:$L$643,,1)=V93),--(INDEX('Tablas Técnicas'!$C$10:$L$643,,2)=V99),INDEX('Tablas Técnicas'!$C$10:$L$643,,9))))</f>
        <v/>
      </c>
      <c r="AB99" s="4200"/>
      <c r="AC99" s="4201"/>
      <c r="AD99" s="4201"/>
      <c r="AE99" s="4201"/>
      <c r="AF99" s="4201"/>
      <c r="AG99" s="2211" t="str">
        <f>IF(OR(AB93="",AB99=""),"",MAX(1,SUMPRODUCT(--(INDEX('Tablas Técnicas'!$C$10:$L$643,,1)=AB93),--(INDEX('Tablas Técnicas'!$C$10:$L$643,,2)=AB99),INDEX('Tablas Técnicas'!$C$10:$L$643,,9))))</f>
        <v/>
      </c>
      <c r="AH99" s="2496">
        <f>P80</f>
        <v>1</v>
      </c>
      <c r="AI99" s="4328"/>
      <c r="AJ99" s="2785"/>
      <c r="AK99" s="2785"/>
      <c r="AL99" s="2785"/>
      <c r="AM99" s="2785"/>
      <c r="AN99" s="2785"/>
      <c r="AO99" s="2785"/>
      <c r="AP99" s="2785"/>
      <c r="AQ99" s="2785"/>
      <c r="AR99" s="2785"/>
      <c r="AS99" s="2785"/>
      <c r="AT99" s="2785"/>
      <c r="AU99" s="2785"/>
      <c r="AV99" s="2785"/>
      <c r="AW99" s="2787"/>
      <c r="AX99" s="2787"/>
      <c r="AY99" s="2785"/>
    </row>
    <row r="100" spans="1:51" ht="12.75" customHeight="1" x14ac:dyDescent="0.2">
      <c r="A100" s="2487"/>
      <c r="B100" s="2368">
        <f t="shared" si="17"/>
        <v>3</v>
      </c>
      <c r="C100" s="4325"/>
      <c r="D100" s="4200"/>
      <c r="E100" s="4201"/>
      <c r="F100" s="4201"/>
      <c r="G100" s="4201"/>
      <c r="H100" s="4201"/>
      <c r="I100" s="2210" t="str">
        <f>IF(OR(D93="",D100=""),"",MAX(1,SUMPRODUCT(--(INDEX('Tablas Técnicas'!$C$10:$L$643,,1)=D93),--(INDEX('Tablas Técnicas'!$C$10:$L$643,,2)=D100),INDEX('Tablas Técnicas'!$C$10:$L$643,,9))))</f>
        <v/>
      </c>
      <c r="J100" s="4200"/>
      <c r="K100" s="4201"/>
      <c r="L100" s="4201"/>
      <c r="M100" s="4201"/>
      <c r="N100" s="4201"/>
      <c r="O100" s="2210" t="str">
        <f>IF(OR(J93="",J100=""),"",MAX(1,SUMPRODUCT(--(INDEX('Tablas Técnicas'!$C$10:$L$643,,1)=J93),--(INDEX('Tablas Técnicas'!$C$10:$L$643,,2)=J100),INDEX('Tablas Técnicas'!$C$10:$L$643,,9))))</f>
        <v/>
      </c>
      <c r="P100" s="4200"/>
      <c r="Q100" s="4201"/>
      <c r="R100" s="4201"/>
      <c r="S100" s="4201"/>
      <c r="T100" s="4201"/>
      <c r="U100" s="2210" t="str">
        <f>IF(OR(P93="",P100=""),"",MAX(1,SUMPRODUCT(--(INDEX('Tablas Técnicas'!$C$10:$L$643,,1)=P93),--(INDEX('Tablas Técnicas'!$C$10:$L$643,,2)=P100),INDEX('Tablas Técnicas'!$C$10:$L$643,,9))))</f>
        <v/>
      </c>
      <c r="V100" s="4200"/>
      <c r="W100" s="4201"/>
      <c r="X100" s="4201"/>
      <c r="Y100" s="4201"/>
      <c r="Z100" s="4201"/>
      <c r="AA100" s="2210" t="str">
        <f>IF(OR(V93="",V100=""),"",MAX(1,SUMPRODUCT(--(INDEX('Tablas Técnicas'!$C$10:$L$643,,1)=V93),--(INDEX('Tablas Técnicas'!$C$10:$L$643,,2)=V100),INDEX('Tablas Técnicas'!$C$10:$L$643,,9))))</f>
        <v/>
      </c>
      <c r="AB100" s="4200"/>
      <c r="AC100" s="4201"/>
      <c r="AD100" s="4201"/>
      <c r="AE100" s="4201"/>
      <c r="AF100" s="4201"/>
      <c r="AG100" s="2211" t="str">
        <f>IF(OR(AB93="",AB100=""),"",MAX(1,SUMPRODUCT(--(INDEX('Tablas Técnicas'!$C$10:$L$643,,1)=AB93),--(INDEX('Tablas Técnicas'!$C$10:$L$643,,2)=AB100),INDEX('Tablas Técnicas'!$C$10:$L$643,,9))))</f>
        <v/>
      </c>
      <c r="AH100" s="2496">
        <f>P80</f>
        <v>1</v>
      </c>
      <c r="AI100" s="4328"/>
      <c r="AJ100" s="2785"/>
      <c r="AK100" s="2785"/>
      <c r="AL100" s="2785"/>
      <c r="AM100" s="2785"/>
      <c r="AN100" s="2785"/>
      <c r="AO100" s="2785"/>
      <c r="AP100" s="2785"/>
      <c r="AQ100" s="2786"/>
      <c r="AR100" s="2787"/>
      <c r="AS100" s="2787"/>
      <c r="AT100" s="2787"/>
      <c r="AU100" s="2787"/>
      <c r="AV100" s="2787"/>
      <c r="AW100" s="2787"/>
      <c r="AX100" s="2787"/>
      <c r="AY100" s="2785"/>
    </row>
    <row r="101" spans="1:51" ht="12.75" customHeight="1" x14ac:dyDescent="0.2">
      <c r="A101" s="2487"/>
      <c r="B101" s="2368">
        <f t="shared" si="17"/>
        <v>3</v>
      </c>
      <c r="C101" s="4325"/>
      <c r="D101" s="4200"/>
      <c r="E101" s="4201"/>
      <c r="F101" s="4201"/>
      <c r="G101" s="4201"/>
      <c r="H101" s="4201"/>
      <c r="I101" s="2210" t="str">
        <f>IF(OR(D93="",D101=""),"",MAX(1,SUMPRODUCT(--(INDEX('Tablas Técnicas'!$C$10:$L$643,,1)=D93),--(INDEX('Tablas Técnicas'!$C$10:$L$643,,2)=D101),INDEX('Tablas Técnicas'!$C$10:$L$643,,9))))</f>
        <v/>
      </c>
      <c r="J101" s="4200"/>
      <c r="K101" s="4201"/>
      <c r="L101" s="4201"/>
      <c r="M101" s="4201"/>
      <c r="N101" s="4201"/>
      <c r="O101" s="2210" t="str">
        <f>IF(OR(J93="",J101=""),"",MAX(1,SUMPRODUCT(--(INDEX('Tablas Técnicas'!$C$10:$L$643,,1)=J93),--(INDEX('Tablas Técnicas'!$C$10:$L$643,,2)=J101),INDEX('Tablas Técnicas'!$C$10:$L$643,,9))))</f>
        <v/>
      </c>
      <c r="P101" s="4200"/>
      <c r="Q101" s="4201"/>
      <c r="R101" s="4201"/>
      <c r="S101" s="4201"/>
      <c r="T101" s="4201"/>
      <c r="U101" s="2210" t="str">
        <f>IF(OR(P93="",P101=""),"",MAX(1,SUMPRODUCT(--(INDEX('Tablas Técnicas'!$C$10:$L$643,,1)=P93),--(INDEX('Tablas Técnicas'!$C$10:$L$643,,2)=P101),INDEX('Tablas Técnicas'!$C$10:$L$643,,9))))</f>
        <v/>
      </c>
      <c r="V101" s="4200"/>
      <c r="W101" s="4201"/>
      <c r="X101" s="4201"/>
      <c r="Y101" s="4201"/>
      <c r="Z101" s="4201"/>
      <c r="AA101" s="2210" t="str">
        <f>IF(OR(V93="",V101=""),"",MAX(1,SUMPRODUCT(--(INDEX('Tablas Técnicas'!$C$10:$L$643,,1)=V93),--(INDEX('Tablas Técnicas'!$C$10:$L$643,,2)=V101),INDEX('Tablas Técnicas'!$C$10:$L$643,,9))))</f>
        <v/>
      </c>
      <c r="AB101" s="4200"/>
      <c r="AC101" s="4201"/>
      <c r="AD101" s="4201"/>
      <c r="AE101" s="4201"/>
      <c r="AF101" s="4201"/>
      <c r="AG101" s="2211" t="str">
        <f>IF(OR(AB93="",AB101=""),"",MAX(1,SUMPRODUCT(--(INDEX('Tablas Técnicas'!$C$10:$L$643,,1)=AB93),--(INDEX('Tablas Técnicas'!$C$10:$L$643,,2)=AB101),INDEX('Tablas Técnicas'!$C$10:$L$643,,9))))</f>
        <v/>
      </c>
      <c r="AH101" s="2496">
        <f>P80</f>
        <v>1</v>
      </c>
      <c r="AI101" s="4328"/>
      <c r="AJ101" s="2785" t="s">
        <v>9100</v>
      </c>
      <c r="AK101" s="2785"/>
      <c r="AL101" s="2785"/>
      <c r="AM101" s="2785"/>
      <c r="AN101" s="2785"/>
      <c r="AO101" s="2785"/>
      <c r="AP101" s="2785"/>
      <c r="AQ101" s="2785"/>
      <c r="AR101" s="2787"/>
      <c r="AS101" s="2787"/>
      <c r="AT101" s="2787"/>
      <c r="AU101" s="2787"/>
      <c r="AV101" s="2787"/>
      <c r="AW101" s="2787"/>
      <c r="AX101" s="2787"/>
      <c r="AY101" s="2785"/>
    </row>
    <row r="102" spans="1:51" ht="12.75" customHeight="1" x14ac:dyDescent="0.2">
      <c r="A102" s="2487"/>
      <c r="B102" s="2368">
        <f t="shared" si="17"/>
        <v>3</v>
      </c>
      <c r="C102" s="4325"/>
      <c r="D102" s="4200"/>
      <c r="E102" s="4201"/>
      <c r="F102" s="4201"/>
      <c r="G102" s="4201"/>
      <c r="H102" s="4201"/>
      <c r="I102" s="2210" t="str">
        <f>IF(OR(D93="",D102=""),"",MAX(1,SUMPRODUCT(--(INDEX('Tablas Técnicas'!$C$10:$L$643,,1)=D93),--(INDEX('Tablas Técnicas'!$C$10:$L$643,,2)=D102),INDEX('Tablas Técnicas'!$C$10:$L$643,,9))))</f>
        <v/>
      </c>
      <c r="J102" s="4200"/>
      <c r="K102" s="4201"/>
      <c r="L102" s="4201"/>
      <c r="M102" s="4201"/>
      <c r="N102" s="4201"/>
      <c r="O102" s="2210" t="str">
        <f>IF(OR(J93="",J102=""),"",MAX(1,SUMPRODUCT(--(INDEX('Tablas Técnicas'!$C$10:$L$643,,1)=J93),--(INDEX('Tablas Técnicas'!$C$10:$L$643,,2)=J102),INDEX('Tablas Técnicas'!$C$10:$L$643,,9))))</f>
        <v/>
      </c>
      <c r="P102" s="4200"/>
      <c r="Q102" s="4201"/>
      <c r="R102" s="4201"/>
      <c r="S102" s="4201"/>
      <c r="T102" s="4201"/>
      <c r="U102" s="2210" t="str">
        <f>IF(OR(P93="",P102=""),"",MAX(1,SUMPRODUCT(--(INDEX('Tablas Técnicas'!$C$10:$L$643,,1)=P93),--(INDEX('Tablas Técnicas'!$C$10:$L$643,,2)=P102),INDEX('Tablas Técnicas'!$C$10:$L$643,,9))))</f>
        <v/>
      </c>
      <c r="V102" s="4200"/>
      <c r="W102" s="4201"/>
      <c r="X102" s="4201"/>
      <c r="Y102" s="4201"/>
      <c r="Z102" s="4201"/>
      <c r="AA102" s="2210" t="str">
        <f>IF(OR(V93="",V102=""),"",MAX(1,SUMPRODUCT(--(INDEX('Tablas Técnicas'!$C$10:$L$643,,1)=V93),--(INDEX('Tablas Técnicas'!$C$10:$L$643,,2)=V102),INDEX('Tablas Técnicas'!$C$10:$L$643,,9))))</f>
        <v/>
      </c>
      <c r="AB102" s="4200"/>
      <c r="AC102" s="4201"/>
      <c r="AD102" s="4201"/>
      <c r="AE102" s="4201"/>
      <c r="AF102" s="4201"/>
      <c r="AG102" s="2211" t="str">
        <f>IF(OR(AB93="",AB102=""),"",MAX(1,SUMPRODUCT(--(INDEX('Tablas Técnicas'!$C$10:$L$643,,1)=AB93),--(INDEX('Tablas Técnicas'!$C$10:$L$643,,2)=AB102),INDEX('Tablas Técnicas'!$C$10:$L$643,,9))))</f>
        <v/>
      </c>
      <c r="AH102" s="2496">
        <f>P80</f>
        <v>1</v>
      </c>
      <c r="AI102" s="4328"/>
      <c r="AJ102" s="2785" t="s">
        <v>9101</v>
      </c>
      <c r="AK102" s="2785"/>
      <c r="AL102" s="2785"/>
      <c r="AM102" s="2785" t="b">
        <f t="array" ref="AM102">MAX(I97:I103,O97:O103,U97:U103,AA97:AA103,AG97:AG103,RIGHT(S89:S91,1))&gt;P80</f>
        <v>0</v>
      </c>
      <c r="AN102" s="2785"/>
      <c r="AO102" s="2785"/>
      <c r="AP102" s="2785"/>
      <c r="AQ102" s="2786"/>
      <c r="AR102" s="2787"/>
      <c r="AS102" s="2787"/>
      <c r="AT102" s="2787"/>
      <c r="AU102" s="2787"/>
      <c r="AV102" s="2787"/>
      <c r="AW102" s="2787"/>
      <c r="AX102" s="2787"/>
      <c r="AY102" s="2785"/>
    </row>
    <row r="103" spans="1:51" ht="12.75" customHeight="1" x14ac:dyDescent="0.2">
      <c r="A103" s="2487"/>
      <c r="B103" s="2368">
        <f t="shared" si="17"/>
        <v>3</v>
      </c>
      <c r="C103" s="4325"/>
      <c r="D103" s="4230"/>
      <c r="E103" s="4231"/>
      <c r="F103" s="4231"/>
      <c r="G103" s="4231"/>
      <c r="H103" s="4231"/>
      <c r="I103" s="2212" t="str">
        <f>IF(OR(D93="",D103=""),"",MAX(1,SUMPRODUCT(--(INDEX('Tablas Técnicas'!$C$10:$L$643,,1)=D93),--(INDEX('Tablas Técnicas'!$C$10:$L$643,,2)=D103),INDEX('Tablas Técnicas'!$C$10:$L$643,,9))))</f>
        <v/>
      </c>
      <c r="J103" s="4230"/>
      <c r="K103" s="4231"/>
      <c r="L103" s="4231"/>
      <c r="M103" s="4231"/>
      <c r="N103" s="4231"/>
      <c r="O103" s="2212" t="str">
        <f>IF(OR(J93="",J103=""),"",MAX(1,SUMPRODUCT(--(INDEX('Tablas Técnicas'!$C$10:$L$643,,1)=J93),--(INDEX('Tablas Técnicas'!$C$10:$L$643,,2)=J103),INDEX('Tablas Técnicas'!$C$10:$L$643,,9))))</f>
        <v/>
      </c>
      <c r="P103" s="4230"/>
      <c r="Q103" s="4231"/>
      <c r="R103" s="4231"/>
      <c r="S103" s="4231"/>
      <c r="T103" s="4231"/>
      <c r="U103" s="2212" t="str">
        <f>IF(OR(P93="",P103=""),"",MAX(1,SUMPRODUCT(--(INDEX('Tablas Técnicas'!$C$10:$L$643,,1)=P93),--(INDEX('Tablas Técnicas'!$C$10:$L$643,,2)=P103),INDEX('Tablas Técnicas'!$C$10:$L$643,,9))))</f>
        <v/>
      </c>
      <c r="V103" s="4230"/>
      <c r="W103" s="4231"/>
      <c r="X103" s="4231"/>
      <c r="Y103" s="4231"/>
      <c r="Z103" s="4231"/>
      <c r="AA103" s="2212" t="str">
        <f>IF(OR(V93="",V103=""),"",MAX(1,SUMPRODUCT(--(INDEX('Tablas Técnicas'!$C$10:$L$643,,1)=V93),--(INDEX('Tablas Técnicas'!$C$10:$L$643,,2)=V103),INDEX('Tablas Técnicas'!$C$10:$L$643,,9))))</f>
        <v/>
      </c>
      <c r="AB103" s="4230"/>
      <c r="AC103" s="4231"/>
      <c r="AD103" s="4231"/>
      <c r="AE103" s="4231"/>
      <c r="AF103" s="4231"/>
      <c r="AG103" s="2213" t="str">
        <f>IF(OR(AB93="",AB103=""),"",MAX(1,SUMPRODUCT(--(INDEX('Tablas Técnicas'!$C$10:$L$643,,1)=AB93),--(INDEX('Tablas Técnicas'!$C$10:$L$643,,2)=AB103),INDEX('Tablas Técnicas'!$C$10:$L$643,,9))))</f>
        <v/>
      </c>
      <c r="AH103" s="2496">
        <f>P80</f>
        <v>1</v>
      </c>
      <c r="AI103" s="4328"/>
      <c r="AJ103" s="2785" t="s">
        <v>9614</v>
      </c>
      <c r="AK103" s="2785"/>
      <c r="AL103" s="2785"/>
      <c r="AM103" s="2785" t="b">
        <f>AND(COUNTIF(K84:M88,"Mantenido"),OR(COUNTIF(K84:M88,"Sostenimiento Menor"),COUNTIF(K84:M88,"Sostenimiento Mayor")))</f>
        <v>0</v>
      </c>
      <c r="AN103" s="2786"/>
      <c r="AO103" s="2785"/>
      <c r="AP103" s="2785"/>
      <c r="AQ103" s="2785"/>
      <c r="AR103" s="2785"/>
      <c r="AS103" s="2785"/>
      <c r="AT103" s="2785"/>
      <c r="AU103" s="2787"/>
      <c r="AV103" s="2787"/>
      <c r="AW103" s="2787"/>
      <c r="AX103" s="2787"/>
      <c r="AY103" s="2785"/>
    </row>
    <row r="104" spans="1:51" ht="12.75" customHeight="1" x14ac:dyDescent="0.2">
      <c r="A104" s="2487"/>
      <c r="B104" s="2368">
        <f t="shared" si="17"/>
        <v>3</v>
      </c>
      <c r="C104" s="4325"/>
      <c r="D104" s="4213" t="s">
        <v>1558</v>
      </c>
      <c r="E104" s="4214"/>
      <c r="F104" s="4214"/>
      <c r="G104" s="4214"/>
      <c r="H104" s="4214"/>
      <c r="I104" s="4214"/>
      <c r="J104" s="4214"/>
      <c r="K104" s="4214"/>
      <c r="L104" s="4214"/>
      <c r="M104" s="4214"/>
      <c r="N104" s="4214"/>
      <c r="O104" s="4214"/>
      <c r="P104" s="4214"/>
      <c r="Q104" s="4214"/>
      <c r="R104" s="4214"/>
      <c r="S104" s="4214"/>
      <c r="T104" s="4214"/>
      <c r="U104" s="4214"/>
      <c r="V104" s="4214"/>
      <c r="W104" s="4214"/>
      <c r="X104" s="4214"/>
      <c r="Y104" s="4214"/>
      <c r="Z104" s="4214"/>
      <c r="AA104" s="4214"/>
      <c r="AB104" s="4214"/>
      <c r="AC104" s="4214"/>
      <c r="AD104" s="4214"/>
      <c r="AE104" s="4214"/>
      <c r="AF104" s="4214"/>
      <c r="AG104" s="4270"/>
      <c r="AH104" s="2496"/>
      <c r="AI104" s="4328"/>
      <c r="AJ104" s="2785" t="s">
        <v>9613</v>
      </c>
      <c r="AK104" s="2785"/>
      <c r="AL104" s="2785"/>
      <c r="AM104" s="278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5"/>
      <c r="AO104" s="2785"/>
      <c r="AP104" s="2785"/>
      <c r="AQ104" s="2786"/>
      <c r="AR104" s="2785"/>
      <c r="AS104" s="2785"/>
      <c r="AT104" s="2785"/>
      <c r="AU104" s="2787"/>
      <c r="AV104" s="2787"/>
      <c r="AW104" s="2787"/>
      <c r="AX104" s="2787"/>
      <c r="AY104" s="2785"/>
    </row>
    <row r="105" spans="1:51" ht="12.75" customHeight="1" x14ac:dyDescent="0.2">
      <c r="A105" s="2487"/>
      <c r="B105" s="2368">
        <f t="shared" si="17"/>
        <v>3</v>
      </c>
      <c r="C105" s="4325"/>
      <c r="D105" s="4271"/>
      <c r="E105" s="4272"/>
      <c r="F105" s="4272"/>
      <c r="G105" s="4272"/>
      <c r="H105" s="4272"/>
      <c r="I105" s="4272"/>
      <c r="J105" s="4272"/>
      <c r="K105" s="4272"/>
      <c r="L105" s="4272"/>
      <c r="M105" s="4272"/>
      <c r="N105" s="4272"/>
      <c r="O105" s="4272"/>
      <c r="P105" s="4272"/>
      <c r="Q105" s="4272"/>
      <c r="R105" s="4272"/>
      <c r="S105" s="4272"/>
      <c r="T105" s="4272"/>
      <c r="U105" s="4272"/>
      <c r="V105" s="4272"/>
      <c r="W105" s="4272"/>
      <c r="X105" s="4272"/>
      <c r="Y105" s="4272"/>
      <c r="Z105" s="4272"/>
      <c r="AA105" s="4272"/>
      <c r="AB105" s="4272"/>
      <c r="AC105" s="4272"/>
      <c r="AD105" s="4272"/>
      <c r="AE105" s="4272"/>
      <c r="AF105" s="4272"/>
      <c r="AG105" s="4273"/>
      <c r="AH105" s="2496"/>
      <c r="AI105" s="4328"/>
      <c r="AJ105" s="2785" t="s">
        <v>9621</v>
      </c>
      <c r="AK105" s="2785"/>
      <c r="AL105" s="2785"/>
      <c r="AM105" s="278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5"/>
      <c r="AO105" s="2785"/>
      <c r="AP105" s="2785"/>
      <c r="AQ105" s="2786"/>
      <c r="AR105" s="2785"/>
      <c r="AS105" s="2785"/>
      <c r="AT105" s="2785"/>
      <c r="AU105" s="2787"/>
      <c r="AV105" s="2787"/>
      <c r="AW105" s="2787"/>
      <c r="AX105" s="2787"/>
      <c r="AY105" s="2785"/>
    </row>
    <row r="106" spans="1:51" ht="12.75" customHeight="1" x14ac:dyDescent="0.2">
      <c r="A106" s="2487"/>
      <c r="B106" s="2368">
        <f t="shared" si="17"/>
        <v>3</v>
      </c>
      <c r="C106" s="4325"/>
      <c r="D106" s="4271"/>
      <c r="E106" s="4272"/>
      <c r="F106" s="4272"/>
      <c r="G106" s="4272"/>
      <c r="H106" s="4272"/>
      <c r="I106" s="4272"/>
      <c r="J106" s="4272"/>
      <c r="K106" s="4272"/>
      <c r="L106" s="4272"/>
      <c r="M106" s="4272"/>
      <c r="N106" s="4272"/>
      <c r="O106" s="4272"/>
      <c r="P106" s="4272"/>
      <c r="Q106" s="4272"/>
      <c r="R106" s="4272"/>
      <c r="S106" s="4272"/>
      <c r="T106" s="4272"/>
      <c r="U106" s="4272"/>
      <c r="V106" s="4272"/>
      <c r="W106" s="4272"/>
      <c r="X106" s="4272"/>
      <c r="Y106" s="4272"/>
      <c r="Z106" s="4272"/>
      <c r="AA106" s="4272"/>
      <c r="AB106" s="4272"/>
      <c r="AC106" s="4272"/>
      <c r="AD106" s="4272"/>
      <c r="AE106" s="4272"/>
      <c r="AF106" s="4272"/>
      <c r="AG106" s="4273"/>
      <c r="AH106" s="2496"/>
      <c r="AI106" s="4328"/>
      <c r="AJ106" s="2785" t="s">
        <v>9600</v>
      </c>
      <c r="AK106" s="2785"/>
      <c r="AL106" s="2785"/>
      <c r="AM106" s="2785" t="b">
        <f>AND((IF(SUM(V84:V88)&gt;0,1,0)+IF(SUM(X84:X88)&gt;0,1,0)+IF(SUM(Z84:Z88)&gt;0,1,0)+IF(SUM(AB84:AB88)&gt;0,1,0)+IF(SUM(AD84:AD88,)&gt;0,1,0)+IF(SUM(AF84:AF88)&gt;0,1,0))&lt;3,OR(V91&lt;0,X91&lt;0,Z91&lt;0,AB91&lt;0,AD91&lt;0,AF91&lt;0,Y89&lt;0))</f>
        <v>0</v>
      </c>
      <c r="AN106" s="2785"/>
      <c r="AO106" s="2785"/>
      <c r="AP106" s="2785"/>
      <c r="AQ106" s="2786"/>
      <c r="AR106" s="2785"/>
      <c r="AS106" s="2785"/>
      <c r="AT106" s="2785"/>
      <c r="AU106" s="2787"/>
      <c r="AV106" s="2787"/>
      <c r="AW106" s="2787"/>
      <c r="AX106" s="2787"/>
      <c r="AY106" s="2785"/>
    </row>
    <row r="107" spans="1:51" ht="12.75" customHeight="1" x14ac:dyDescent="0.2">
      <c r="A107" s="2487"/>
      <c r="B107" s="2368">
        <f t="shared" si="17"/>
        <v>3</v>
      </c>
      <c r="C107" s="4325"/>
      <c r="D107" s="4271"/>
      <c r="E107" s="4272"/>
      <c r="F107" s="4272"/>
      <c r="G107" s="4272"/>
      <c r="H107" s="4272"/>
      <c r="I107" s="4272"/>
      <c r="J107" s="4272"/>
      <c r="K107" s="4272"/>
      <c r="L107" s="4272"/>
      <c r="M107" s="4272"/>
      <c r="N107" s="4272"/>
      <c r="O107" s="4272"/>
      <c r="P107" s="4272"/>
      <c r="Q107" s="4272"/>
      <c r="R107" s="4272"/>
      <c r="S107" s="4272"/>
      <c r="T107" s="4272"/>
      <c r="U107" s="4272"/>
      <c r="V107" s="4272"/>
      <c r="W107" s="4272"/>
      <c r="X107" s="4272"/>
      <c r="Y107" s="4272"/>
      <c r="Z107" s="4272"/>
      <c r="AA107" s="4272"/>
      <c r="AB107" s="4272"/>
      <c r="AC107" s="4272"/>
      <c r="AD107" s="4272"/>
      <c r="AE107" s="4272"/>
      <c r="AF107" s="4272"/>
      <c r="AG107" s="4273"/>
      <c r="AH107" s="2496"/>
      <c r="AI107" s="4328"/>
      <c r="AJ107" s="2785" t="s">
        <v>9615</v>
      </c>
      <c r="AK107" s="2785"/>
      <c r="AL107" s="2785"/>
      <c r="AM107" s="2785" t="b">
        <f>OR(-V91&gt;TRUNC(SUM(V84:V88)/2),-X91&gt;TRUNC(SUM(X84:X88)/2),-Z91&gt;TRUNC(SUM(Z84:Z88)/2),-AB91&gt;TRUNC(SUM(AB84:AB88)/2),-AD91&gt;TRUNC(SUM(AD84:AD88)/2),-AF91&gt;TRUNC(SUM(AF84:AF88)/2))</f>
        <v>0</v>
      </c>
      <c r="AN107" s="2785"/>
      <c r="AO107" s="2785"/>
      <c r="AP107" s="2785"/>
      <c r="AQ107" s="2786"/>
      <c r="AR107" s="2785"/>
      <c r="AS107" s="2785"/>
      <c r="AT107" s="2785"/>
      <c r="AU107" s="2787"/>
      <c r="AV107" s="2787"/>
      <c r="AW107" s="2787"/>
      <c r="AX107" s="2787"/>
      <c r="AY107" s="2785"/>
    </row>
    <row r="108" spans="1:51" ht="12.75" customHeight="1" x14ac:dyDescent="0.2">
      <c r="A108" s="2487"/>
      <c r="B108" s="2368">
        <f t="shared" si="17"/>
        <v>3</v>
      </c>
      <c r="C108" s="4325"/>
      <c r="D108" s="4271"/>
      <c r="E108" s="4272"/>
      <c r="F108" s="4272"/>
      <c r="G108" s="4272"/>
      <c r="H108" s="4272"/>
      <c r="I108" s="4272"/>
      <c r="J108" s="4272"/>
      <c r="K108" s="4272"/>
      <c r="L108" s="4272"/>
      <c r="M108" s="4272"/>
      <c r="N108" s="4272"/>
      <c r="O108" s="4272"/>
      <c r="P108" s="4272"/>
      <c r="Q108" s="4272"/>
      <c r="R108" s="4272"/>
      <c r="S108" s="4272"/>
      <c r="T108" s="4272"/>
      <c r="U108" s="4272"/>
      <c r="V108" s="4272"/>
      <c r="W108" s="4272"/>
      <c r="X108" s="4272"/>
      <c r="Y108" s="4272"/>
      <c r="Z108" s="4272"/>
      <c r="AA108" s="4272"/>
      <c r="AB108" s="4272"/>
      <c r="AC108" s="4272"/>
      <c r="AD108" s="4272"/>
      <c r="AE108" s="4272"/>
      <c r="AF108" s="4272"/>
      <c r="AG108" s="4273"/>
      <c r="AH108" s="2496"/>
      <c r="AI108" s="4328"/>
      <c r="AJ108" s="2785" t="s">
        <v>9616</v>
      </c>
      <c r="AK108" s="2785"/>
      <c r="AL108" s="2785"/>
      <c r="AM108" s="2785" t="b">
        <f>COUNTIF(D84:E88,"Primario")&gt;1</f>
        <v>0</v>
      </c>
      <c r="AN108" s="2785"/>
      <c r="AO108" s="2785"/>
      <c r="AP108" s="2785"/>
      <c r="AQ108" s="2786"/>
      <c r="AR108" s="2786"/>
      <c r="AS108" s="2786"/>
      <c r="AT108" s="2786"/>
      <c r="AU108" s="2787"/>
      <c r="AV108" s="2787"/>
      <c r="AW108" s="2787"/>
      <c r="AX108" s="2785"/>
      <c r="AY108" s="2785"/>
    </row>
    <row r="109" spans="1:51" ht="12.75" customHeight="1" x14ac:dyDescent="0.2">
      <c r="A109" s="2487"/>
      <c r="B109" s="2368">
        <f t="shared" si="17"/>
        <v>3</v>
      </c>
      <c r="C109" s="4325"/>
      <c r="D109" s="4271"/>
      <c r="E109" s="4272"/>
      <c r="F109" s="4272"/>
      <c r="G109" s="4272"/>
      <c r="H109" s="4272"/>
      <c r="I109" s="4272"/>
      <c r="J109" s="4272"/>
      <c r="K109" s="4272"/>
      <c r="L109" s="4272"/>
      <c r="M109" s="4272"/>
      <c r="N109" s="4272"/>
      <c r="O109" s="4272"/>
      <c r="P109" s="4272"/>
      <c r="Q109" s="4272"/>
      <c r="R109" s="4272"/>
      <c r="S109" s="4272"/>
      <c r="T109" s="4272"/>
      <c r="U109" s="4272"/>
      <c r="V109" s="4272"/>
      <c r="W109" s="4272"/>
      <c r="X109" s="4272"/>
      <c r="Y109" s="4272"/>
      <c r="Z109" s="4272"/>
      <c r="AA109" s="4272"/>
      <c r="AB109" s="4272"/>
      <c r="AC109" s="4272"/>
      <c r="AD109" s="4272"/>
      <c r="AE109" s="4272"/>
      <c r="AF109" s="4272"/>
      <c r="AG109" s="4273"/>
      <c r="AH109" s="2496"/>
      <c r="AI109" s="4328"/>
      <c r="AJ109" s="2785" t="s">
        <v>9599</v>
      </c>
      <c r="AK109" s="2785"/>
      <c r="AL109" s="2785"/>
      <c r="AM109" s="2785" t="b">
        <f>SUM(V91:AG91)&lt;&gt;Y89+ABS(AC89)*2/5+IF(S80="Si",3*P80,0)</f>
        <v>0</v>
      </c>
      <c r="AN109" s="2785"/>
      <c r="AO109" s="2785"/>
      <c r="AP109" s="2785"/>
      <c r="AQ109" s="2786"/>
      <c r="AR109" s="2786"/>
      <c r="AS109" s="2786"/>
      <c r="AT109" s="2786"/>
      <c r="AU109" s="2787"/>
      <c r="AV109" s="2787"/>
      <c r="AW109" s="2787"/>
      <c r="AX109" s="2785"/>
      <c r="AY109" s="2785"/>
    </row>
    <row r="110" spans="1:51" ht="13.5" customHeight="1" x14ac:dyDescent="0.2">
      <c r="A110" s="2487"/>
      <c r="B110" s="2368">
        <f t="shared" si="17"/>
        <v>3</v>
      </c>
      <c r="C110" s="4325"/>
      <c r="D110" s="4271"/>
      <c r="E110" s="4272"/>
      <c r="F110" s="4272"/>
      <c r="G110" s="4272"/>
      <c r="H110" s="4272"/>
      <c r="I110" s="4272"/>
      <c r="J110" s="4272"/>
      <c r="K110" s="4272"/>
      <c r="L110" s="4272"/>
      <c r="M110" s="4272"/>
      <c r="N110" s="4272"/>
      <c r="O110" s="4272"/>
      <c r="P110" s="4272"/>
      <c r="Q110" s="4272"/>
      <c r="R110" s="4272"/>
      <c r="S110" s="4272"/>
      <c r="T110" s="4272"/>
      <c r="U110" s="4272"/>
      <c r="V110" s="4272"/>
      <c r="W110" s="4272"/>
      <c r="X110" s="4272"/>
      <c r="Y110" s="4272"/>
      <c r="Z110" s="4272"/>
      <c r="AA110" s="4272"/>
      <c r="AB110" s="4272"/>
      <c r="AC110" s="4272"/>
      <c r="AD110" s="4272"/>
      <c r="AE110" s="4272"/>
      <c r="AF110" s="4272"/>
      <c r="AG110" s="4273"/>
      <c r="AH110" s="2496"/>
      <c r="AI110" s="4328"/>
      <c r="AJ110" s="2785" t="s">
        <v>9598</v>
      </c>
      <c r="AK110" s="2785"/>
      <c r="AL110" s="2785"/>
      <c r="AM110" s="2785" t="b">
        <f>AL97-AL98+AM97-AM98&lt;&gt;0</f>
        <v>0</v>
      </c>
      <c r="AN110" s="2787"/>
      <c r="AO110" s="2787"/>
      <c r="AP110" s="2787"/>
      <c r="AQ110" s="2787"/>
      <c r="AR110" s="2786"/>
      <c r="AS110" s="2786"/>
      <c r="AT110" s="2786"/>
      <c r="AU110" s="2787"/>
      <c r="AV110" s="2787"/>
      <c r="AW110" s="2787"/>
      <c r="AX110" s="2785"/>
      <c r="AY110" s="2785"/>
    </row>
    <row r="111" spans="1:51" ht="12.75" customHeight="1" thickBot="1" x14ac:dyDescent="0.25">
      <c r="A111" s="2487"/>
      <c r="B111" s="2368"/>
      <c r="C111" s="4326"/>
      <c r="D111" s="432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30"/>
      <c r="F111" s="4330"/>
      <c r="G111" s="4330"/>
      <c r="H111" s="4330"/>
      <c r="I111" s="4330"/>
      <c r="J111" s="4330"/>
      <c r="K111" s="4330"/>
      <c r="L111" s="4330"/>
      <c r="M111" s="4330"/>
      <c r="N111" s="4330"/>
      <c r="O111" s="4330"/>
      <c r="P111" s="4330"/>
      <c r="Q111" s="4330"/>
      <c r="R111" s="4330"/>
      <c r="S111" s="4330"/>
      <c r="T111" s="4330"/>
      <c r="U111" s="4330"/>
      <c r="V111" s="4330"/>
      <c r="W111" s="4330"/>
      <c r="X111" s="4330"/>
      <c r="Y111" s="4330"/>
      <c r="Z111" s="4330"/>
      <c r="AA111" s="4330"/>
      <c r="AB111" s="4330"/>
      <c r="AC111" s="4330"/>
      <c r="AD111" s="4330"/>
      <c r="AE111" s="4330"/>
      <c r="AF111" s="4330"/>
      <c r="AG111" s="4331"/>
      <c r="AH111" s="2496"/>
      <c r="AI111" s="4328"/>
      <c r="AJ111" s="2785" t="s">
        <v>9635</v>
      </c>
      <c r="AK111" s="2787"/>
      <c r="AL111" s="2787"/>
      <c r="AM111" s="2787" t="b">
        <f>ABS(SUM(N89:N91))&gt;(SUM(N84:N88)-10*Y89+AC89+IF(S80="Si",10*P80,0)+IF(COUNTIF(K84:M88,"Mantenido")&gt;0,P80*10)+MAX(IF(COUNTIF(K84:M88,"Sostenimiento Menor")&gt;0,P80*20)+IF(COUNTIF(K84:M88,"Sostenimiento Mayor")&gt;0,P80*30)))/2</f>
        <v>0</v>
      </c>
      <c r="AN111" s="2785"/>
      <c r="AO111" s="2785"/>
      <c r="AP111" s="2785"/>
      <c r="AQ111" s="2785"/>
      <c r="AR111" s="2786"/>
      <c r="AS111" s="2786"/>
      <c r="AT111" s="2786"/>
      <c r="AU111" s="2787"/>
      <c r="AV111" s="2787"/>
      <c r="AW111" s="2787"/>
      <c r="AX111" s="2785"/>
      <c r="AY111" s="2785"/>
    </row>
    <row r="112" spans="1:51" x14ac:dyDescent="0.2">
      <c r="A112" s="2487"/>
      <c r="B112" s="2368"/>
      <c r="C112" s="4232"/>
      <c r="D112" s="4232" t="str">
        <f>IFERROR(VLOOKUP(D93,'Tablas Técnicas'!$O$9:$T$88,2,FALSE),"")</f>
        <v/>
      </c>
      <c r="E112" s="4232"/>
      <c r="F112" s="4232"/>
      <c r="G112" s="4232"/>
      <c r="H112" s="4232"/>
      <c r="I112" s="4232"/>
      <c r="J112" s="4232" t="str">
        <f>IFERROR(VLOOKUP(J93,'Tablas Técnicas'!$O$9:$T$88,2,FALSE),"")</f>
        <v/>
      </c>
      <c r="K112" s="4232"/>
      <c r="L112" s="4232"/>
      <c r="M112" s="4232"/>
      <c r="N112" s="4232"/>
      <c r="O112" s="4232"/>
      <c r="P112" s="4232" t="str">
        <f>IFERROR(VLOOKUP(P93,'Tablas Técnicas'!$O$9:$T$88,2,FALSE),"")</f>
        <v/>
      </c>
      <c r="Q112" s="4232"/>
      <c r="R112" s="4232"/>
      <c r="S112" s="4232"/>
      <c r="T112" s="4232"/>
      <c r="U112" s="4232"/>
      <c r="V112" s="4232" t="str">
        <f>IFERROR(VLOOKUP(V93,'Tablas Técnicas'!$O$9:$T$88,2,FALSE),"")</f>
        <v/>
      </c>
      <c r="W112" s="4232"/>
      <c r="X112" s="4232"/>
      <c r="Y112" s="4232"/>
      <c r="Z112" s="4232"/>
      <c r="AA112" s="4232"/>
      <c r="AB112" s="4232" t="str">
        <f>IFERROR(VLOOKUP(AB93,'Tablas Técnicas'!$O$9:$T$88,2,FALSE),"")</f>
        <v/>
      </c>
      <c r="AC112" s="4232"/>
      <c r="AD112" s="4232"/>
      <c r="AE112" s="4232"/>
      <c r="AF112" s="4232"/>
      <c r="AG112" s="4232"/>
      <c r="AH112" s="2496"/>
      <c r="AI112" s="2188"/>
      <c r="AJ112" s="2785"/>
      <c r="AK112" s="2785"/>
      <c r="AL112" s="2785"/>
      <c r="AM112" s="2785"/>
      <c r="AN112" s="2785"/>
      <c r="AO112" s="2785"/>
      <c r="AP112" s="2785"/>
      <c r="AQ112" s="2785"/>
      <c r="AR112" s="2786"/>
      <c r="AS112" s="2786"/>
      <c r="AT112" s="2786"/>
      <c r="AU112" s="2787"/>
      <c r="AV112" s="2787"/>
      <c r="AW112" s="2787"/>
      <c r="AX112" s="2787"/>
      <c r="AY112" s="2785"/>
    </row>
    <row r="113" spans="1:51" ht="12" thickBot="1" x14ac:dyDescent="0.25">
      <c r="A113" s="2487"/>
      <c r="B113" s="2368"/>
      <c r="C113" s="4232"/>
      <c r="D113" s="2635"/>
      <c r="E113" s="2370"/>
      <c r="F113" s="2370"/>
      <c r="G113" s="2370"/>
      <c r="H113" s="2370"/>
      <c r="I113" s="2370"/>
      <c r="J113" s="2370"/>
      <c r="K113" s="2370"/>
      <c r="L113" s="2370"/>
      <c r="M113" s="2370"/>
      <c r="N113" s="2370"/>
      <c r="O113" s="2370"/>
      <c r="P113" s="2370"/>
      <c r="Q113" s="2370"/>
      <c r="R113" s="2370"/>
      <c r="S113" s="2370"/>
      <c r="T113" s="2370"/>
      <c r="U113" s="2370"/>
      <c r="V113" s="2636"/>
      <c r="W113" s="2636"/>
      <c r="X113" s="2636"/>
      <c r="Y113" s="2636"/>
      <c r="Z113" s="2636"/>
      <c r="AA113" s="2636"/>
      <c r="AB113" s="2636"/>
      <c r="AC113" s="2636"/>
      <c r="AD113" s="2636"/>
      <c r="AE113" s="2636"/>
      <c r="AF113" s="2370"/>
      <c r="AG113" s="2370"/>
      <c r="AH113" s="2496"/>
      <c r="AI113" s="2188"/>
      <c r="AJ113" s="2793"/>
      <c r="AK113" s="2793"/>
      <c r="AL113" s="2793"/>
      <c r="AM113" s="2793"/>
      <c r="AN113" s="2793"/>
      <c r="AO113" s="2793"/>
      <c r="AP113" s="2785"/>
      <c r="AQ113" s="2786"/>
      <c r="AR113" s="2787"/>
      <c r="AS113" s="2787"/>
      <c r="AT113" s="2787"/>
      <c r="AU113" s="2787"/>
      <c r="AV113" s="2787"/>
      <c r="AW113" s="2787"/>
      <c r="AX113" s="2787"/>
      <c r="AY113" s="2794"/>
    </row>
    <row r="114" spans="1:51" ht="11.25" customHeight="1" x14ac:dyDescent="0.2">
      <c r="A114" s="2487"/>
      <c r="B114" s="2368">
        <f t="shared" ref="B114:B144" si="26">1+B80</f>
        <v>4</v>
      </c>
      <c r="C114" s="4324" t="str">
        <f>"Técnica "&amp;B114</f>
        <v>Técnica 4</v>
      </c>
      <c r="D114" s="4318" t="s">
        <v>8999</v>
      </c>
      <c r="E114" s="4319"/>
      <c r="F114" s="4319"/>
      <c r="G114" s="4319"/>
      <c r="H114" s="4319"/>
      <c r="I114" s="4319"/>
      <c r="J114" s="4319"/>
      <c r="K114" s="4319"/>
      <c r="L114" s="4319"/>
      <c r="M114" s="4319"/>
      <c r="N114" s="4320"/>
      <c r="O114" s="4284" t="s">
        <v>1333</v>
      </c>
      <c r="P114" s="4286">
        <v>1</v>
      </c>
      <c r="Q114" s="4203" t="s">
        <v>9083</v>
      </c>
      <c r="R114" s="4280"/>
      <c r="S114" s="4282" t="s">
        <v>1389</v>
      </c>
      <c r="T114" s="4204" t="s">
        <v>1514</v>
      </c>
      <c r="U114" s="4268">
        <f>MAX(IF(P114=3,60,IF(P114=2,40,20)),MIN(IF(P114=3,200,IF(P114=2,100,50)),SUM(N118:N125)-10*Y123+AC123+IF(S114="Si",10*P114,0)+IF(COUNTIF(K118:M122,"Mantenido")&gt;0,P114*10)+MAX(IF(COUNTIF(K118:M122,"Sostenimiento Menor")&gt;0,P114*20)+IF(COUNTIF(K118:M122,"Sostenimiento Mayor")&gt;0,P114*30))))</f>
        <v>20</v>
      </c>
      <c r="V114" s="4203" t="s">
        <v>9084</v>
      </c>
      <c r="W114" s="4204"/>
      <c r="X114" s="4207" t="str">
        <f>IFERROR(LEFT(AK130&amp;AL130&amp;AM130&amp;AN130&amp;AO130&amp;AP130,LEN(AK130&amp;AL130&amp;AM130&amp;AN130&amp;AO130&amp;AP130)-2),"")</f>
        <v/>
      </c>
      <c r="Y114" s="4207"/>
      <c r="Z114" s="4207"/>
      <c r="AA114" s="4207"/>
      <c r="AB114" s="4207"/>
      <c r="AC114" s="4207"/>
      <c r="AD114" s="4207"/>
      <c r="AE114" s="4207"/>
      <c r="AF114" s="4207"/>
      <c r="AG114" s="4208"/>
      <c r="AH114" s="2496"/>
      <c r="AI114" s="4328"/>
      <c r="AJ114" s="2790" t="s">
        <v>9632</v>
      </c>
      <c r="AK114" s="2790"/>
      <c r="AL114" s="2790"/>
      <c r="AM114" s="2790"/>
      <c r="AN114" s="2790"/>
      <c r="AO114" s="2790"/>
      <c r="AP114" s="2790"/>
      <c r="AQ114" s="2790"/>
      <c r="AR114" s="2790"/>
      <c r="AS114" s="2785"/>
      <c r="AT114" s="2785"/>
      <c r="AU114" s="2785"/>
      <c r="AV114" s="2785"/>
      <c r="AW114" s="2787"/>
      <c r="AX114" s="2787"/>
      <c r="AY114" s="2785"/>
    </row>
    <row r="115" spans="1:51" ht="11.25" customHeight="1" x14ac:dyDescent="0.2">
      <c r="A115" s="2487"/>
      <c r="B115" s="2368">
        <f t="shared" si="26"/>
        <v>4</v>
      </c>
      <c r="C115" s="4325"/>
      <c r="D115" s="4321"/>
      <c r="E115" s="4322"/>
      <c r="F115" s="4322"/>
      <c r="G115" s="4322"/>
      <c r="H115" s="4322"/>
      <c r="I115" s="4322"/>
      <c r="J115" s="4322"/>
      <c r="K115" s="4322"/>
      <c r="L115" s="4322"/>
      <c r="M115" s="4322"/>
      <c r="N115" s="4323"/>
      <c r="O115" s="4285"/>
      <c r="P115" s="4283"/>
      <c r="Q115" s="4205"/>
      <c r="R115" s="4281"/>
      <c r="S115" s="4283"/>
      <c r="T115" s="4206"/>
      <c r="U115" s="4269"/>
      <c r="V115" s="4205"/>
      <c r="W115" s="4206"/>
      <c r="X115" s="4209"/>
      <c r="Y115" s="4209"/>
      <c r="Z115" s="4209"/>
      <c r="AA115" s="4209"/>
      <c r="AB115" s="4209"/>
      <c r="AC115" s="4209"/>
      <c r="AD115" s="4209"/>
      <c r="AE115" s="4209"/>
      <c r="AF115" s="4209"/>
      <c r="AG115" s="4210"/>
      <c r="AH115" s="2496"/>
      <c r="AI115" s="4328"/>
      <c r="AJ115" s="2790"/>
      <c r="AK115" s="2790" t="s">
        <v>9633</v>
      </c>
      <c r="AL115" s="2790" t="s">
        <v>10237</v>
      </c>
      <c r="AM115" s="2791"/>
      <c r="AN115" s="2791"/>
      <c r="AO115" s="2791"/>
      <c r="AP115" s="2791"/>
      <c r="AQ115" s="2791"/>
      <c r="AR115" s="2790"/>
      <c r="AS115" s="2785"/>
      <c r="AT115" s="2785"/>
      <c r="AU115" s="2785"/>
      <c r="AV115" s="2785"/>
      <c r="AW115" s="2787"/>
      <c r="AX115" s="4327" t="s">
        <v>9602</v>
      </c>
      <c r="AY115" s="4327"/>
    </row>
    <row r="116" spans="1:51" ht="12" customHeight="1" x14ac:dyDescent="0.2">
      <c r="A116" s="2487"/>
      <c r="B116" s="2368">
        <f t="shared" si="26"/>
        <v>4</v>
      </c>
      <c r="C116" s="4325"/>
      <c r="D116" s="4213" t="s">
        <v>2910</v>
      </c>
      <c r="E116" s="4214"/>
      <c r="F116" s="4214"/>
      <c r="G116" s="4214"/>
      <c r="H116" s="4214"/>
      <c r="I116" s="4214"/>
      <c r="J116" s="4214"/>
      <c r="K116" s="4290" t="s">
        <v>9935</v>
      </c>
      <c r="L116" s="4290"/>
      <c r="M116" s="4290"/>
      <c r="N116" s="4214" t="s">
        <v>1508</v>
      </c>
      <c r="O116" s="4290" t="s">
        <v>2908</v>
      </c>
      <c r="P116" s="4290" t="s">
        <v>9085</v>
      </c>
      <c r="Q116" s="4214" t="s">
        <v>1372</v>
      </c>
      <c r="R116" s="4214"/>
      <c r="S116" s="4214"/>
      <c r="T116" s="4214"/>
      <c r="U116" s="4214"/>
      <c r="V116" s="4202" t="s">
        <v>1381</v>
      </c>
      <c r="W116" s="4185"/>
      <c r="X116" s="4202" t="s">
        <v>1506</v>
      </c>
      <c r="Y116" s="4287"/>
      <c r="Z116" s="4185" t="s">
        <v>1386</v>
      </c>
      <c r="AA116" s="4185"/>
      <c r="AB116" s="4202" t="s">
        <v>1391</v>
      </c>
      <c r="AC116" s="4287"/>
      <c r="AD116" s="4185" t="s">
        <v>1399</v>
      </c>
      <c r="AE116" s="4185"/>
      <c r="AF116" s="4202" t="s">
        <v>1400</v>
      </c>
      <c r="AG116" s="4186"/>
      <c r="AH116" s="2496"/>
      <c r="AI116" s="4328"/>
      <c r="AJ116" s="2785"/>
      <c r="AK116" s="2785"/>
      <c r="AL116" s="2785" t="s">
        <v>9910</v>
      </c>
      <c r="AM116" s="2785"/>
      <c r="AN116" s="2785"/>
      <c r="AO116" s="2785"/>
      <c r="AP116" s="2785"/>
      <c r="AQ116" s="2785"/>
      <c r="AR116" s="2787"/>
      <c r="AS116" s="2787" t="s">
        <v>9622</v>
      </c>
      <c r="AT116" s="2787" t="s">
        <v>9623</v>
      </c>
      <c r="AU116" s="2785" t="s">
        <v>9611</v>
      </c>
      <c r="AV116" s="2785" t="s">
        <v>9612</v>
      </c>
      <c r="AW116" s="2787" t="s">
        <v>1508</v>
      </c>
      <c r="AX116" s="2787" t="s">
        <v>9087</v>
      </c>
      <c r="AY116" s="2785" t="s">
        <v>9088</v>
      </c>
    </row>
    <row r="117" spans="1:51" ht="12.75" customHeight="1" x14ac:dyDescent="0.2">
      <c r="A117" s="2487"/>
      <c r="B117" s="2368">
        <f t="shared" si="26"/>
        <v>4</v>
      </c>
      <c r="C117" s="4325"/>
      <c r="D117" s="4288"/>
      <c r="E117" s="4289"/>
      <c r="F117" s="4289"/>
      <c r="G117" s="4289"/>
      <c r="H117" s="4289"/>
      <c r="I117" s="4289"/>
      <c r="J117" s="4289"/>
      <c r="K117" s="4291"/>
      <c r="L117" s="4291"/>
      <c r="M117" s="4291"/>
      <c r="N117" s="4215"/>
      <c r="O117" s="4291"/>
      <c r="P117" s="4292"/>
      <c r="Q117" s="4215"/>
      <c r="R117" s="4215"/>
      <c r="S117" s="4215"/>
      <c r="T117" s="4215"/>
      <c r="U117" s="4215"/>
      <c r="V117" s="2373" t="s">
        <v>9601</v>
      </c>
      <c r="W117" s="2488" t="s">
        <v>2914</v>
      </c>
      <c r="X117" s="2373" t="s">
        <v>9601</v>
      </c>
      <c r="Y117" s="2488" t="s">
        <v>2914</v>
      </c>
      <c r="Z117" s="2373" t="s">
        <v>9601</v>
      </c>
      <c r="AA117" s="2488" t="s">
        <v>2914</v>
      </c>
      <c r="AB117" s="2373" t="s">
        <v>9601</v>
      </c>
      <c r="AC117" s="2488" t="s">
        <v>2914</v>
      </c>
      <c r="AD117" s="2373" t="s">
        <v>9601</v>
      </c>
      <c r="AE117" s="2488" t="s">
        <v>2914</v>
      </c>
      <c r="AF117" s="2373" t="s">
        <v>9601</v>
      </c>
      <c r="AG117" s="2195" t="s">
        <v>2914</v>
      </c>
      <c r="AH117" s="2496"/>
      <c r="AI117" s="4328"/>
      <c r="AJ117" s="2785"/>
      <c r="AK117" s="2785" t="s">
        <v>9603</v>
      </c>
      <c r="AL117" s="2785">
        <v>1</v>
      </c>
      <c r="AM117" s="2785">
        <v>2</v>
      </c>
      <c r="AN117" s="2785">
        <v>3</v>
      </c>
      <c r="AO117" s="2785">
        <v>4</v>
      </c>
      <c r="AP117" s="2785">
        <v>5</v>
      </c>
      <c r="AQ117" s="2785">
        <v>6</v>
      </c>
      <c r="AR117" s="2785">
        <v>7</v>
      </c>
      <c r="AS117" s="2787"/>
      <c r="AT117" s="2785" t="s">
        <v>9634</v>
      </c>
      <c r="AU117" s="2787"/>
      <c r="AV117" s="2787"/>
      <c r="AW117" s="2787" t="s">
        <v>9634</v>
      </c>
      <c r="AX117" s="2787"/>
      <c r="AY117" s="2785"/>
    </row>
    <row r="118" spans="1:51" ht="12.75" customHeight="1" x14ac:dyDescent="0.2">
      <c r="A118" s="2487"/>
      <c r="B118" s="2368">
        <f t="shared" si="26"/>
        <v>4</v>
      </c>
      <c r="C118" s="4325"/>
      <c r="D118" s="4293" t="s">
        <v>9089</v>
      </c>
      <c r="E118" s="4294"/>
      <c r="F118" s="4295"/>
      <c r="G118" s="4296"/>
      <c r="H118" s="4296"/>
      <c r="I118" s="4296"/>
      <c r="J118" s="4240"/>
      <c r="K118" s="4297" t="s">
        <v>1464</v>
      </c>
      <c r="L118" s="4298"/>
      <c r="M118" s="4299"/>
      <c r="N118" s="2374">
        <f>IF(AW118&gt;0,IF(VLOOKUP(F118,'Tablas Técnicas'!$O$9:$X$88,10,0),MAX(5,AW118-5),AW118),0)</f>
        <v>0</v>
      </c>
      <c r="O118" s="2374" t="str">
        <f>AS118&amp;" / "&amp;AT118</f>
        <v>0 / 0</v>
      </c>
      <c r="P118" s="2374" t="str">
        <f t="array" ref="P118">W118+Y118+AA118+AC118+AE118+AG118&amp;" / "&amp;IF(K118&lt;&gt;"Mantenido",0,SUM(IF($AL118:$AR118='Tablas Técnicas'!$L$10:$L$643,'Tablas Técnicas'!$H$10:$H$643,0)))</f>
        <v>0 / 0</v>
      </c>
      <c r="Q118" s="4300" t="str">
        <f>IFERROR(VLOOKUP(F118,'Tablas Técnicas'!$O$9:$T$88,5,FALSE),"")</f>
        <v/>
      </c>
      <c r="R118" s="4300"/>
      <c r="S118" s="4300"/>
      <c r="T118" s="4300"/>
      <c r="U118" s="4300"/>
      <c r="V118" s="2324"/>
      <c r="W118" s="2325"/>
      <c r="X118" s="2324"/>
      <c r="Y118" s="2326"/>
      <c r="Z118" s="2327"/>
      <c r="AA118" s="2325"/>
      <c r="AB118" s="2324"/>
      <c r="AC118" s="2326"/>
      <c r="AD118" s="2327"/>
      <c r="AE118" s="2325"/>
      <c r="AF118" s="2324"/>
      <c r="AG118" s="2328"/>
      <c r="AH118" s="2496"/>
      <c r="AI118" s="4328"/>
      <c r="AJ118" s="2785">
        <v>1</v>
      </c>
      <c r="AK118" s="2785">
        <f>P114</f>
        <v>1</v>
      </c>
      <c r="AL118" s="2785" t="str">
        <f>IF(AND(ISNUMBER(MATCH($F118,'Tablas Técnicas'!$L$10:$L$643,0)),INDEX($D131:$D137,Tablas!A$1)="",COUNTIF(AM118:$AS118,$F118)=0),$F118,IF(INDEX($D131:$D137,Tablas!A$1)="","",$F118&amp;INDEX($D131:$D137,Tablas!A$1)))</f>
        <v/>
      </c>
      <c r="AM118" s="2785" t="str">
        <f>IF(AND(ISNUMBER(MATCH($F118,'Tablas Técnicas'!$L$10:$L$643,0)),INDEX($D131:$D137,Tablas!B$1)="",COUNTIF(AN118:$AS118,$F118)=0),$F118,IF(INDEX($D131:$D137,Tablas!B$1)="","",$F118&amp;INDEX($D131:$D137,Tablas!B$1)))</f>
        <v/>
      </c>
      <c r="AN118" s="2785" t="str">
        <f>IF(AND(ISNUMBER(MATCH($F118,'Tablas Técnicas'!$L$10:$L$643,0)),INDEX($D131:$D137,Tablas!C$1)="",COUNTIF(AO118:$AS118,$F118)=0),$F118,IF(INDEX($D131:$D137,Tablas!C$1)="","",$F118&amp;INDEX($D131:$D137,Tablas!C$1)))</f>
        <v/>
      </c>
      <c r="AO118" s="2785" t="str">
        <f>IF(AND(ISNUMBER(MATCH($F118,'Tablas Técnicas'!$L$10:$L$643,0)),INDEX($D131:$D137,Tablas!D$1)="",COUNTIF(AP118:$AS118,$F118)=0),$F118,IF(INDEX($D131:$D137,Tablas!D$1)="","",$F118&amp;INDEX($D131:$D137,Tablas!D$1)))</f>
        <v/>
      </c>
      <c r="AP118" s="2785" t="str">
        <f>IF(AND(ISNUMBER(MATCH($F118,'Tablas Técnicas'!$L$10:$L$643,0)),INDEX($D131:$D137,Tablas!E$1)="",COUNTIF(AQ118:$AS118,$F118)=0),$F118,IF(INDEX($D131:$D137,Tablas!E$1)="","",$F118&amp;INDEX($D131:$D137,Tablas!E$1)))</f>
        <v/>
      </c>
      <c r="AQ118" s="2785" t="str">
        <f>IF(AND(ISNUMBER(MATCH($F118,'Tablas Técnicas'!$L$10:$L$643,0)),INDEX($D131:$D137,Tablas!F$1)="",COUNTIF(AR118:$AS118,$F118)=0),$F118,IF(INDEX($D131:$D137,Tablas!F$1)="","",$F118&amp;INDEX($D131:$D137,Tablas!F$1)))</f>
        <v/>
      </c>
      <c r="AR118" s="2785" t="str">
        <f>IF(AND(ISNUMBER(MATCH($F118,'Tablas Técnicas'!$L$10:$L$643,0)),INDEX($D131:$D137,Tablas!G$1)="",COUNTIF(AS118:$AS118,$F118)=0),$F118,IF(INDEX($D131:$D137,Tablas!G$1)="","",$F118&amp;INDEX($D131:$D137,Tablas!G$1)))</f>
        <v/>
      </c>
      <c r="AS118" s="2787">
        <f>V118+X118+Z118+AB118+AD118+AF118</f>
        <v>0</v>
      </c>
      <c r="AT118" s="2787">
        <f t="array" ref="AT118">SUM(IF($AL118:$AR118='Tablas Técnicas'!$L$10:$L$643,IF(D118="Primario",'Tablas Técnicas'!$E$10:$E$643,'Tablas Técnicas'!$F$10:$F$643)+IF(K118="Sostenimiento menor",'Tablas Técnicas'!$I$10:$I$643,IF(K118="sostenimiento mayor",'Tablas Técnicas'!$J$10:$J$643,0)),0),0)+VALUE(RIGHT(P118,2))+AU118+AV118</f>
        <v>0</v>
      </c>
      <c r="AU118" s="278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7">
        <f>(COUNTIF(AL118:AR118,"*Estado añadido:*")-1)*COUNTIF(AL118:AR118,"*Estado añadido:*")</f>
        <v>0</v>
      </c>
      <c r="AW118" s="2787">
        <f t="array" ref="AW118">SUM(IF($AL118:$AR118='Tablas Técnicas'!$L$10:$L$643,'Tablas Técnicas'!$G$10:$G$643,0))</f>
        <v>0</v>
      </c>
      <c r="AX118" s="278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5" t="str">
        <f t="shared" ref="AY118:AY120" si="27">IFERROR(LEFT(AX118,LEN(AX118)-2)&amp;"), ","")</f>
        <v/>
      </c>
    </row>
    <row r="119" spans="1:51" ht="12.75" customHeight="1" x14ac:dyDescent="0.2">
      <c r="A119" s="2487"/>
      <c r="B119" s="2368">
        <f t="shared" si="26"/>
        <v>4</v>
      </c>
      <c r="C119" s="4325"/>
      <c r="D119" s="4221" t="s">
        <v>526</v>
      </c>
      <c r="E119" s="4222"/>
      <c r="F119" s="4304"/>
      <c r="G119" s="4305"/>
      <c r="H119" s="4305"/>
      <c r="I119" s="4305"/>
      <c r="J119" s="4249"/>
      <c r="K119" s="4306" t="s">
        <v>1464</v>
      </c>
      <c r="L119" s="4307"/>
      <c r="M119" s="4308"/>
      <c r="N119" s="2192">
        <f>IF(AW119&gt;0,IF(VLOOKUP(F119,'Tablas Técnicas'!$O$9:$X$88,10,0),MAX(5,AW119-5),AW119),0)</f>
        <v>0</v>
      </c>
      <c r="O119" s="2192" t="str">
        <f>AS119&amp;" / "&amp;AT119</f>
        <v>0 / 0</v>
      </c>
      <c r="P119" s="2192" t="str">
        <f t="array" ref="P119">W119+Y119+AA119+AC119+AE119+AG119&amp;" / "&amp;IF(K119&lt;&gt;"Mantenido",0,SUM(IF($AL119:$AR119='Tablas Técnicas'!$L$10:$L$643,'Tablas Técnicas'!$H$10:$H$643,0)))</f>
        <v>0 / 0</v>
      </c>
      <c r="Q119" s="4223" t="str">
        <f>IFERROR(VLOOKUP(F119,'Tablas Técnicas'!$O$9:$T$88,5,FALSE),"")</f>
        <v/>
      </c>
      <c r="R119" s="4223"/>
      <c r="S119" s="4223"/>
      <c r="T119" s="4223"/>
      <c r="U119" s="4223"/>
      <c r="V119" s="2329"/>
      <c r="W119" s="2330"/>
      <c r="X119" s="2329"/>
      <c r="Y119" s="2331"/>
      <c r="Z119" s="2332"/>
      <c r="AA119" s="2330"/>
      <c r="AB119" s="2329"/>
      <c r="AC119" s="2331"/>
      <c r="AD119" s="2332"/>
      <c r="AE119" s="2330"/>
      <c r="AF119" s="2329"/>
      <c r="AG119" s="2333"/>
      <c r="AH119" s="2496"/>
      <c r="AI119" s="4328"/>
      <c r="AJ119" s="2785">
        <v>2</v>
      </c>
      <c r="AK119" s="2785">
        <f>P114</f>
        <v>1</v>
      </c>
      <c r="AL119" s="2785" t="str">
        <f>IF(AND(ISNUMBER(MATCH($F119,'Tablas Técnicas'!$L$10:$L$643,0)),INDEX($J131:$J137,Tablas!A$1)="",COUNTIF(AM119:$AS119,$F119)=0),$F119,IF(INDEX($J131:$J137,Tablas!A$1)="","",$F119&amp;INDEX($J131:$J137,Tablas!A$1)))</f>
        <v/>
      </c>
      <c r="AM119" s="2785" t="str">
        <f>IF(AND(ISNUMBER(MATCH($F119,'Tablas Técnicas'!$L$10:$L$643,0)),INDEX($J131:$J137,Tablas!B$1)="",COUNTIF(AN119:$AS119,$F119)=0),$F119,IF(INDEX($J131:$J137,Tablas!B$1)="","",$F119&amp;INDEX($J131:$J137,Tablas!B$1)))</f>
        <v/>
      </c>
      <c r="AN119" s="2785" t="str">
        <f>IF(AND(ISNUMBER(MATCH($F119,'Tablas Técnicas'!$L$10:$L$643,0)),INDEX($J131:$J137,Tablas!C$1)="",COUNTIF(AO119:$AS119,$F119)=0),$F119,IF(INDEX($J131:$J137,Tablas!C$1)="","",$F119&amp;INDEX($J131:$J137,Tablas!C$1)))</f>
        <v/>
      </c>
      <c r="AO119" s="2785" t="str">
        <f>IF(AND(ISNUMBER(MATCH($F119,'Tablas Técnicas'!$L$10:$L$643,0)),INDEX($J131:$J137,Tablas!D$1)="",COUNTIF(AP119:$AS119,$F119)=0),$F119,IF(INDEX($J131:$J137,Tablas!D$1)="","",$F119&amp;INDEX($J131:$J137,Tablas!D$1)))</f>
        <v/>
      </c>
      <c r="AP119" s="2785" t="str">
        <f>IF(AND(ISNUMBER(MATCH($F119,'Tablas Técnicas'!$L$10:$L$643,0)),INDEX($J131:$J137,Tablas!E$1)="",COUNTIF(AQ119:$AS119,$F119)=0),$F119,IF(INDEX($J131:$J137,Tablas!E$1)="","",$F119&amp;INDEX($J131:$J137,Tablas!E$1)))</f>
        <v/>
      </c>
      <c r="AQ119" s="2785" t="str">
        <f>IF(AND(ISNUMBER(MATCH($F119,'Tablas Técnicas'!$L$10:$L$643,0)),INDEX($J131:$J137,Tablas!F$1)="",COUNTIF(AR119:$AS119,$F119)=0),$F119,IF(INDEX($J131:$J137,Tablas!F$1)="","",$F119&amp;INDEX($J131:$J137,Tablas!F$1)))</f>
        <v/>
      </c>
      <c r="AR119" s="2785" t="str">
        <f>IF(AND(ISNUMBER(MATCH($F119,'Tablas Técnicas'!$L$10:$L$643,0)),INDEX($J131:$J137,Tablas!G$1)="",COUNTIF(AS119:$AS119,$F119)=0),$F119,IF(INDEX($J131:$J137,Tablas!G$1)="","",$F119&amp;INDEX($J131:$J137,Tablas!G$1)))</f>
        <v/>
      </c>
      <c r="AS119" s="2787">
        <f>V119+X119+Z119+AB119+AD119+AF119</f>
        <v>0</v>
      </c>
      <c r="AT119" s="2787">
        <f t="array" ref="AT119">SUM(IF($AL119:$AR119='Tablas Técnicas'!$L$10:$L$643,IF(D119="Primario",'Tablas Técnicas'!$E$10:$E$643,'Tablas Técnicas'!$F$10:$F$643)+IF(K119="Sostenimiento menor",'Tablas Técnicas'!$I$10:$I$643,IF(K119="sostenimiento mayor",'Tablas Técnicas'!$J$10:$J$643,0)),0),0)+VALUE(RIGHT(P119,2))+AU119+AV119</f>
        <v>0</v>
      </c>
      <c r="AU119" s="278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7">
        <f>(COUNTIF(AL119:AR119,"*Estado añadido:*")-1)*COUNTIF(AL119:AR119,"*Estado añadido:*")</f>
        <v>0</v>
      </c>
      <c r="AW119" s="2787">
        <f t="array" ref="AW119">SUM(IF($AL119:$AR119='Tablas Técnicas'!$L$10:$L$643,'Tablas Técnicas'!$G$10:$G$643,0))</f>
        <v>0</v>
      </c>
      <c r="AX119" s="278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5" t="str">
        <f t="shared" si="27"/>
        <v/>
      </c>
    </row>
    <row r="120" spans="1:51" ht="12.75" customHeight="1" x14ac:dyDescent="0.2">
      <c r="A120" s="2487"/>
      <c r="B120" s="2368">
        <f t="shared" si="26"/>
        <v>4</v>
      </c>
      <c r="C120" s="4325"/>
      <c r="D120" s="4312" t="s">
        <v>526</v>
      </c>
      <c r="E120" s="4313"/>
      <c r="F120" s="4227"/>
      <c r="G120" s="4228"/>
      <c r="H120" s="4228"/>
      <c r="I120" s="4228"/>
      <c r="J120" s="4229"/>
      <c r="K120" s="4309" t="s">
        <v>1464</v>
      </c>
      <c r="L120" s="4310"/>
      <c r="M120" s="4311"/>
      <c r="N120" s="2188">
        <f>IF(AW120&gt;0,IF(VLOOKUP(F120,'Tablas Técnicas'!$O$9:$X$88,10,0),MAX(5,AW120-5),AW120),0)</f>
        <v>0</v>
      </c>
      <c r="O120" s="2188" t="str">
        <f>AS120&amp;" / "&amp;AT120</f>
        <v>0 / 0</v>
      </c>
      <c r="P120" s="2188" t="str">
        <f t="array" ref="P120">W120+Y120+AA120+AC120+AE120+AG120&amp;" / "&amp;IF(K120&lt;&gt;"Mantenido",0,SUM(IF($AL120:$AR120='Tablas Técnicas'!$L$10:$L$643,'Tablas Técnicas'!$H$10:$H$643,0)))</f>
        <v>0 / 0</v>
      </c>
      <c r="Q120" s="4314" t="str">
        <f>IFERROR(VLOOKUP(F120,'Tablas Técnicas'!$O$9:$T$88,5,FALSE),"")</f>
        <v/>
      </c>
      <c r="R120" s="4314"/>
      <c r="S120" s="4314"/>
      <c r="T120" s="4314"/>
      <c r="U120" s="4314"/>
      <c r="V120" s="2334"/>
      <c r="W120" s="2335"/>
      <c r="X120" s="2334"/>
      <c r="Y120" s="2336"/>
      <c r="Z120" s="2337"/>
      <c r="AA120" s="2335"/>
      <c r="AB120" s="2334"/>
      <c r="AC120" s="2336"/>
      <c r="AD120" s="2337"/>
      <c r="AE120" s="2335"/>
      <c r="AF120" s="2334"/>
      <c r="AG120" s="2338"/>
      <c r="AH120" s="2496"/>
      <c r="AI120" s="4328"/>
      <c r="AJ120" s="2785">
        <v>3</v>
      </c>
      <c r="AK120" s="2785">
        <f>P114</f>
        <v>1</v>
      </c>
      <c r="AL120" s="2785" t="str">
        <f>IF(AND(ISNUMBER(MATCH($F120,'Tablas Técnicas'!$L$10:$L$643,0)),INDEX($P131:$P137,Tablas!A$1)="",COUNTIF(AM120:$AS120,$F120)=0),$F120,IF(INDEX($P131:$P137,Tablas!A$1)="","",$F120&amp;INDEX($P131:$P137,Tablas!A$1)))</f>
        <v/>
      </c>
      <c r="AM120" s="2785" t="str">
        <f>IF(AND(ISNUMBER(MATCH($F120,'Tablas Técnicas'!$L$10:$L$643,0)),INDEX($P131:$P137,Tablas!B$1)="",COUNTIF(AN120:$AS120,$F120)=0),$F120,IF(INDEX($P131:$P137,Tablas!B$1)="","",$F120&amp;INDEX($P131:$P137,Tablas!B$1)))</f>
        <v/>
      </c>
      <c r="AN120" s="2785" t="str">
        <f>IF(AND(ISNUMBER(MATCH($F120,'Tablas Técnicas'!$L$10:$L$643,0)),INDEX($P131:$P137,Tablas!C$1)="",COUNTIF(AO120:$AS120,$F120)=0),$F120,IF(INDEX($P131:$P137,Tablas!C$1)="","",$F120&amp;INDEX($P131:$P137,Tablas!C$1)))</f>
        <v/>
      </c>
      <c r="AO120" s="2785" t="str">
        <f>IF(AND(ISNUMBER(MATCH($F120,'Tablas Técnicas'!$L$10:$L$643,0)),INDEX($P131:$P137,Tablas!D$1)="",COUNTIF(AP120:$AS120,$F120)=0),$F120,IF(INDEX($P131:$P137,Tablas!D$1)="","",$F120&amp;INDEX($P131:$P137,Tablas!D$1)))</f>
        <v/>
      </c>
      <c r="AP120" s="2785" t="str">
        <f>IF(AND(ISNUMBER(MATCH($F120,'Tablas Técnicas'!$L$10:$L$643,0)),INDEX($P131:$P137,Tablas!E$1)="",COUNTIF(AQ120:$AS120,$F120)=0),$F120,IF(INDEX($P131:$P137,Tablas!E$1)="","",$F120&amp;INDEX($P131:$P137,Tablas!E$1)))</f>
        <v/>
      </c>
      <c r="AQ120" s="2785" t="str">
        <f>IF(AND(ISNUMBER(MATCH($F120,'Tablas Técnicas'!$L$10:$L$643,0)),INDEX($P131:$P137,Tablas!F$1)="",COUNTIF(AR120:$AS120,$F120)=0),$F120,IF(INDEX($P131:$P137,Tablas!F$1)="","",$F120&amp;INDEX($P131:$P137,Tablas!F$1)))</f>
        <v/>
      </c>
      <c r="AR120" s="2785" t="str">
        <f>IF(AND(ISNUMBER(MATCH($F120,'Tablas Técnicas'!$L$10:$L$643,0)),INDEX($P131:$P137,Tablas!G$1)="",COUNTIF(AS120:$AS120,$F120)=0),$F120,IF(INDEX($P131:$P137,Tablas!G$1)="","",$F120&amp;INDEX($P131:$P137,Tablas!G$1)))</f>
        <v/>
      </c>
      <c r="AS120" s="2787">
        <f>V120+X120+Z120+AB120+AD120+AF120</f>
        <v>0</v>
      </c>
      <c r="AT120" s="2787">
        <f t="array" ref="AT120">SUM(IF($AL120:$AR120='Tablas Técnicas'!$L$10:$L$643,IF(D120="Primario",'Tablas Técnicas'!$E$10:$E$643,'Tablas Técnicas'!$F$10:$F$643)+IF(K120="Sostenimiento menor",'Tablas Técnicas'!$I$10:$I$643,IF(K120="sostenimiento mayor",'Tablas Técnicas'!$J$10:$J$643,0)),0),0)+VALUE(RIGHT(P120,2))+AU120+AV120</f>
        <v>0</v>
      </c>
      <c r="AU120" s="278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7">
        <f>(COUNTIF(AL120:AR120,"*Estado añadido:*")-1)*COUNTIF(AL120:AR120,"*Estado añadido:*")</f>
        <v>0</v>
      </c>
      <c r="AW120" s="2787">
        <f t="array" ref="AW120">SUM(IF($AL120:$AR120='Tablas Técnicas'!$L$10:$L$643,'Tablas Técnicas'!$G$10:$G$643,0))</f>
        <v>0</v>
      </c>
      <c r="AX120" s="2785" t="str">
        <f t="shared" si="28"/>
        <v/>
      </c>
      <c r="AY120" s="2785" t="str">
        <f t="shared" si="27"/>
        <v/>
      </c>
    </row>
    <row r="121" spans="1:51" ht="12.75" customHeight="1" x14ac:dyDescent="0.2">
      <c r="A121" s="2487"/>
      <c r="B121" s="2368">
        <f t="shared" si="26"/>
        <v>4</v>
      </c>
      <c r="C121" s="4325"/>
      <c r="D121" s="4221" t="s">
        <v>526</v>
      </c>
      <c r="E121" s="4222"/>
      <c r="F121" s="4304"/>
      <c r="G121" s="4305"/>
      <c r="H121" s="4305"/>
      <c r="I121" s="4305"/>
      <c r="J121" s="4249"/>
      <c r="K121" s="4306" t="s">
        <v>1464</v>
      </c>
      <c r="L121" s="4307"/>
      <c r="M121" s="4308"/>
      <c r="N121" s="2192">
        <f>IF(AW121&gt;0,IF(VLOOKUP(F121,'Tablas Técnicas'!$O$9:$X$88,10,0),MAX(5,AW121-5),AW121),0)</f>
        <v>0</v>
      </c>
      <c r="O121" s="2192" t="str">
        <f>AS121&amp;" / "&amp;AT121</f>
        <v>0 / 0</v>
      </c>
      <c r="P121" s="2192" t="str">
        <f t="array" ref="P121">W121+Y121+AA121+AC121+AE121+AG121&amp;" / "&amp;IF(K121&lt;&gt;"Mantenido",0,SUM(IF($AL121:$AR121='Tablas Técnicas'!$L$10:$L$643,'Tablas Técnicas'!$H$10:$H$643,0)))</f>
        <v>0 / 0</v>
      </c>
      <c r="Q121" s="4223" t="str">
        <f>IFERROR(VLOOKUP(F121,'Tablas Técnicas'!$O$9:$T$88,5,FALSE),"")</f>
        <v/>
      </c>
      <c r="R121" s="4223"/>
      <c r="S121" s="4223"/>
      <c r="T121" s="4223"/>
      <c r="U121" s="4223"/>
      <c r="V121" s="2329"/>
      <c r="W121" s="2330"/>
      <c r="X121" s="2329"/>
      <c r="Y121" s="2331"/>
      <c r="Z121" s="2332"/>
      <c r="AA121" s="2330"/>
      <c r="AB121" s="2329"/>
      <c r="AC121" s="2331"/>
      <c r="AD121" s="2332"/>
      <c r="AE121" s="2330"/>
      <c r="AF121" s="2329"/>
      <c r="AG121" s="2333"/>
      <c r="AH121" s="2496"/>
      <c r="AI121" s="4328"/>
      <c r="AJ121" s="2785">
        <v>4</v>
      </c>
      <c r="AK121" s="2785">
        <f>P114</f>
        <v>1</v>
      </c>
      <c r="AL121" s="2785" t="str">
        <f>IF(AND(ISNUMBER(MATCH($F121,'Tablas Técnicas'!$L$10:$L$643,0)),INDEX($V131:$V137,Tablas!A$1)="",COUNTIF(AM121:$AS121,$F121)=0),$F121,IF(INDEX($V131:$V137,Tablas!A$1)="","",$F121&amp;INDEX($V131:$V137,Tablas!A$1)))</f>
        <v/>
      </c>
      <c r="AM121" s="2785" t="str">
        <f>IF(AND(ISNUMBER(MATCH($F121,'Tablas Técnicas'!$L$10:$L$643,0)),INDEX($V131:$V137,Tablas!B$1)="",COUNTIF(AN121:$AS121,$F121)=0),$F121,IF(INDEX($V131:$V137,Tablas!B$1)="","",$F121&amp;INDEX($V131:$V137,Tablas!B$1)))</f>
        <v/>
      </c>
      <c r="AN121" s="2785" t="str">
        <f>IF(AND(ISNUMBER(MATCH($F121,'Tablas Técnicas'!$L$10:$L$643,0)),INDEX($V131:$V137,Tablas!C$1)="",COUNTIF(AO121:$AS121,$F121)=0),$F121,IF(INDEX($V131:$V137,Tablas!C$1)="","",$F121&amp;INDEX($V131:$V137,Tablas!C$1)))</f>
        <v/>
      </c>
      <c r="AO121" s="2785" t="str">
        <f>IF(AND(ISNUMBER(MATCH($F121,'Tablas Técnicas'!$L$10:$L$643,0)),INDEX($V131:$V137,Tablas!D$1)="",COUNTIF(AP121:$AS121,$F121)=0),$F121,IF(INDEX($V131:$V137,Tablas!D$1)="","",$F121&amp;INDEX($V131:$V137,Tablas!D$1)))</f>
        <v/>
      </c>
      <c r="AP121" s="2785" t="str">
        <f>IF(AND(ISNUMBER(MATCH($F121,'Tablas Técnicas'!$L$10:$L$643,0)),INDEX($V131:$V137,Tablas!E$1)="",COUNTIF(AQ121:$AS121,$F121)=0),$F121,IF(INDEX($V131:$V137,Tablas!E$1)="","",$F121&amp;INDEX($V131:$V137,Tablas!E$1)))</f>
        <v/>
      </c>
      <c r="AQ121" s="2785" t="str">
        <f>IF(AND(ISNUMBER(MATCH($F121,'Tablas Técnicas'!$L$10:$L$643,0)),INDEX($V131:$V137,Tablas!F$1)="",COUNTIF(AR121:$AS121,$F121)=0),$F121,IF(INDEX($V131:$V137,Tablas!F$1)="","",$F121&amp;INDEX($V131:$V137,Tablas!F$1)))</f>
        <v/>
      </c>
      <c r="AR121" s="2785" t="str">
        <f>IF(AND(ISNUMBER(MATCH($F121,'Tablas Técnicas'!$L$10:$L$643,0)),INDEX($V131:$V137,Tablas!G$1)="",COUNTIF(AS121:$AS121,$F121)=0),$F121,IF(INDEX($V131:$V137,Tablas!G$1)="","",$F121&amp;INDEX($V131:$V137,Tablas!G$1)))</f>
        <v/>
      </c>
      <c r="AS121" s="2787">
        <f>V121+X121+Z121+AB121+AD121+AF121</f>
        <v>0</v>
      </c>
      <c r="AT121" s="2787">
        <f t="array" ref="AT121">SUM(IF($AL121:$AR121='Tablas Técnicas'!$L$10:$L$643,IF(D121="Primario",'Tablas Técnicas'!$E$10:$E$643,'Tablas Técnicas'!$F$10:$F$643)+IF(K121="Sostenimiento menor",'Tablas Técnicas'!$I$10:$I$643,IF(K121="sostenimiento mayor",'Tablas Técnicas'!$J$10:$J$643,0)),0),0)+VALUE(RIGHT(P121,2))+AU121+AV121</f>
        <v>0</v>
      </c>
      <c r="AU121" s="278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7">
        <f>(COUNTIF(AL121:AR121,"*Estado añadido:*")-1)*COUNTIF(AL121:AR121,"*Estado añadido:*")</f>
        <v>0</v>
      </c>
      <c r="AW121" s="2787">
        <f t="array" ref="AW121">SUM(IF($AL121:$AR121='Tablas Técnicas'!$L$10:$L$643,'Tablas Técnicas'!$G$10:$G$643,0))</f>
        <v>0</v>
      </c>
      <c r="AX121" s="2785" t="str">
        <f t="shared" si="28"/>
        <v/>
      </c>
      <c r="AY121" s="2785" t="str">
        <f>IFERROR(LEFT(AX121,LEN(AX121)-2)&amp;"), ","")</f>
        <v/>
      </c>
    </row>
    <row r="122" spans="1:51" ht="12.75" customHeight="1" thickBot="1" x14ac:dyDescent="0.25">
      <c r="A122" s="2487"/>
      <c r="B122" s="2368">
        <f t="shared" si="26"/>
        <v>4</v>
      </c>
      <c r="C122" s="4325"/>
      <c r="D122" s="4224" t="s">
        <v>526</v>
      </c>
      <c r="E122" s="4225"/>
      <c r="F122" s="4315"/>
      <c r="G122" s="4316"/>
      <c r="H122" s="4316"/>
      <c r="I122" s="4316"/>
      <c r="J122" s="4317"/>
      <c r="K122" s="4301" t="s">
        <v>1464</v>
      </c>
      <c r="L122" s="4302"/>
      <c r="M122" s="4303"/>
      <c r="N122" s="2489">
        <f>IF(AW122&gt;0,IF(VLOOKUP(F122,'Tablas Técnicas'!$O$9:$X$88,10,0),MAX(5,AW122-5),AW122),0)</f>
        <v>0</v>
      </c>
      <c r="O122" s="2489" t="str">
        <f>AS122&amp;" / "&amp;AT122</f>
        <v>0 / 0</v>
      </c>
      <c r="P122" s="2489" t="str">
        <f t="array" ref="P122">W122+Y122+AA122+AC122+AE122+AG122&amp;" / "&amp;IF(K122&lt;&gt;"Mantenido",0,SUM(IF($AL122:$AR122='Tablas Técnicas'!$L$10:$L$643,'Tablas Técnicas'!$H$10:$H$643,0)))</f>
        <v>0 / 0</v>
      </c>
      <c r="Q122" s="4226" t="str">
        <f>IFERROR(VLOOKUP(F122,'Tablas Técnicas'!$O$9:$T$88,5,FALSE),"")</f>
        <v/>
      </c>
      <c r="R122" s="4226"/>
      <c r="S122" s="4226"/>
      <c r="T122" s="4226"/>
      <c r="U122" s="4226"/>
      <c r="V122" s="2339"/>
      <c r="W122" s="2340"/>
      <c r="X122" s="2339"/>
      <c r="Y122" s="2341"/>
      <c r="Z122" s="2342"/>
      <c r="AA122" s="2340"/>
      <c r="AB122" s="2339"/>
      <c r="AC122" s="2341"/>
      <c r="AD122" s="2342"/>
      <c r="AE122" s="2340"/>
      <c r="AF122" s="2339"/>
      <c r="AG122" s="2343"/>
      <c r="AH122" s="2496"/>
      <c r="AI122" s="4328"/>
      <c r="AJ122" s="2785">
        <v>5</v>
      </c>
      <c r="AK122" s="2785">
        <f>P114</f>
        <v>1</v>
      </c>
      <c r="AL122" s="2785" t="str">
        <f>IF(AND(ISNUMBER(MATCH($F122,'Tablas Técnicas'!$L$10:$L$643,0)),INDEX($AB131:$AB137,Tablas!A$1)="",COUNTIF(AM122:$AS122,$F122)=0),$F122,IF(INDEX($AB131:$AB137,Tablas!A$1)="","",$F122&amp;INDEX($AB131:$AB137,Tablas!A$1)))</f>
        <v/>
      </c>
      <c r="AM122" s="2785" t="str">
        <f>IF(AND(ISNUMBER(MATCH($F122,'Tablas Técnicas'!$L$10:$L$643,0)),INDEX($AB131:$AB137,Tablas!B$1)="",COUNTIF(AN122:$AS122,$F122)=0),$F122,IF(INDEX($AB131:$AB137,Tablas!B$1)="","",$F122&amp;INDEX($AB131:$AB137,Tablas!B$1)))</f>
        <v/>
      </c>
      <c r="AN122" s="2785" t="str">
        <f>IF(AND(ISNUMBER(MATCH($F122,'Tablas Técnicas'!$L$10:$L$643,0)),INDEX($AB131:$AB137,Tablas!C$1)="",COUNTIF(AO122:$AS122,$F122)=0),$F122,IF(INDEX($AB131:$AB137,Tablas!C$1)="","",$F122&amp;INDEX($AB131:$AB137,Tablas!C$1)))</f>
        <v/>
      </c>
      <c r="AO122" s="2785" t="str">
        <f>IF(AND(ISNUMBER(MATCH($F122,'Tablas Técnicas'!$L$10:$L$643,0)),INDEX($AB131:$AB137,Tablas!D$1)="",COUNTIF(AP122:$AS122,$F122)=0),$F122,IF(INDEX($AB131:$AB137,Tablas!D$1)="","",$F122&amp;INDEX($AB131:$AB137,Tablas!D$1)))</f>
        <v/>
      </c>
      <c r="AP122" s="2785" t="str">
        <f>IF(AND(ISNUMBER(MATCH($F122,'Tablas Técnicas'!$L$10:$L$643,0)),INDEX($AB131:$AB137,Tablas!E$1)="",COUNTIF(AQ122:$AS122,$F122)=0),$F122,IF(INDEX($AB131:$AB137,Tablas!E$1)="","",$F122&amp;INDEX($AB131:$AB137,Tablas!E$1)))</f>
        <v/>
      </c>
      <c r="AQ122" s="2785" t="str">
        <f>IF(AND(ISNUMBER(MATCH($F122,'Tablas Técnicas'!$L$10:$L$643,0)),INDEX($AB131:$AB137,Tablas!F$1)="",COUNTIF(AR122:$AS122,$F122)=0),$F122,IF(INDEX($AB131:$AB137,Tablas!F$1)="","",$F122&amp;INDEX($AB131:$AB137,Tablas!F$1)))</f>
        <v/>
      </c>
      <c r="AR122" s="2785" t="str">
        <f>IF(AND(ISNUMBER(MATCH($F122,'Tablas Técnicas'!$L$10:$L$643,0)),INDEX($AB131:$AB137,Tablas!G$1)="",COUNTIF(AS122:$AS122,$F122)=0),$F122,IF(INDEX($AB131:$AB137,Tablas!G$1)="","",$F122&amp;INDEX($AB131:$AB137,Tablas!G$1)))</f>
        <v/>
      </c>
      <c r="AS122" s="2787">
        <f>V122+X122+Z122+AB122+AD122+AF122</f>
        <v>0</v>
      </c>
      <c r="AT122" s="2787">
        <f t="array" ref="AT122">SUM(IF($AL122:$AR122='Tablas Técnicas'!$L$10:$L$643,IF(D122="Primario",'Tablas Técnicas'!$E$10:$E$643,'Tablas Técnicas'!$F$10:$F$643)+IF(K122="Sostenimiento menor",'Tablas Técnicas'!$I$10:$I$643,IF(K122="sostenimiento mayor",'Tablas Técnicas'!$J$10:$J$643,0)),0),0)+VALUE(RIGHT(P122,2))+AU122+AV122</f>
        <v>0</v>
      </c>
      <c r="AU122" s="278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7">
        <f>(COUNTIF(AL122:AR122,"*Estado añadido:*")-1)*COUNTIF(AL122:AR122,"*Estado añadido:*")</f>
        <v>0</v>
      </c>
      <c r="AW122" s="2787">
        <f t="array" ref="AW122">SUM(IF($AL122:$AR122='Tablas Técnicas'!$L$10:$L$643,'Tablas Técnicas'!$G$10:$G$643,0))</f>
        <v>0</v>
      </c>
      <c r="AX122" s="2785" t="str">
        <f t="shared" si="28"/>
        <v/>
      </c>
      <c r="AY122" s="2785" t="str">
        <f t="shared" ref="AY122" si="29">IFERROR(LEFT(AX122,LEN(AX122)-2)&amp;"), ","")</f>
        <v/>
      </c>
    </row>
    <row r="123" spans="1:51" ht="12.75" customHeight="1" x14ac:dyDescent="0.2">
      <c r="A123" s="2487"/>
      <c r="B123" s="2368">
        <f t="shared" si="26"/>
        <v>4</v>
      </c>
      <c r="C123" s="4325"/>
      <c r="D123" s="4274" t="s">
        <v>2905</v>
      </c>
      <c r="E123" s="4275"/>
      <c r="F123" s="4264"/>
      <c r="G123" s="4265"/>
      <c r="H123" s="4265"/>
      <c r="I123" s="4265"/>
      <c r="J123" s="4266"/>
      <c r="K123" s="4240"/>
      <c r="L123" s="4241"/>
      <c r="M123" s="4242"/>
      <c r="N123" s="2196" t="str">
        <f>IFERROR(INDEX('Tablas Técnicas'!$Q$200:$Q$299,MATCH(F123&amp;K123,'Tablas Técnicas'!$S$200:$S$299,0)),"")</f>
        <v/>
      </c>
      <c r="O123" s="4243"/>
      <c r="P123" s="4244"/>
      <c r="Q123" s="4245"/>
      <c r="R123" s="4244"/>
      <c r="S123" s="2374" t="str">
        <f>IFERROR("Nivel: "&amp;MAX(1,INDEX('Tablas Técnicas'!$R$200:$R$299,MATCH(F123&amp;K123,'Tablas Técnicas'!$S$200:$S$299,0))),"")</f>
        <v/>
      </c>
      <c r="T123" s="2197"/>
      <c r="U123" s="2198" t="str">
        <f>IFERROR("("&amp;VLOOKUP(F123,'Tablas Técnicas'!$V$199:$X$225,3,FALSE)&amp;")","")</f>
        <v/>
      </c>
      <c r="V123" s="4187" t="s">
        <v>9924</v>
      </c>
      <c r="W123" s="4188"/>
      <c r="X123" s="4189"/>
      <c r="Y123" s="2666">
        <v>0</v>
      </c>
      <c r="Z123" s="4190" t="s">
        <v>9094</v>
      </c>
      <c r="AA123" s="4191"/>
      <c r="AB123" s="4192"/>
      <c r="AC123" s="2666">
        <v>0</v>
      </c>
      <c r="AD123" s="4193" t="str">
        <f>"Ki sin repartir: "&amp;AL131-AL132&amp;IF(AM131=0,""," ("&amp;AM131-AM132&amp;")")</f>
        <v>Ki sin repartir: 0</v>
      </c>
      <c r="AE123" s="4194"/>
      <c r="AF123" s="4194"/>
      <c r="AG123" s="4195"/>
      <c r="AH123" s="2496"/>
      <c r="AI123" s="4328"/>
      <c r="AJ123" s="2785">
        <v>1</v>
      </c>
      <c r="AK123" s="2785">
        <f>P114</f>
        <v>1</v>
      </c>
      <c r="AL123" s="2785" t="e">
        <f>VLOOKUP(F123,'Tablas Técnicas'!$V$199:$X$221,2,FALSE)</f>
        <v>#N/A</v>
      </c>
      <c r="AM123" s="2785"/>
      <c r="AN123" s="2786"/>
      <c r="AO123" s="2785"/>
      <c r="AP123" s="2785"/>
      <c r="AQ123" s="2786"/>
      <c r="AR123" s="2785"/>
      <c r="AS123" s="2785"/>
      <c r="AT123" s="2785"/>
      <c r="AU123" s="2785"/>
      <c r="AV123" s="2785"/>
      <c r="AW123" s="2787"/>
      <c r="AX123" s="2787"/>
      <c r="AY123" s="2785" t="str">
        <f>IF(F123="","",F123&amp;IF(K123="",""," ("&amp;IF(F123="Atadura Elemental",O123&amp;IF(Q123="","",", "&amp;Q123),K123)&amp;")")&amp;", ")</f>
        <v/>
      </c>
    </row>
    <row r="124" spans="1:51" ht="11.25" customHeight="1" x14ac:dyDescent="0.2">
      <c r="A124" s="2487"/>
      <c r="B124" s="2368">
        <f t="shared" si="26"/>
        <v>4</v>
      </c>
      <c r="C124" s="4325"/>
      <c r="D124" s="4276"/>
      <c r="E124" s="4277"/>
      <c r="F124" s="4246"/>
      <c r="G124" s="4247"/>
      <c r="H124" s="4247"/>
      <c r="I124" s="4247"/>
      <c r="J124" s="4248"/>
      <c r="K124" s="4249"/>
      <c r="L124" s="4250"/>
      <c r="M124" s="4251"/>
      <c r="N124" s="2199" t="str">
        <f>IFERROR(INDEX('Tablas Técnicas'!$Q$200:$Q$299,MATCH(F124&amp;K124,'Tablas Técnicas'!$S$200:$S$299,0)),"")</f>
        <v/>
      </c>
      <c r="O124" s="4252"/>
      <c r="P124" s="4253"/>
      <c r="Q124" s="4254"/>
      <c r="R124" s="4253"/>
      <c r="S124" s="2192" t="str">
        <f>IFERROR("Nivel: "&amp;MAX(1,INDEX('Tablas Técnicas'!$R$200:$R$299,MATCH(F124&amp;K124,'Tablas Técnicas'!$S$200:$S$299,0))),"")</f>
        <v/>
      </c>
      <c r="T124" s="2302"/>
      <c r="U124" s="2191" t="str">
        <f>IFERROR("("&amp;VLOOKUP(F124,'Tablas Técnicas'!$V$199:$X$225,3,FALSE)&amp;")","")</f>
        <v/>
      </c>
      <c r="V124" s="4184" t="str">
        <f>"Mod. "&amp;V116</f>
        <v>Mod. AGI</v>
      </c>
      <c r="W124" s="4185"/>
      <c r="X124" s="4184" t="str">
        <f t="shared" ref="X124" si="30">"Mod. "&amp;X116</f>
        <v>Mod. CON</v>
      </c>
      <c r="Y124" s="4185"/>
      <c r="Z124" s="4184" t="str">
        <f t="shared" ref="Z124" si="31">"Mod. "&amp;Z116</f>
        <v>Mod. DES</v>
      </c>
      <c r="AA124" s="4185"/>
      <c r="AB124" s="4184" t="str">
        <f t="shared" ref="AB124" si="32">"Mod. "&amp;AB116</f>
        <v>Mod. FUE</v>
      </c>
      <c r="AC124" s="4185"/>
      <c r="AD124" s="4184" t="str">
        <f t="shared" ref="AD124" si="33">"Mod. "&amp;AD116</f>
        <v>Mod. POD</v>
      </c>
      <c r="AE124" s="4185"/>
      <c r="AF124" s="4184" t="str">
        <f t="shared" ref="AF124" si="34">"Mod. "&amp;AF116</f>
        <v>Mod. VOL</v>
      </c>
      <c r="AG124" s="4186"/>
      <c r="AH124" s="2496"/>
      <c r="AI124" s="4328"/>
      <c r="AJ124" s="2785">
        <v>2</v>
      </c>
      <c r="AK124" s="2785">
        <f>P114</f>
        <v>1</v>
      </c>
      <c r="AL124" s="2785" t="e">
        <f>VLOOKUP(F124,'Tablas Técnicas'!$V$199:$X$221,2,FALSE)</f>
        <v>#N/A</v>
      </c>
      <c r="AM124" s="2785"/>
      <c r="AN124" s="2786"/>
      <c r="AO124" s="2785"/>
      <c r="AP124" s="2785"/>
      <c r="AQ124" s="2786"/>
      <c r="AR124" s="2785"/>
      <c r="AS124" s="2785"/>
      <c r="AT124" s="2785"/>
      <c r="AU124" s="2785"/>
      <c r="AV124" s="2785"/>
      <c r="AW124" s="2787"/>
      <c r="AX124" s="2787"/>
      <c r="AY124" s="2785" t="str">
        <f>IF(F124="","",F124&amp;IF(K124="",""," ("&amp;IF(F124="Atadura Elemental",O124&amp;IF(Q124="","",", "&amp;Q124),K124)&amp;")")&amp;", ")</f>
        <v/>
      </c>
    </row>
    <row r="125" spans="1:51" ht="12.75" customHeight="1" thickBot="1" x14ac:dyDescent="0.25">
      <c r="A125" s="2487"/>
      <c r="B125" s="2368">
        <f t="shared" si="26"/>
        <v>4</v>
      </c>
      <c r="C125" s="4325"/>
      <c r="D125" s="4278"/>
      <c r="E125" s="4279"/>
      <c r="F125" s="4255"/>
      <c r="G125" s="4256"/>
      <c r="H125" s="4256"/>
      <c r="I125" s="4256"/>
      <c r="J125" s="4257"/>
      <c r="K125" s="4258"/>
      <c r="L125" s="4259"/>
      <c r="M125" s="4260"/>
      <c r="N125" s="2200" t="str">
        <f>IFERROR(INDEX('Tablas Técnicas'!$Q$200:$Q$299,MATCH(F125&amp;K125,'Tablas Técnicas'!$S$200:$S$299,0)),"")</f>
        <v/>
      </c>
      <c r="O125" s="4261"/>
      <c r="P125" s="4262"/>
      <c r="Q125" s="4263"/>
      <c r="R125" s="4262"/>
      <c r="S125" s="2489" t="str">
        <f>IFERROR("Nivel: "&amp;MAX(1,INDEX('Tablas Técnicas'!$R$200:$R$299,MATCH(F125&amp;K125,'Tablas Técnicas'!$S$200:$S$299,0))),"")</f>
        <v/>
      </c>
      <c r="T125" s="2490"/>
      <c r="U125" s="2303" t="str">
        <f>IFERROR("("&amp;VLOOKUP(F125,'Tablas Técnicas'!$V$199:$X$225,3,FALSE)&amp;")","")</f>
        <v/>
      </c>
      <c r="V125" s="4199"/>
      <c r="W125" s="4198"/>
      <c r="X125" s="4198"/>
      <c r="Y125" s="4198"/>
      <c r="Z125" s="4198"/>
      <c r="AA125" s="4198"/>
      <c r="AB125" s="4198"/>
      <c r="AC125" s="4198"/>
      <c r="AD125" s="4198"/>
      <c r="AE125" s="4198"/>
      <c r="AF125" s="4198"/>
      <c r="AG125" s="4267"/>
      <c r="AH125" s="2496"/>
      <c r="AI125" s="4328"/>
      <c r="AJ125" s="2785">
        <v>3</v>
      </c>
      <c r="AK125" s="2785">
        <f>P114</f>
        <v>1</v>
      </c>
      <c r="AL125" s="2785" t="e">
        <f>VLOOKUP(F125,'Tablas Técnicas'!$V$199:$X$221,2,FALSE)</f>
        <v>#N/A</v>
      </c>
      <c r="AM125" s="2785"/>
      <c r="AN125" s="2786"/>
      <c r="AO125" s="2785"/>
      <c r="AP125" s="2785"/>
      <c r="AQ125" s="2786"/>
      <c r="AR125" s="2787"/>
      <c r="AS125" s="2787"/>
      <c r="AT125" s="2787"/>
      <c r="AU125" s="2787"/>
      <c r="AV125" s="2787"/>
      <c r="AW125" s="2787"/>
      <c r="AX125" s="2787"/>
      <c r="AY125" s="2785" t="str">
        <f>IF(F125="","",F125&amp;IF(K125="",""," ("&amp;IF(F125="Atadura Elemental",O125&amp;IF(Q125="","",", "&amp;Q125),K125)&amp;")")&amp;", ")</f>
        <v/>
      </c>
    </row>
    <row r="126" spans="1:51" ht="12.75" customHeight="1" x14ac:dyDescent="0.2">
      <c r="A126" s="2487"/>
      <c r="B126" s="2368">
        <f t="shared" si="26"/>
        <v>4</v>
      </c>
      <c r="C126" s="4325"/>
      <c r="D126" s="4213" t="s">
        <v>9596</v>
      </c>
      <c r="E126" s="4214"/>
      <c r="F126" s="4214"/>
      <c r="G126" s="4214"/>
      <c r="H126" s="4214"/>
      <c r="I126" s="4214"/>
      <c r="J126" s="4214"/>
      <c r="K126" s="4214"/>
      <c r="L126" s="4214"/>
      <c r="M126" s="4214"/>
      <c r="N126" s="4214"/>
      <c r="O126" s="4214"/>
      <c r="P126" s="4214"/>
      <c r="Q126" s="4214"/>
      <c r="R126" s="4214"/>
      <c r="S126" s="4214"/>
      <c r="T126" s="4214"/>
      <c r="U126" s="4214"/>
      <c r="V126" s="4215"/>
      <c r="W126" s="4215"/>
      <c r="X126" s="4215"/>
      <c r="Y126" s="4215"/>
      <c r="Z126" s="4215"/>
      <c r="AA126" s="4215"/>
      <c r="AB126" s="4215"/>
      <c r="AC126" s="4215"/>
      <c r="AD126" s="4215"/>
      <c r="AE126" s="4215"/>
      <c r="AF126" s="4215"/>
      <c r="AG126" s="4216"/>
      <c r="AH126" s="2496"/>
      <c r="AI126" s="4328"/>
      <c r="AJ126" s="2785"/>
      <c r="AK126" s="2785"/>
      <c r="AL126" s="2785"/>
      <c r="AM126" s="2785"/>
      <c r="AN126" s="2786" t="s">
        <v>9095</v>
      </c>
      <c r="AO126" s="2785" t="e">
        <f>LEFT(AY118&amp;AY119&amp;AY120&amp;AY121&amp;AY122,LEN(AY118&amp;AY119&amp;AY120&amp;AY121&amp;AY122)-2)</f>
        <v>#VALUE!</v>
      </c>
      <c r="AP126" s="2785"/>
      <c r="AQ126" s="2786"/>
      <c r="AR126" s="2787"/>
      <c r="AS126" s="2787"/>
      <c r="AT126" s="2787"/>
      <c r="AU126" s="2786"/>
      <c r="AV126" s="2786"/>
      <c r="AW126" s="2787"/>
      <c r="AX126" s="2787"/>
      <c r="AY126" s="2785"/>
    </row>
    <row r="127" spans="1:51" ht="12.75" customHeight="1" x14ac:dyDescent="0.2">
      <c r="A127" s="2487"/>
      <c r="B127" s="2368">
        <f t="shared" si="26"/>
        <v>4</v>
      </c>
      <c r="C127" s="4325"/>
      <c r="D127" s="4217" t="str">
        <f>IF(F118="","",F118)</f>
        <v/>
      </c>
      <c r="E127" s="4211"/>
      <c r="F127" s="4211"/>
      <c r="G127" s="4211"/>
      <c r="H127" s="4211"/>
      <c r="I127" s="4218"/>
      <c r="J127" s="4217" t="str">
        <f>IF(F119="","",F119)</f>
        <v/>
      </c>
      <c r="K127" s="4211"/>
      <c r="L127" s="4211"/>
      <c r="M127" s="4211"/>
      <c r="N127" s="4211"/>
      <c r="O127" s="4218"/>
      <c r="P127" s="4211" t="str">
        <f>IF(F120="","",F120)</f>
        <v/>
      </c>
      <c r="Q127" s="4211"/>
      <c r="R127" s="4211"/>
      <c r="S127" s="4211"/>
      <c r="T127" s="4211"/>
      <c r="U127" s="4218"/>
      <c r="V127" s="4217" t="str">
        <f>IF(F121="","",F121)</f>
        <v/>
      </c>
      <c r="W127" s="4211"/>
      <c r="X127" s="4211"/>
      <c r="Y127" s="4211"/>
      <c r="Z127" s="4211"/>
      <c r="AA127" s="4218"/>
      <c r="AB127" s="4211" t="str">
        <f>IF(F122="","",F122)</f>
        <v/>
      </c>
      <c r="AC127" s="4211"/>
      <c r="AD127" s="4211"/>
      <c r="AE127" s="4211"/>
      <c r="AF127" s="4211"/>
      <c r="AG127" s="4212"/>
      <c r="AH127" s="2496"/>
      <c r="AI127" s="4328"/>
      <c r="AJ127" s="2785"/>
      <c r="AK127" s="2785"/>
      <c r="AL127" s="2785"/>
      <c r="AM127" s="2785"/>
      <c r="AN127" s="2786" t="s">
        <v>9096</v>
      </c>
      <c r="AO127" s="2785" t="e">
        <f>LEFT(AY123&amp;AY124&amp;AY125,LEN(AY123&amp;AY124&amp;AY125)-2)</f>
        <v>#VALUE!</v>
      </c>
      <c r="AP127" s="2785"/>
      <c r="AQ127" s="2786"/>
      <c r="AR127" s="2787"/>
      <c r="AS127" s="2787"/>
      <c r="AT127" s="2787"/>
      <c r="AU127" s="2786"/>
      <c r="AV127" s="2786"/>
      <c r="AW127" s="2787"/>
      <c r="AX127" s="2787"/>
      <c r="AY127" s="2785"/>
    </row>
    <row r="128" spans="1:51" ht="12.75" customHeight="1" x14ac:dyDescent="0.2">
      <c r="A128" s="2487"/>
      <c r="B128" s="2368">
        <f t="shared" si="26"/>
        <v>4</v>
      </c>
      <c r="C128" s="4325"/>
      <c r="D128" s="2312" t="s">
        <v>1845</v>
      </c>
      <c r="E128" s="2188" t="str">
        <f>IFERROR(VLOOKUP(D127,'Tablas Técnicas'!$O$9:$T$88,3,FALSE),"")</f>
        <v/>
      </c>
      <c r="F128" s="2305"/>
      <c r="G128" s="2304"/>
      <c r="H128" s="2304" t="s">
        <v>1371</v>
      </c>
      <c r="I128" s="2188" t="str">
        <f>IFERROR(VLOOKUP(D127,'Tablas Técnicas'!$O$9:$T$88,4,FALSE),"")</f>
        <v/>
      </c>
      <c r="J128" s="2312" t="s">
        <v>1845</v>
      </c>
      <c r="K128" s="2188" t="str">
        <f>IFERROR(VLOOKUP(J127,'Tablas Técnicas'!$O$9:$T$88,3,FALSE),"")</f>
        <v/>
      </c>
      <c r="L128" s="2305"/>
      <c r="M128" s="2304"/>
      <c r="N128" s="2304" t="s">
        <v>1371</v>
      </c>
      <c r="O128" s="2201" t="str">
        <f>IFERROR(VLOOKUP(J127,'Tablas Técnicas'!$O$9:$T$88,4,FALSE),"")</f>
        <v/>
      </c>
      <c r="P128" s="2304" t="s">
        <v>1845</v>
      </c>
      <c r="Q128" s="2188" t="str">
        <f>IFERROR(VLOOKUP(P127,'Tablas Técnicas'!$O$9:$T$88,3,FALSE),"")</f>
        <v/>
      </c>
      <c r="R128" s="2305"/>
      <c r="S128" s="2304"/>
      <c r="T128" s="2304" t="s">
        <v>1371</v>
      </c>
      <c r="U128" s="2188" t="str">
        <f>IFERROR(VLOOKUP(P127,'Tablas Técnicas'!$O$9:$T$88,4,FALSE),"")</f>
        <v/>
      </c>
      <c r="V128" s="2312" t="s">
        <v>1845</v>
      </c>
      <c r="W128" s="2188" t="str">
        <f>IFERROR(VLOOKUP(V127,'Tablas Técnicas'!$O$9:$T$88,3,FALSE),"")</f>
        <v/>
      </c>
      <c r="X128" s="2305"/>
      <c r="Y128" s="2304"/>
      <c r="Z128" s="2304" t="s">
        <v>1371</v>
      </c>
      <c r="AA128" s="2201" t="str">
        <f>IFERROR(VLOOKUP(V127,'Tablas Técnicas'!$O$9:$T$88,4,FALSE),"")</f>
        <v/>
      </c>
      <c r="AB128" s="2304" t="s">
        <v>1845</v>
      </c>
      <c r="AC128" s="2188" t="str">
        <f>IFERROR(VLOOKUP(AB127,'Tablas Técnicas'!$O$9:$T$88,3,FALSE),"")</f>
        <v/>
      </c>
      <c r="AD128" s="2305"/>
      <c r="AE128" s="2304"/>
      <c r="AF128" s="2304" t="s">
        <v>1371</v>
      </c>
      <c r="AG128" s="2202" t="str">
        <f>IFERROR(VLOOKUP(AB127,'Tablas Técnicas'!$O$9:$T$88,4,FALSE),"")</f>
        <v/>
      </c>
      <c r="AH128" s="2496"/>
      <c r="AI128" s="4328"/>
      <c r="AJ128" s="2785"/>
      <c r="AK128" s="2785"/>
      <c r="AL128" s="2785"/>
      <c r="AM128" s="2785"/>
      <c r="AN128" s="2786"/>
      <c r="AO128" s="2785"/>
      <c r="AP128" s="2785"/>
      <c r="AQ128" s="2786"/>
      <c r="AR128" s="2787"/>
      <c r="AS128" s="2787"/>
      <c r="AT128" s="2787"/>
      <c r="AU128" s="2787"/>
      <c r="AV128" s="2787"/>
      <c r="AW128" s="2787"/>
      <c r="AX128" s="2787"/>
      <c r="AY128" s="2785"/>
    </row>
    <row r="129" spans="1:51" ht="12.75" customHeight="1" x14ac:dyDescent="0.2">
      <c r="A129" s="2487"/>
      <c r="B129" s="2368">
        <f t="shared" si="26"/>
        <v>4</v>
      </c>
      <c r="C129" s="4325"/>
      <c r="D129" s="2313" t="s">
        <v>9097</v>
      </c>
      <c r="E129" s="2304"/>
      <c r="F129" s="2305"/>
      <c r="G129" s="2306"/>
      <c r="H129" s="2306"/>
      <c r="I129" s="2303" t="str">
        <f>IFERROR(IF(D127="Ataque Elemental",IF(NOT(ISNA(VLOOKUP(D131,'Tablas Técnicas'!$Z$25:$Z$30,1,0))),D131,"Variable"),VLOOKUP(D127,'Tablas Técnicas'!$O$9:$W$88,9,FALSE)),"")</f>
        <v/>
      </c>
      <c r="J129" s="2203" t="s">
        <v>9097</v>
      </c>
      <c r="K129" s="2491"/>
      <c r="L129" s="2492"/>
      <c r="M129" s="2493"/>
      <c r="N129" s="2493"/>
      <c r="O129" s="2204" t="str">
        <f>IFERROR(IF(J127="Ataque Elemental",IF(NOT(ISNA(VLOOKUP(J131,'Tablas Técnicas'!$Z$25:$Z$30,1,0))),J131,"Variable"),VLOOKUP(J127,'Tablas Técnicas'!$O$9:$W$88,9,FALSE)),"")</f>
        <v/>
      </c>
      <c r="P129" s="2494" t="s">
        <v>9097</v>
      </c>
      <c r="Q129" s="2491"/>
      <c r="R129" s="2492"/>
      <c r="S129" s="2493"/>
      <c r="T129" s="2493"/>
      <c r="U129" s="2303" t="str">
        <f>IFERROR(IF(P127="Ataque Elemental",IF(NOT(ISNA(VLOOKUP(P131,'Tablas Técnicas'!$Z$25:$Z$30,1,0))),P131,"Variable"),VLOOKUP(P127,'Tablas Técnicas'!$O$9:$W$88,9,FALSE)),"")</f>
        <v/>
      </c>
      <c r="V129" s="2203" t="s">
        <v>9097</v>
      </c>
      <c r="W129" s="2491"/>
      <c r="X129" s="2492"/>
      <c r="Y129" s="2493"/>
      <c r="Z129" s="2493"/>
      <c r="AA129" s="2204" t="str">
        <f>IFERROR(IF(V127="Ataque Elemental",IF(NOT(ISNA(VLOOKUP(V131,'Tablas Técnicas'!$Z$25:$Z$30,1,0))),V131,"Variable"),VLOOKUP(V127,'Tablas Técnicas'!$O$9:$W$88,9,FALSE)),"")</f>
        <v/>
      </c>
      <c r="AB129" s="2494" t="s">
        <v>9097</v>
      </c>
      <c r="AC129" s="2491"/>
      <c r="AD129" s="2492"/>
      <c r="AE129" s="2493"/>
      <c r="AF129" s="2493"/>
      <c r="AG129" s="2319" t="str">
        <f>IFERROR(IF(AB127="Ataque Elemental",IF(NOT(ISNA(VLOOKUP(AB131,'Tablas Técnicas'!$Z$25:$Z$30,1,0))),AB131,"Variable"),VLOOKUP(AB127,'Tablas Técnicas'!$O$9:$W$88,9,FALSE)),"")</f>
        <v/>
      </c>
      <c r="AH129" s="2496"/>
      <c r="AI129" s="4328"/>
      <c r="AJ129" s="2785"/>
      <c r="AK129" s="2787" t="s">
        <v>1381</v>
      </c>
      <c r="AL129" s="2787" t="s">
        <v>1506</v>
      </c>
      <c r="AM129" s="2787" t="s">
        <v>1386</v>
      </c>
      <c r="AN129" s="2787" t="s">
        <v>1391</v>
      </c>
      <c r="AO129" s="2787" t="s">
        <v>1399</v>
      </c>
      <c r="AP129" s="2787" t="s">
        <v>1400</v>
      </c>
      <c r="AQ129" s="2786"/>
      <c r="AR129" s="2787"/>
      <c r="AS129" s="2787"/>
      <c r="AT129" s="2787"/>
      <c r="AU129" s="2787"/>
      <c r="AV129" s="2787"/>
      <c r="AW129" s="2787"/>
      <c r="AX129" s="2787"/>
      <c r="AY129" s="2785"/>
    </row>
    <row r="130" spans="1:51" ht="12.75" customHeight="1" x14ac:dyDescent="0.2">
      <c r="A130" s="2487"/>
      <c r="B130" s="2368">
        <f t="shared" si="26"/>
        <v>4</v>
      </c>
      <c r="C130" s="4325"/>
      <c r="D130" s="4217" t="s">
        <v>2913</v>
      </c>
      <c r="E130" s="4211"/>
      <c r="F130" s="4211"/>
      <c r="G130" s="4211"/>
      <c r="H130" s="4218"/>
      <c r="I130" s="2205" t="s">
        <v>1411</v>
      </c>
      <c r="J130" s="4217" t="s">
        <v>2913</v>
      </c>
      <c r="K130" s="4211"/>
      <c r="L130" s="4211"/>
      <c r="M130" s="4211"/>
      <c r="N130" s="4218"/>
      <c r="O130" s="2206" t="s">
        <v>1411</v>
      </c>
      <c r="P130" s="4217" t="s">
        <v>2913</v>
      </c>
      <c r="Q130" s="4211"/>
      <c r="R130" s="4211"/>
      <c r="S130" s="4211"/>
      <c r="T130" s="4218"/>
      <c r="U130" s="2206" t="s">
        <v>1411</v>
      </c>
      <c r="V130" s="4217"/>
      <c r="W130" s="4211"/>
      <c r="X130" s="4211"/>
      <c r="Y130" s="4211"/>
      <c r="Z130" s="4218"/>
      <c r="AA130" s="2206" t="s">
        <v>1411</v>
      </c>
      <c r="AB130" s="4217" t="s">
        <v>2913</v>
      </c>
      <c r="AC130" s="4211"/>
      <c r="AD130" s="4211"/>
      <c r="AE130" s="4211"/>
      <c r="AF130" s="4218"/>
      <c r="AG130" s="2207" t="s">
        <v>1411</v>
      </c>
      <c r="AH130" s="2496"/>
      <c r="AI130" s="4328"/>
      <c r="AJ130" s="2790" t="s">
        <v>9633</v>
      </c>
      <c r="AK130" s="2785" t="str">
        <f>IF(V116="","",IF(SUM(V118:V122)=0,"",V116&amp;" "&amp;SUM(V118:V122)+V125&amp;IF(SUM(W118:W122)=0,""," ("&amp;SUM(W118:W122)&amp;")")&amp;", "))</f>
        <v/>
      </c>
      <c r="AL130" s="2785" t="str">
        <f>IF(X116="","",IF(SUM(X118:X122)=0,"",X116&amp;" "&amp;SUM(X118:X122)+X125&amp;IF(SUM(Y118:Y122)=0,""," ("&amp;SUM(Y118:Y122)&amp;")")&amp;", "))</f>
        <v/>
      </c>
      <c r="AM130" s="2785" t="str">
        <f>IF(Z116="","",IF(SUM(Z118:Z122)=0,"",Z116&amp;" "&amp;SUM(Z118:Z122)+Z125&amp;IF(SUM(AA118:AA122)=0,""," ("&amp;SUM(AA118:AA122)&amp;")")&amp;", "))</f>
        <v/>
      </c>
      <c r="AN130" s="2785" t="str">
        <f>IF(AB116="","",IF(SUM(AB118:AB122)=0,"",AB116&amp;" "&amp;SUM(AB118:AB122)+AB125&amp;IF(SUM(AC118:AC122)=0,""," ("&amp;SUM(AC118:AC122)&amp;")")&amp;", "))</f>
        <v/>
      </c>
      <c r="AO130" s="2785" t="str">
        <f>IF(AD116="","",IF(SUM(AD118:AD122)=0,"",AD116&amp;" "&amp;SUM(AD118:AD122)+AD125&amp;IF(SUM(AE118:AE122)=0,""," ("&amp;SUM(AE118:AE122)&amp;")")&amp;", "))</f>
        <v/>
      </c>
      <c r="AP130" s="2785" t="str">
        <f>IF(AF116="","",IF(SUM(AF118:AF122)=0,"",AF116&amp;" "&amp;SUM(AF118:AF122)+AF125&amp;IF(SUM(AG118:AG122)=0,""," ("&amp;SUM(AG118:AG122)&amp;")")&amp;", "))</f>
        <v/>
      </c>
      <c r="AQ130" s="2785"/>
      <c r="AR130" s="2785"/>
      <c r="AS130" s="2785"/>
      <c r="AT130" s="2785"/>
      <c r="AU130" s="2785"/>
      <c r="AV130" s="2785"/>
      <c r="AW130" s="2785"/>
      <c r="AX130" s="2785"/>
      <c r="AY130" s="2785"/>
    </row>
    <row r="131" spans="1:51" ht="12.75" customHeight="1" x14ac:dyDescent="0.2">
      <c r="A131" s="2487"/>
      <c r="B131" s="2368">
        <f t="shared" si="26"/>
        <v>4</v>
      </c>
      <c r="C131" s="4325"/>
      <c r="D131" s="4219"/>
      <c r="E131" s="4197"/>
      <c r="F131" s="4197"/>
      <c r="G131" s="4197"/>
      <c r="H131" s="4197"/>
      <c r="I131" s="2208" t="str">
        <f>IF(OR(D127="",D131=""),"",MAX(1,SUMPRODUCT(--(INDEX('Tablas Técnicas'!$C$10:$L$643,,1)=D127),--(INDEX('Tablas Técnicas'!$C$10:$L$643,,2)=D131),INDEX('Tablas Técnicas'!$C$10:$L$643,,9))))</f>
        <v/>
      </c>
      <c r="J131" s="4196"/>
      <c r="K131" s="4197"/>
      <c r="L131" s="4197"/>
      <c r="M131" s="4197"/>
      <c r="N131" s="4197"/>
      <c r="O131" s="2208" t="str">
        <f>IF(OR(J127="",J131=""),"",MAX(1,SUMPRODUCT(--(INDEX('Tablas Técnicas'!$C$10:$L$643,,1)=J127),--(INDEX('Tablas Técnicas'!$C$10:$L$643,,2)=J131),INDEX('Tablas Técnicas'!$C$10:$L$643,,9))))</f>
        <v/>
      </c>
      <c r="P131" s="4196"/>
      <c r="Q131" s="4197"/>
      <c r="R131" s="4197"/>
      <c r="S131" s="4197"/>
      <c r="T131" s="4197"/>
      <c r="U131" s="2208" t="str">
        <f>IF(OR(P127="",P131=""),"",MAX(1,SUMPRODUCT(--(INDEX('Tablas Técnicas'!$C$10:$L$643,,1)=P127),--(INDEX('Tablas Técnicas'!$C$10:$L$643,,2)=P131),INDEX('Tablas Técnicas'!$C$10:$L$643,,9))))</f>
        <v/>
      </c>
      <c r="V131" s="4196"/>
      <c r="W131" s="4197"/>
      <c r="X131" s="4197"/>
      <c r="Y131" s="4197"/>
      <c r="Z131" s="4197"/>
      <c r="AA131" s="2208" t="str">
        <f>IF(OR(V127="",V131=""),"",MAX(1,SUMPRODUCT(--(INDEX('Tablas Técnicas'!$C$10:$L$643,,1)=V127),--(INDEX('Tablas Técnicas'!$C$10:$L$643,,2)=V131),INDEX('Tablas Técnicas'!$C$10:$L$643,,9))))</f>
        <v/>
      </c>
      <c r="AB131" s="4196"/>
      <c r="AC131" s="4197"/>
      <c r="AD131" s="4197"/>
      <c r="AE131" s="4197"/>
      <c r="AF131" s="4197"/>
      <c r="AG131" s="2209" t="str">
        <f>IF(OR(AB127="",AB131=""),"",MAX(1,SUMPRODUCT(--(INDEX('Tablas Técnicas'!$C$10:$L$643,,1)=AB127),--(INDEX('Tablas Técnicas'!$C$10:$L$643,,2)=AB131),INDEX('Tablas Técnicas'!$C$10:$L$643,,9))))</f>
        <v/>
      </c>
      <c r="AH131" s="2496">
        <f>P114</f>
        <v>1</v>
      </c>
      <c r="AI131" s="4328"/>
      <c r="AJ131" s="2785" t="s">
        <v>9597</v>
      </c>
      <c r="AK131" s="2785"/>
      <c r="AL131" s="2785">
        <f>MAX(0,SUM(AT118:AT122)+ABS($AC123*2/5))+IF(AM140,0,Y123)+IF(S114="Si",3*P114,0)</f>
        <v>0</v>
      </c>
      <c r="AM131" s="2785">
        <f t="array" ref="AM131">IF(ISNUMBER(SEARCH("Mantenido",K118&amp;K119&amp;K120&amp;K121&amp;K122)),MAX(0,SUM(VALUE(RIGHT($P118:$P122,2)))),0)</f>
        <v>0</v>
      </c>
      <c r="AN131" s="2787"/>
      <c r="AO131" s="2787"/>
      <c r="AP131" s="2792"/>
      <c r="AQ131" s="2792"/>
      <c r="AR131" s="2792"/>
      <c r="AS131" s="2792"/>
      <c r="AT131" s="2792"/>
      <c r="AU131" s="2792"/>
      <c r="AV131" s="2792"/>
      <c r="AW131" s="2792"/>
      <c r="AX131" s="2792"/>
      <c r="AY131" s="2785"/>
    </row>
    <row r="132" spans="1:51" ht="12.75" customHeight="1" x14ac:dyDescent="0.2">
      <c r="A132" s="2487"/>
      <c r="B132" s="2368">
        <f t="shared" si="26"/>
        <v>4</v>
      </c>
      <c r="C132" s="4325"/>
      <c r="D132" s="4200"/>
      <c r="E132" s="4201"/>
      <c r="F132" s="4201"/>
      <c r="G132" s="4201"/>
      <c r="H132" s="4201"/>
      <c r="I132" s="2210" t="str">
        <f>IF(OR(D127="",D132=""),"",MAX(1,SUMPRODUCT(--(INDEX('Tablas Técnicas'!$C$10:$L$643,,1)=D127),--(INDEX('Tablas Técnicas'!$C$10:$L$643,,2)=D132),INDEX('Tablas Técnicas'!$C$10:$L$643,,9))))</f>
        <v/>
      </c>
      <c r="J132" s="4200"/>
      <c r="K132" s="4201"/>
      <c r="L132" s="4201"/>
      <c r="M132" s="4201"/>
      <c r="N132" s="4201"/>
      <c r="O132" s="2210" t="str">
        <f>IF(OR(J127="",J132=""),"",MAX(1,SUMPRODUCT(--(INDEX('Tablas Técnicas'!$C$10:$L$643,,1)=J127),--(INDEX('Tablas Técnicas'!$C$10:$L$643,,2)=J132),INDEX('Tablas Técnicas'!$C$10:$L$643,,9))))</f>
        <v/>
      </c>
      <c r="P132" s="4200"/>
      <c r="Q132" s="4201"/>
      <c r="R132" s="4201"/>
      <c r="S132" s="4201"/>
      <c r="T132" s="4201"/>
      <c r="U132" s="2210" t="str">
        <f>IF(OR(P127="",P132=""),"",MAX(1,SUMPRODUCT(--(INDEX('Tablas Técnicas'!$C$10:$L$643,,1)=P127),--(INDEX('Tablas Técnicas'!$C$10:$L$643,,2)=P132),INDEX('Tablas Técnicas'!$C$10:$L$643,,9))))</f>
        <v/>
      </c>
      <c r="V132" s="4200"/>
      <c r="W132" s="4201"/>
      <c r="X132" s="4201"/>
      <c r="Y132" s="4201"/>
      <c r="Z132" s="4201"/>
      <c r="AA132" s="2210" t="str">
        <f>IF(OR(V127="",V132=""),"",MAX(1,SUMPRODUCT(--(INDEX('Tablas Técnicas'!$C$10:$L$643,,1)=V127),--(INDEX('Tablas Técnicas'!$C$10:$L$643,,2)=V132),INDEX('Tablas Técnicas'!$C$10:$L$643,,9))))</f>
        <v/>
      </c>
      <c r="AB132" s="4200"/>
      <c r="AC132" s="4201"/>
      <c r="AD132" s="4201"/>
      <c r="AE132" s="4201"/>
      <c r="AF132" s="4201"/>
      <c r="AG132" s="2211" t="str">
        <f>IF(OR(AB127="",AB132=""),"",MAX(1,SUMPRODUCT(--(INDEX('Tablas Técnicas'!$C$10:$L$643,,1)=AB127),--(INDEX('Tablas Técnicas'!$C$10:$L$643,,2)=AB132),INDEX('Tablas Técnicas'!$C$10:$L$643,,9))))</f>
        <v/>
      </c>
      <c r="AH132" s="2496">
        <f>P114</f>
        <v>1</v>
      </c>
      <c r="AI132" s="4328"/>
      <c r="AJ132" s="2785" t="s">
        <v>9099</v>
      </c>
      <c r="AK132" s="2785"/>
      <c r="AL132" s="2785">
        <f>SUM(V118:V122,X118:X122,Z118:Z122,AB118:AB122,AD118:AD122,AF118:AF122)+SUM(V125:AG125)</f>
        <v>0</v>
      </c>
      <c r="AM132" s="2785">
        <f>SUM(W118:W122,Y118:Y122,AA118:AA122,AC118:AC122,AE118:AE122,AG118:AG122)</f>
        <v>0</v>
      </c>
      <c r="AN132" s="2785"/>
      <c r="AO132" s="2785"/>
      <c r="AP132" s="2785"/>
      <c r="AQ132" s="2785"/>
      <c r="AR132" s="2785"/>
      <c r="AS132" s="2785"/>
      <c r="AT132" s="2785"/>
      <c r="AU132" s="2785"/>
      <c r="AV132" s="2785"/>
      <c r="AW132" s="2787"/>
      <c r="AX132" s="2785"/>
      <c r="AY132" s="2785"/>
    </row>
    <row r="133" spans="1:51" ht="12.75" customHeight="1" x14ac:dyDescent="0.2">
      <c r="A133" s="2487"/>
      <c r="B133" s="2368">
        <f t="shared" si="26"/>
        <v>4</v>
      </c>
      <c r="C133" s="4325"/>
      <c r="D133" s="4200"/>
      <c r="E133" s="4201"/>
      <c r="F133" s="4201"/>
      <c r="G133" s="4201"/>
      <c r="H133" s="4201"/>
      <c r="I133" s="2210" t="str">
        <f>IF(OR(D127="",D133=""),"",MAX(1,SUMPRODUCT(--(INDEX('Tablas Técnicas'!$C$10:$L$643,,1)=D127),--(INDEX('Tablas Técnicas'!$C$10:$L$643,,2)=D133),INDEX('Tablas Técnicas'!$C$10:$L$643,,9))))</f>
        <v/>
      </c>
      <c r="J133" s="4200"/>
      <c r="K133" s="4201"/>
      <c r="L133" s="4201"/>
      <c r="M133" s="4201"/>
      <c r="N133" s="4201"/>
      <c r="O133" s="2210" t="str">
        <f>IF(OR(J127="",J133=""),"",MAX(1,SUMPRODUCT(--(INDEX('Tablas Técnicas'!$C$10:$L$643,,1)=J127),--(INDEX('Tablas Técnicas'!$C$10:$L$643,,2)=J133),INDEX('Tablas Técnicas'!$C$10:$L$643,,9))))</f>
        <v/>
      </c>
      <c r="P133" s="4200"/>
      <c r="Q133" s="4201"/>
      <c r="R133" s="4201"/>
      <c r="S133" s="4201"/>
      <c r="T133" s="4201"/>
      <c r="U133" s="2210" t="str">
        <f>IF(OR(P127="",P133=""),"",MAX(1,SUMPRODUCT(--(INDEX('Tablas Técnicas'!$C$10:$L$643,,1)=P127),--(INDEX('Tablas Técnicas'!$C$10:$L$643,,2)=P133),INDEX('Tablas Técnicas'!$C$10:$L$643,,9))))</f>
        <v/>
      </c>
      <c r="V133" s="4200"/>
      <c r="W133" s="4201"/>
      <c r="X133" s="4201"/>
      <c r="Y133" s="4201"/>
      <c r="Z133" s="4201"/>
      <c r="AA133" s="2210" t="str">
        <f>IF(OR(V127="",V133=""),"",MAX(1,SUMPRODUCT(--(INDEX('Tablas Técnicas'!$C$10:$L$643,,1)=V127),--(INDEX('Tablas Técnicas'!$C$10:$L$643,,2)=V133),INDEX('Tablas Técnicas'!$C$10:$L$643,,9))))</f>
        <v/>
      </c>
      <c r="AB133" s="4200"/>
      <c r="AC133" s="4201"/>
      <c r="AD133" s="4201"/>
      <c r="AE133" s="4201"/>
      <c r="AF133" s="4201"/>
      <c r="AG133" s="2211" t="str">
        <f>IF(OR(AB127="",AB133=""),"",MAX(1,SUMPRODUCT(--(INDEX('Tablas Técnicas'!$C$10:$L$643,,1)=AB127),--(INDEX('Tablas Técnicas'!$C$10:$L$643,,2)=AB133),INDEX('Tablas Técnicas'!$C$10:$L$643,,9))))</f>
        <v/>
      </c>
      <c r="AH133" s="2496">
        <f>P114</f>
        <v>1</v>
      </c>
      <c r="AI133" s="4328"/>
      <c r="AJ133" s="2785"/>
      <c r="AK133" s="2785"/>
      <c r="AL133" s="2785"/>
      <c r="AM133" s="2785"/>
      <c r="AN133" s="2785"/>
      <c r="AO133" s="2785"/>
      <c r="AP133" s="2785"/>
      <c r="AQ133" s="2785"/>
      <c r="AR133" s="2785"/>
      <c r="AS133" s="2785"/>
      <c r="AT133" s="2785"/>
      <c r="AU133" s="2785"/>
      <c r="AV133" s="2785"/>
      <c r="AW133" s="2787"/>
      <c r="AX133" s="2787"/>
      <c r="AY133" s="2785"/>
    </row>
    <row r="134" spans="1:51" ht="12.75" customHeight="1" x14ac:dyDescent="0.2">
      <c r="A134" s="2487"/>
      <c r="B134" s="2368">
        <f t="shared" si="26"/>
        <v>4</v>
      </c>
      <c r="C134" s="4325"/>
      <c r="D134" s="4200"/>
      <c r="E134" s="4201"/>
      <c r="F134" s="4201"/>
      <c r="G134" s="4201"/>
      <c r="H134" s="4201"/>
      <c r="I134" s="2210" t="str">
        <f>IF(OR(D127="",D134=""),"",MAX(1,SUMPRODUCT(--(INDEX('Tablas Técnicas'!$C$10:$L$643,,1)=D127),--(INDEX('Tablas Técnicas'!$C$10:$L$643,,2)=D134),INDEX('Tablas Técnicas'!$C$10:$L$643,,9))))</f>
        <v/>
      </c>
      <c r="J134" s="4200"/>
      <c r="K134" s="4201"/>
      <c r="L134" s="4201"/>
      <c r="M134" s="4201"/>
      <c r="N134" s="4201"/>
      <c r="O134" s="2210" t="str">
        <f>IF(OR(J127="",J134=""),"",MAX(1,SUMPRODUCT(--(INDEX('Tablas Técnicas'!$C$10:$L$643,,1)=J127),--(INDEX('Tablas Técnicas'!$C$10:$L$643,,2)=J134),INDEX('Tablas Técnicas'!$C$10:$L$643,,9))))</f>
        <v/>
      </c>
      <c r="P134" s="4200"/>
      <c r="Q134" s="4201"/>
      <c r="R134" s="4201"/>
      <c r="S134" s="4201"/>
      <c r="T134" s="4201"/>
      <c r="U134" s="2210" t="str">
        <f>IF(OR(P127="",P134=""),"",MAX(1,SUMPRODUCT(--(INDEX('Tablas Técnicas'!$C$10:$L$643,,1)=P127),--(INDEX('Tablas Técnicas'!$C$10:$L$643,,2)=P134),INDEX('Tablas Técnicas'!$C$10:$L$643,,9))))</f>
        <v/>
      </c>
      <c r="V134" s="4200"/>
      <c r="W134" s="4201"/>
      <c r="X134" s="4201"/>
      <c r="Y134" s="4201"/>
      <c r="Z134" s="4201"/>
      <c r="AA134" s="2210" t="str">
        <f>IF(OR(V127="",V134=""),"",MAX(1,SUMPRODUCT(--(INDEX('Tablas Técnicas'!$C$10:$L$643,,1)=V127),--(INDEX('Tablas Técnicas'!$C$10:$L$643,,2)=V134),INDEX('Tablas Técnicas'!$C$10:$L$643,,9))))</f>
        <v/>
      </c>
      <c r="AB134" s="4200"/>
      <c r="AC134" s="4201"/>
      <c r="AD134" s="4201"/>
      <c r="AE134" s="4201"/>
      <c r="AF134" s="4201"/>
      <c r="AG134" s="2211" t="str">
        <f>IF(OR(AB127="",AB134=""),"",MAX(1,SUMPRODUCT(--(INDEX('Tablas Técnicas'!$C$10:$L$643,,1)=AB127),--(INDEX('Tablas Técnicas'!$C$10:$L$643,,2)=AB134),INDEX('Tablas Técnicas'!$C$10:$L$643,,9))))</f>
        <v/>
      </c>
      <c r="AH134" s="2496">
        <f>P114</f>
        <v>1</v>
      </c>
      <c r="AI134" s="4328"/>
      <c r="AJ134" s="2785"/>
      <c r="AK134" s="2785"/>
      <c r="AL134" s="2785"/>
      <c r="AM134" s="2785"/>
      <c r="AN134" s="2785"/>
      <c r="AO134" s="2785"/>
      <c r="AP134" s="2785"/>
      <c r="AQ134" s="2786"/>
      <c r="AR134" s="2787"/>
      <c r="AS134" s="2787"/>
      <c r="AT134" s="2787"/>
      <c r="AU134" s="2787"/>
      <c r="AV134" s="2787"/>
      <c r="AW134" s="2787"/>
      <c r="AX134" s="2787"/>
      <c r="AY134" s="2785"/>
    </row>
    <row r="135" spans="1:51" ht="12.75" customHeight="1" x14ac:dyDescent="0.2">
      <c r="A135" s="2487"/>
      <c r="B135" s="2368">
        <f t="shared" si="26"/>
        <v>4</v>
      </c>
      <c r="C135" s="4325"/>
      <c r="D135" s="4200"/>
      <c r="E135" s="4201"/>
      <c r="F135" s="4201"/>
      <c r="G135" s="4201"/>
      <c r="H135" s="4201"/>
      <c r="I135" s="2210" t="str">
        <f>IF(OR(D127="",D135=""),"",MAX(1,SUMPRODUCT(--(INDEX('Tablas Técnicas'!$C$10:$L$643,,1)=D127),--(INDEX('Tablas Técnicas'!$C$10:$L$643,,2)=D135),INDEX('Tablas Técnicas'!$C$10:$L$643,,9))))</f>
        <v/>
      </c>
      <c r="J135" s="4200"/>
      <c r="K135" s="4201"/>
      <c r="L135" s="4201"/>
      <c r="M135" s="4201"/>
      <c r="N135" s="4201"/>
      <c r="O135" s="2210" t="str">
        <f>IF(OR(J127="",J135=""),"",MAX(1,SUMPRODUCT(--(INDEX('Tablas Técnicas'!$C$10:$L$643,,1)=J127),--(INDEX('Tablas Técnicas'!$C$10:$L$643,,2)=J135),INDEX('Tablas Técnicas'!$C$10:$L$643,,9))))</f>
        <v/>
      </c>
      <c r="P135" s="4200"/>
      <c r="Q135" s="4201"/>
      <c r="R135" s="4201"/>
      <c r="S135" s="4201"/>
      <c r="T135" s="4201"/>
      <c r="U135" s="2210" t="str">
        <f>IF(OR(P127="",P135=""),"",MAX(1,SUMPRODUCT(--(INDEX('Tablas Técnicas'!$C$10:$L$643,,1)=P127),--(INDEX('Tablas Técnicas'!$C$10:$L$643,,2)=P135),INDEX('Tablas Técnicas'!$C$10:$L$643,,9))))</f>
        <v/>
      </c>
      <c r="V135" s="4200"/>
      <c r="W135" s="4201"/>
      <c r="X135" s="4201"/>
      <c r="Y135" s="4201"/>
      <c r="Z135" s="4201"/>
      <c r="AA135" s="2210" t="str">
        <f>IF(OR(V127="",V135=""),"",MAX(1,SUMPRODUCT(--(INDEX('Tablas Técnicas'!$C$10:$L$643,,1)=V127),--(INDEX('Tablas Técnicas'!$C$10:$L$643,,2)=V135),INDEX('Tablas Técnicas'!$C$10:$L$643,,9))))</f>
        <v/>
      </c>
      <c r="AB135" s="4200"/>
      <c r="AC135" s="4201"/>
      <c r="AD135" s="4201"/>
      <c r="AE135" s="4201"/>
      <c r="AF135" s="4201"/>
      <c r="AG135" s="2211" t="str">
        <f>IF(OR(AB127="",AB135=""),"",MAX(1,SUMPRODUCT(--(INDEX('Tablas Técnicas'!$C$10:$L$643,,1)=AB127),--(INDEX('Tablas Técnicas'!$C$10:$L$643,,2)=AB135),INDEX('Tablas Técnicas'!$C$10:$L$643,,9))))</f>
        <v/>
      </c>
      <c r="AH135" s="2496">
        <f>P114</f>
        <v>1</v>
      </c>
      <c r="AI135" s="4328"/>
      <c r="AJ135" s="2785" t="s">
        <v>9100</v>
      </c>
      <c r="AK135" s="2785"/>
      <c r="AL135" s="2785"/>
      <c r="AM135" s="2785"/>
      <c r="AN135" s="2785"/>
      <c r="AO135" s="2785"/>
      <c r="AP135" s="2785"/>
      <c r="AQ135" s="2785"/>
      <c r="AR135" s="2787"/>
      <c r="AS135" s="2787"/>
      <c r="AT135" s="2787"/>
      <c r="AU135" s="2787"/>
      <c r="AV135" s="2787"/>
      <c r="AW135" s="2787"/>
      <c r="AX135" s="2787"/>
      <c r="AY135" s="2785"/>
    </row>
    <row r="136" spans="1:51" ht="12.75" customHeight="1" x14ac:dyDescent="0.2">
      <c r="A136" s="2487"/>
      <c r="B136" s="2368">
        <f t="shared" si="26"/>
        <v>4</v>
      </c>
      <c r="C136" s="4325"/>
      <c r="D136" s="4200"/>
      <c r="E136" s="4201"/>
      <c r="F136" s="4201"/>
      <c r="G136" s="4201"/>
      <c r="H136" s="4201"/>
      <c r="I136" s="2210" t="str">
        <f>IF(OR(D127="",D136=""),"",MAX(1,SUMPRODUCT(--(INDEX('Tablas Técnicas'!$C$10:$L$643,,1)=D127),--(INDEX('Tablas Técnicas'!$C$10:$L$643,,2)=D136),INDEX('Tablas Técnicas'!$C$10:$L$643,,9))))</f>
        <v/>
      </c>
      <c r="J136" s="4200"/>
      <c r="K136" s="4201"/>
      <c r="L136" s="4201"/>
      <c r="M136" s="4201"/>
      <c r="N136" s="4201"/>
      <c r="O136" s="2210" t="str">
        <f>IF(OR(J127="",J136=""),"",MAX(1,SUMPRODUCT(--(INDEX('Tablas Técnicas'!$C$10:$L$643,,1)=J127),--(INDEX('Tablas Técnicas'!$C$10:$L$643,,2)=J136),INDEX('Tablas Técnicas'!$C$10:$L$643,,9))))</f>
        <v/>
      </c>
      <c r="P136" s="4200"/>
      <c r="Q136" s="4201"/>
      <c r="R136" s="4201"/>
      <c r="S136" s="4201"/>
      <c r="T136" s="4201"/>
      <c r="U136" s="2210" t="str">
        <f>IF(OR(P127="",P136=""),"",MAX(1,SUMPRODUCT(--(INDEX('Tablas Técnicas'!$C$10:$L$643,,1)=P127),--(INDEX('Tablas Técnicas'!$C$10:$L$643,,2)=P136),INDEX('Tablas Técnicas'!$C$10:$L$643,,9))))</f>
        <v/>
      </c>
      <c r="V136" s="4200"/>
      <c r="W136" s="4201"/>
      <c r="X136" s="4201"/>
      <c r="Y136" s="4201"/>
      <c r="Z136" s="4201"/>
      <c r="AA136" s="2210" t="str">
        <f>IF(OR(V127="",V136=""),"",MAX(1,SUMPRODUCT(--(INDEX('Tablas Técnicas'!$C$10:$L$643,,1)=V127),--(INDEX('Tablas Técnicas'!$C$10:$L$643,,2)=V136),INDEX('Tablas Técnicas'!$C$10:$L$643,,9))))</f>
        <v/>
      </c>
      <c r="AB136" s="4200"/>
      <c r="AC136" s="4201"/>
      <c r="AD136" s="4201"/>
      <c r="AE136" s="4201"/>
      <c r="AF136" s="4201"/>
      <c r="AG136" s="2211" t="str">
        <f>IF(OR(AB127="",AB136=""),"",MAX(1,SUMPRODUCT(--(INDEX('Tablas Técnicas'!$C$10:$L$643,,1)=AB127),--(INDEX('Tablas Técnicas'!$C$10:$L$643,,2)=AB136),INDEX('Tablas Técnicas'!$C$10:$L$643,,9))))</f>
        <v/>
      </c>
      <c r="AH136" s="2496">
        <f>P114</f>
        <v>1</v>
      </c>
      <c r="AI136" s="4328"/>
      <c r="AJ136" s="2785" t="s">
        <v>9101</v>
      </c>
      <c r="AK136" s="2785"/>
      <c r="AL136" s="2785"/>
      <c r="AM136" s="2785" t="b">
        <f t="array" ref="AM136">MAX(I131:I137,O131:O137,U131:U137,AA131:AA137,AG131:AG137,RIGHT(S123:S125,1))&gt;P114</f>
        <v>0</v>
      </c>
      <c r="AN136" s="2785"/>
      <c r="AO136" s="2785"/>
      <c r="AP136" s="2785"/>
      <c r="AQ136" s="2786"/>
      <c r="AR136" s="2787"/>
      <c r="AS136" s="2787"/>
      <c r="AT136" s="2787"/>
      <c r="AU136" s="2787"/>
      <c r="AV136" s="2787"/>
      <c r="AW136" s="2787"/>
      <c r="AX136" s="2787"/>
      <c r="AY136" s="2785"/>
    </row>
    <row r="137" spans="1:51" ht="12.75" customHeight="1" x14ac:dyDescent="0.2">
      <c r="A137" s="2487"/>
      <c r="B137" s="2368">
        <f t="shared" si="26"/>
        <v>4</v>
      </c>
      <c r="C137" s="4325"/>
      <c r="D137" s="4230"/>
      <c r="E137" s="4231"/>
      <c r="F137" s="4231"/>
      <c r="G137" s="4231"/>
      <c r="H137" s="4231"/>
      <c r="I137" s="2212" t="str">
        <f>IF(OR(D127="",D137=""),"",MAX(1,SUMPRODUCT(--(INDEX('Tablas Técnicas'!$C$10:$L$643,,1)=D127),--(INDEX('Tablas Técnicas'!$C$10:$L$643,,2)=D137),INDEX('Tablas Técnicas'!$C$10:$L$643,,9))))</f>
        <v/>
      </c>
      <c r="J137" s="4230"/>
      <c r="K137" s="4231"/>
      <c r="L137" s="4231"/>
      <c r="M137" s="4231"/>
      <c r="N137" s="4231"/>
      <c r="O137" s="2212" t="str">
        <f>IF(OR(J127="",J137=""),"",MAX(1,SUMPRODUCT(--(INDEX('Tablas Técnicas'!$C$10:$L$643,,1)=J127),--(INDEX('Tablas Técnicas'!$C$10:$L$643,,2)=J137),INDEX('Tablas Técnicas'!$C$10:$L$643,,9))))</f>
        <v/>
      </c>
      <c r="P137" s="4230"/>
      <c r="Q137" s="4231"/>
      <c r="R137" s="4231"/>
      <c r="S137" s="4231"/>
      <c r="T137" s="4231"/>
      <c r="U137" s="2212" t="str">
        <f>IF(OR(P127="",P137=""),"",MAX(1,SUMPRODUCT(--(INDEX('Tablas Técnicas'!$C$10:$L$643,,1)=P127),--(INDEX('Tablas Técnicas'!$C$10:$L$643,,2)=P137),INDEX('Tablas Técnicas'!$C$10:$L$643,,9))))</f>
        <v/>
      </c>
      <c r="V137" s="4230"/>
      <c r="W137" s="4231"/>
      <c r="X137" s="4231"/>
      <c r="Y137" s="4231"/>
      <c r="Z137" s="4231"/>
      <c r="AA137" s="2212" t="str">
        <f>IF(OR(V127="",V137=""),"",MAX(1,SUMPRODUCT(--(INDEX('Tablas Técnicas'!$C$10:$L$643,,1)=V127),--(INDEX('Tablas Técnicas'!$C$10:$L$643,,2)=V137),INDEX('Tablas Técnicas'!$C$10:$L$643,,9))))</f>
        <v/>
      </c>
      <c r="AB137" s="4230"/>
      <c r="AC137" s="4231"/>
      <c r="AD137" s="4231"/>
      <c r="AE137" s="4231"/>
      <c r="AF137" s="4231"/>
      <c r="AG137" s="2213" t="str">
        <f>IF(OR(AB127="",AB137=""),"",MAX(1,SUMPRODUCT(--(INDEX('Tablas Técnicas'!$C$10:$L$643,,1)=AB127),--(INDEX('Tablas Técnicas'!$C$10:$L$643,,2)=AB137),INDEX('Tablas Técnicas'!$C$10:$L$643,,9))))</f>
        <v/>
      </c>
      <c r="AH137" s="2496">
        <f>P114</f>
        <v>1</v>
      </c>
      <c r="AI137" s="4328"/>
      <c r="AJ137" s="2785" t="s">
        <v>9614</v>
      </c>
      <c r="AK137" s="2785"/>
      <c r="AL137" s="2785"/>
      <c r="AM137" s="2785" t="b">
        <f>AND(COUNTIF(K118:M122,"Mantenido"),OR(COUNTIF(K118:M122,"Sostenimiento Menor"),COUNTIF(K118:M122,"Sostenimiento Mayor")))</f>
        <v>0</v>
      </c>
      <c r="AN137" s="2786"/>
      <c r="AO137" s="2785"/>
      <c r="AP137" s="2785"/>
      <c r="AQ137" s="2785"/>
      <c r="AR137" s="2785"/>
      <c r="AS137" s="2785"/>
      <c r="AT137" s="2785"/>
      <c r="AU137" s="2787"/>
      <c r="AV137" s="2787"/>
      <c r="AW137" s="2787"/>
      <c r="AX137" s="2787"/>
      <c r="AY137" s="2785"/>
    </row>
    <row r="138" spans="1:51" ht="12.75" customHeight="1" x14ac:dyDescent="0.2">
      <c r="A138" s="2487"/>
      <c r="B138" s="2368">
        <f t="shared" si="26"/>
        <v>4</v>
      </c>
      <c r="C138" s="4325"/>
      <c r="D138" s="4213" t="s">
        <v>1558</v>
      </c>
      <c r="E138" s="4214"/>
      <c r="F138" s="4214"/>
      <c r="G138" s="4214"/>
      <c r="H138" s="4214"/>
      <c r="I138" s="4214"/>
      <c r="J138" s="4214"/>
      <c r="K138" s="4214"/>
      <c r="L138" s="4214"/>
      <c r="M138" s="4214"/>
      <c r="N138" s="4214"/>
      <c r="O138" s="4214"/>
      <c r="P138" s="4214"/>
      <c r="Q138" s="4214"/>
      <c r="R138" s="4214"/>
      <c r="S138" s="4214"/>
      <c r="T138" s="4214"/>
      <c r="U138" s="4214"/>
      <c r="V138" s="4214"/>
      <c r="W138" s="4214"/>
      <c r="X138" s="4214"/>
      <c r="Y138" s="4214"/>
      <c r="Z138" s="4214"/>
      <c r="AA138" s="4214"/>
      <c r="AB138" s="4214"/>
      <c r="AC138" s="4214"/>
      <c r="AD138" s="4214"/>
      <c r="AE138" s="4214"/>
      <c r="AF138" s="4214"/>
      <c r="AG138" s="4270"/>
      <c r="AH138" s="2496"/>
      <c r="AI138" s="4328"/>
      <c r="AJ138" s="2785" t="s">
        <v>9613</v>
      </c>
      <c r="AK138" s="2785"/>
      <c r="AL138" s="2785"/>
      <c r="AM138" s="278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5"/>
      <c r="AO138" s="2785"/>
      <c r="AP138" s="2785"/>
      <c r="AQ138" s="2786"/>
      <c r="AR138" s="2785"/>
      <c r="AS138" s="2785"/>
      <c r="AT138" s="2785"/>
      <c r="AU138" s="2787"/>
      <c r="AV138" s="2787"/>
      <c r="AW138" s="2787"/>
      <c r="AX138" s="2787"/>
      <c r="AY138" s="2785"/>
    </row>
    <row r="139" spans="1:51" ht="12.75" customHeight="1" x14ac:dyDescent="0.2">
      <c r="A139" s="2487"/>
      <c r="B139" s="2368">
        <f t="shared" si="26"/>
        <v>4</v>
      </c>
      <c r="C139" s="4325"/>
      <c r="D139" s="4271"/>
      <c r="E139" s="4272"/>
      <c r="F139" s="4272"/>
      <c r="G139" s="4272"/>
      <c r="H139" s="4272"/>
      <c r="I139" s="4272"/>
      <c r="J139" s="4272"/>
      <c r="K139" s="4272"/>
      <c r="L139" s="4272"/>
      <c r="M139" s="4272"/>
      <c r="N139" s="4272"/>
      <c r="O139" s="4272"/>
      <c r="P139" s="4272"/>
      <c r="Q139" s="4272"/>
      <c r="R139" s="4272"/>
      <c r="S139" s="4272"/>
      <c r="T139" s="4272"/>
      <c r="U139" s="4272"/>
      <c r="V139" s="4272"/>
      <c r="W139" s="4272"/>
      <c r="X139" s="4272"/>
      <c r="Y139" s="4272"/>
      <c r="Z139" s="4272"/>
      <c r="AA139" s="4272"/>
      <c r="AB139" s="4272"/>
      <c r="AC139" s="4272"/>
      <c r="AD139" s="4272"/>
      <c r="AE139" s="4272"/>
      <c r="AF139" s="4272"/>
      <c r="AG139" s="4273"/>
      <c r="AH139" s="2496"/>
      <c r="AI139" s="4328"/>
      <c r="AJ139" s="2785" t="s">
        <v>9621</v>
      </c>
      <c r="AK139" s="2785"/>
      <c r="AL139" s="2785"/>
      <c r="AM139" s="278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5"/>
      <c r="AO139" s="2785"/>
      <c r="AP139" s="2785"/>
      <c r="AQ139" s="2786"/>
      <c r="AR139" s="2785"/>
      <c r="AS139" s="2785"/>
      <c r="AT139" s="2785"/>
      <c r="AU139" s="2787"/>
      <c r="AV139" s="2787"/>
      <c r="AW139" s="2787"/>
      <c r="AX139" s="2787"/>
      <c r="AY139" s="2785"/>
    </row>
    <row r="140" spans="1:51" ht="12.75" customHeight="1" x14ac:dyDescent="0.2">
      <c r="A140" s="2487"/>
      <c r="B140" s="2368">
        <f t="shared" si="26"/>
        <v>4</v>
      </c>
      <c r="C140" s="4325"/>
      <c r="D140" s="4271"/>
      <c r="E140" s="4272"/>
      <c r="F140" s="4272"/>
      <c r="G140" s="4272"/>
      <c r="H140" s="4272"/>
      <c r="I140" s="4272"/>
      <c r="J140" s="4272"/>
      <c r="K140" s="4272"/>
      <c r="L140" s="4272"/>
      <c r="M140" s="4272"/>
      <c r="N140" s="4272"/>
      <c r="O140" s="4272"/>
      <c r="P140" s="4272"/>
      <c r="Q140" s="4272"/>
      <c r="R140" s="4272"/>
      <c r="S140" s="4272"/>
      <c r="T140" s="4272"/>
      <c r="U140" s="4272"/>
      <c r="V140" s="4272"/>
      <c r="W140" s="4272"/>
      <c r="X140" s="4272"/>
      <c r="Y140" s="4272"/>
      <c r="Z140" s="4272"/>
      <c r="AA140" s="4272"/>
      <c r="AB140" s="4272"/>
      <c r="AC140" s="4272"/>
      <c r="AD140" s="4272"/>
      <c r="AE140" s="4272"/>
      <c r="AF140" s="4272"/>
      <c r="AG140" s="4273"/>
      <c r="AH140" s="2496"/>
      <c r="AI140" s="4328"/>
      <c r="AJ140" s="2785" t="s">
        <v>9600</v>
      </c>
      <c r="AK140" s="2785"/>
      <c r="AL140" s="2785"/>
      <c r="AM140" s="2785" t="b">
        <f>AND((IF(SUM(V118:V122)&gt;0,1,0)+IF(SUM(X118:X122)&gt;0,1,0)+IF(SUM(Z118:Z122)&gt;0,1,0)+IF(SUM(AB118:AB122)&gt;0,1,0)+IF(SUM(AD118:AD122,)&gt;0,1,0)+IF(SUM(AF118:AF122)&gt;0,1,0))&lt;3,OR(V125&lt;0,X125&lt;0,Z125&lt;0,AB125&lt;0,AD125&lt;0,AF125&lt;0,Y123&lt;0))</f>
        <v>0</v>
      </c>
      <c r="AN140" s="2785"/>
      <c r="AO140" s="2785"/>
      <c r="AP140" s="2785"/>
      <c r="AQ140" s="2786"/>
      <c r="AR140" s="2785"/>
      <c r="AS140" s="2785"/>
      <c r="AT140" s="2785"/>
      <c r="AU140" s="2787"/>
      <c r="AV140" s="2787"/>
      <c r="AW140" s="2787"/>
      <c r="AX140" s="2787"/>
      <c r="AY140" s="2785"/>
    </row>
    <row r="141" spans="1:51" ht="12.75" customHeight="1" x14ac:dyDescent="0.2">
      <c r="A141" s="2487"/>
      <c r="B141" s="2368">
        <f t="shared" si="26"/>
        <v>4</v>
      </c>
      <c r="C141" s="4325"/>
      <c r="D141" s="4271"/>
      <c r="E141" s="4272"/>
      <c r="F141" s="4272"/>
      <c r="G141" s="4272"/>
      <c r="H141" s="4272"/>
      <c r="I141" s="4272"/>
      <c r="J141" s="4272"/>
      <c r="K141" s="4272"/>
      <c r="L141" s="4272"/>
      <c r="M141" s="4272"/>
      <c r="N141" s="4272"/>
      <c r="O141" s="4272"/>
      <c r="P141" s="4272"/>
      <c r="Q141" s="4272"/>
      <c r="R141" s="4272"/>
      <c r="S141" s="4272"/>
      <c r="T141" s="4272"/>
      <c r="U141" s="4272"/>
      <c r="V141" s="4272"/>
      <c r="W141" s="4272"/>
      <c r="X141" s="4272"/>
      <c r="Y141" s="4272"/>
      <c r="Z141" s="4272"/>
      <c r="AA141" s="4272"/>
      <c r="AB141" s="4272"/>
      <c r="AC141" s="4272"/>
      <c r="AD141" s="4272"/>
      <c r="AE141" s="4272"/>
      <c r="AF141" s="4272"/>
      <c r="AG141" s="4273"/>
      <c r="AH141" s="2496"/>
      <c r="AI141" s="4328"/>
      <c r="AJ141" s="2785" t="s">
        <v>9615</v>
      </c>
      <c r="AK141" s="2785"/>
      <c r="AL141" s="2785"/>
      <c r="AM141" s="2785" t="b">
        <f>OR(-V125&gt;TRUNC(SUM(V118:V122)/2),-X125&gt;TRUNC(SUM(X118:X122)/2),-Z125&gt;TRUNC(SUM(Z118:Z122)/2),-AB125&gt;TRUNC(SUM(AB118:AB122)/2),-AD125&gt;TRUNC(SUM(AD118:AD122)/2),-AF125&gt;TRUNC(SUM(AF118:AF122)/2))</f>
        <v>0</v>
      </c>
      <c r="AN141" s="2785"/>
      <c r="AO141" s="2785"/>
      <c r="AP141" s="2785"/>
      <c r="AQ141" s="2786"/>
      <c r="AR141" s="2785"/>
      <c r="AS141" s="2785"/>
      <c r="AT141" s="2785"/>
      <c r="AU141" s="2787"/>
      <c r="AV141" s="2787"/>
      <c r="AW141" s="2787"/>
      <c r="AX141" s="2787"/>
      <c r="AY141" s="2785"/>
    </row>
    <row r="142" spans="1:51" ht="12.75" customHeight="1" x14ac:dyDescent="0.2">
      <c r="A142" s="2487"/>
      <c r="B142" s="2368">
        <f t="shared" si="26"/>
        <v>4</v>
      </c>
      <c r="C142" s="4325"/>
      <c r="D142" s="4271"/>
      <c r="E142" s="4272"/>
      <c r="F142" s="4272"/>
      <c r="G142" s="4272"/>
      <c r="H142" s="4272"/>
      <c r="I142" s="4272"/>
      <c r="J142" s="4272"/>
      <c r="K142" s="4272"/>
      <c r="L142" s="4272"/>
      <c r="M142" s="4272"/>
      <c r="N142" s="4272"/>
      <c r="O142" s="4272"/>
      <c r="P142" s="4272"/>
      <c r="Q142" s="4272"/>
      <c r="R142" s="4272"/>
      <c r="S142" s="4272"/>
      <c r="T142" s="4272"/>
      <c r="U142" s="4272"/>
      <c r="V142" s="4272"/>
      <c r="W142" s="4272"/>
      <c r="X142" s="4272"/>
      <c r="Y142" s="4272"/>
      <c r="Z142" s="4272"/>
      <c r="AA142" s="4272"/>
      <c r="AB142" s="4272"/>
      <c r="AC142" s="4272"/>
      <c r="AD142" s="4272"/>
      <c r="AE142" s="4272"/>
      <c r="AF142" s="4272"/>
      <c r="AG142" s="4273"/>
      <c r="AH142" s="2496"/>
      <c r="AI142" s="4328"/>
      <c r="AJ142" s="2785" t="s">
        <v>9616</v>
      </c>
      <c r="AK142" s="2785"/>
      <c r="AL142" s="2785"/>
      <c r="AM142" s="2785" t="b">
        <f>COUNTIF(D118:E122,"Primario")&gt;1</f>
        <v>0</v>
      </c>
      <c r="AN142" s="2785"/>
      <c r="AO142" s="2785"/>
      <c r="AP142" s="2785"/>
      <c r="AQ142" s="2786"/>
      <c r="AR142" s="2786"/>
      <c r="AS142" s="2786"/>
      <c r="AT142" s="2786"/>
      <c r="AU142" s="2787"/>
      <c r="AV142" s="2787"/>
      <c r="AW142" s="2787"/>
      <c r="AX142" s="2785"/>
      <c r="AY142" s="2785"/>
    </row>
    <row r="143" spans="1:51" ht="12.75" customHeight="1" x14ac:dyDescent="0.2">
      <c r="A143" s="2487"/>
      <c r="B143" s="2368">
        <f t="shared" si="26"/>
        <v>4</v>
      </c>
      <c r="C143" s="4325"/>
      <c r="D143" s="4271"/>
      <c r="E143" s="4272"/>
      <c r="F143" s="4272"/>
      <c r="G143" s="4272"/>
      <c r="H143" s="4272"/>
      <c r="I143" s="4272"/>
      <c r="J143" s="4272"/>
      <c r="K143" s="4272"/>
      <c r="L143" s="4272"/>
      <c r="M143" s="4272"/>
      <c r="N143" s="4272"/>
      <c r="O143" s="4272"/>
      <c r="P143" s="4272"/>
      <c r="Q143" s="4272"/>
      <c r="R143" s="4272"/>
      <c r="S143" s="4272"/>
      <c r="T143" s="4272"/>
      <c r="U143" s="4272"/>
      <c r="V143" s="4272"/>
      <c r="W143" s="4272"/>
      <c r="X143" s="4272"/>
      <c r="Y143" s="4272"/>
      <c r="Z143" s="4272"/>
      <c r="AA143" s="4272"/>
      <c r="AB143" s="4272"/>
      <c r="AC143" s="4272"/>
      <c r="AD143" s="4272"/>
      <c r="AE143" s="4272"/>
      <c r="AF143" s="4272"/>
      <c r="AG143" s="4273"/>
      <c r="AH143" s="2496"/>
      <c r="AI143" s="4328"/>
      <c r="AJ143" s="2785" t="s">
        <v>9599</v>
      </c>
      <c r="AK143" s="2785"/>
      <c r="AL143" s="2785"/>
      <c r="AM143" s="2785" t="b">
        <f>SUM(V125:AG125)&lt;&gt;Y123+ABS(AC123)*2/5+IF(S114="Si",3*P114,0)</f>
        <v>0</v>
      </c>
      <c r="AN143" s="2785"/>
      <c r="AO143" s="2785"/>
      <c r="AP143" s="2785"/>
      <c r="AQ143" s="2786"/>
      <c r="AR143" s="2786"/>
      <c r="AS143" s="2786"/>
      <c r="AT143" s="2786"/>
      <c r="AU143" s="2787"/>
      <c r="AV143" s="2787"/>
      <c r="AW143" s="2787"/>
      <c r="AX143" s="2785"/>
      <c r="AY143" s="2785"/>
    </row>
    <row r="144" spans="1:51" ht="13.5" customHeight="1" x14ac:dyDescent="0.2">
      <c r="A144" s="2487"/>
      <c r="B144" s="2368">
        <f t="shared" si="26"/>
        <v>4</v>
      </c>
      <c r="C144" s="4325"/>
      <c r="D144" s="4271"/>
      <c r="E144" s="4272"/>
      <c r="F144" s="4272"/>
      <c r="G144" s="4272"/>
      <c r="H144" s="4272"/>
      <c r="I144" s="4272"/>
      <c r="J144" s="4272"/>
      <c r="K144" s="4272"/>
      <c r="L144" s="4272"/>
      <c r="M144" s="4272"/>
      <c r="N144" s="4272"/>
      <c r="O144" s="4272"/>
      <c r="P144" s="4272"/>
      <c r="Q144" s="4272"/>
      <c r="R144" s="4272"/>
      <c r="S144" s="4272"/>
      <c r="T144" s="4272"/>
      <c r="U144" s="4272"/>
      <c r="V144" s="4272"/>
      <c r="W144" s="4272"/>
      <c r="X144" s="4272"/>
      <c r="Y144" s="4272"/>
      <c r="Z144" s="4272"/>
      <c r="AA144" s="4272"/>
      <c r="AB144" s="4272"/>
      <c r="AC144" s="4272"/>
      <c r="AD144" s="4272"/>
      <c r="AE144" s="4272"/>
      <c r="AF144" s="4272"/>
      <c r="AG144" s="4273"/>
      <c r="AH144" s="2496"/>
      <c r="AI144" s="4328"/>
      <c r="AJ144" s="2785" t="s">
        <v>9598</v>
      </c>
      <c r="AK144" s="2785"/>
      <c r="AL144" s="2785"/>
      <c r="AM144" s="2785" t="b">
        <f>AL131-AL132+AM131-AM132&lt;&gt;0</f>
        <v>0</v>
      </c>
      <c r="AN144" s="2787"/>
      <c r="AO144" s="2787"/>
      <c r="AP144" s="2787"/>
      <c r="AQ144" s="2787"/>
      <c r="AR144" s="2786"/>
      <c r="AS144" s="2786"/>
      <c r="AT144" s="2786"/>
      <c r="AU144" s="2787"/>
      <c r="AV144" s="2787"/>
      <c r="AW144" s="2787"/>
      <c r="AX144" s="2785"/>
      <c r="AY144" s="2785"/>
    </row>
    <row r="145" spans="1:51" ht="12.75" customHeight="1" thickBot="1" x14ac:dyDescent="0.25">
      <c r="A145" s="2487"/>
      <c r="B145" s="2368"/>
      <c r="C145" s="4326"/>
      <c r="D145" s="432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30"/>
      <c r="F145" s="4330"/>
      <c r="G145" s="4330"/>
      <c r="H145" s="4330"/>
      <c r="I145" s="4330"/>
      <c r="J145" s="4330"/>
      <c r="K145" s="4330"/>
      <c r="L145" s="4330"/>
      <c r="M145" s="4330"/>
      <c r="N145" s="4330"/>
      <c r="O145" s="4330"/>
      <c r="P145" s="4330"/>
      <c r="Q145" s="4330"/>
      <c r="R145" s="4330"/>
      <c r="S145" s="4330"/>
      <c r="T145" s="4330"/>
      <c r="U145" s="4330"/>
      <c r="V145" s="4330"/>
      <c r="W145" s="4330"/>
      <c r="X145" s="4330"/>
      <c r="Y145" s="4330"/>
      <c r="Z145" s="4330"/>
      <c r="AA145" s="4330"/>
      <c r="AB145" s="4330"/>
      <c r="AC145" s="4330"/>
      <c r="AD145" s="4330"/>
      <c r="AE145" s="4330"/>
      <c r="AF145" s="4330"/>
      <c r="AG145" s="4331"/>
      <c r="AH145" s="2496"/>
      <c r="AI145" s="4328"/>
      <c r="AJ145" s="2785" t="s">
        <v>9635</v>
      </c>
      <c r="AK145" s="2787"/>
      <c r="AL145" s="2787"/>
      <c r="AM145" s="2787" t="b">
        <f>ABS(SUM(N123:N125))&gt;(SUM(N118:N122)-10*Y123+AC123+IF(S114="Si",10*P114,0)+IF(COUNTIF(K118:M122,"Mantenido")&gt;0,P114*10)+MAX(IF(COUNTIF(K118:M122,"Sostenimiento Menor")&gt;0,P114*20)+IF(COUNTIF(K118:M122,"Sostenimiento Mayor")&gt;0,P114*30)))/2</f>
        <v>0</v>
      </c>
      <c r="AN145" s="2785"/>
      <c r="AO145" s="2785"/>
      <c r="AP145" s="2785"/>
      <c r="AQ145" s="2785"/>
      <c r="AR145" s="2786"/>
      <c r="AS145" s="2786"/>
      <c r="AT145" s="2786"/>
      <c r="AU145" s="2787"/>
      <c r="AV145" s="2787"/>
      <c r="AW145" s="2787"/>
      <c r="AX145" s="2785"/>
      <c r="AY145" s="2785"/>
    </row>
    <row r="146" spans="1:51" x14ac:dyDescent="0.2">
      <c r="A146" s="2487"/>
      <c r="B146" s="2368"/>
      <c r="C146" s="4232"/>
      <c r="D146" s="4232" t="str">
        <f>IFERROR(VLOOKUP(D127,'Tablas Técnicas'!$O$9:$T$88,2,FALSE),"")</f>
        <v/>
      </c>
      <c r="E146" s="4232"/>
      <c r="F146" s="4232"/>
      <c r="G146" s="4232"/>
      <c r="H146" s="4232"/>
      <c r="I146" s="4232"/>
      <c r="J146" s="4232" t="str">
        <f>IFERROR(VLOOKUP(J127,'Tablas Técnicas'!$O$9:$T$88,2,FALSE),"")</f>
        <v/>
      </c>
      <c r="K146" s="4232"/>
      <c r="L146" s="4232"/>
      <c r="M146" s="4232"/>
      <c r="N146" s="4232"/>
      <c r="O146" s="4232"/>
      <c r="P146" s="4232" t="str">
        <f>IFERROR(VLOOKUP(P127,'Tablas Técnicas'!$O$9:$T$88,2,FALSE),"")</f>
        <v/>
      </c>
      <c r="Q146" s="4232"/>
      <c r="R146" s="4232"/>
      <c r="S146" s="4232"/>
      <c r="T146" s="4232"/>
      <c r="U146" s="4232"/>
      <c r="V146" s="4232" t="str">
        <f>IFERROR(VLOOKUP(V127,'Tablas Técnicas'!$O$9:$T$88,2,FALSE),"")</f>
        <v/>
      </c>
      <c r="W146" s="4232"/>
      <c r="X146" s="4232"/>
      <c r="Y146" s="4232"/>
      <c r="Z146" s="4232"/>
      <c r="AA146" s="4232"/>
      <c r="AB146" s="4232" t="str">
        <f>IFERROR(VLOOKUP(AB127,'Tablas Técnicas'!$O$9:$T$88,2,FALSE),"")</f>
        <v/>
      </c>
      <c r="AC146" s="4232"/>
      <c r="AD146" s="4232"/>
      <c r="AE146" s="4232"/>
      <c r="AF146" s="4232"/>
      <c r="AG146" s="4232"/>
      <c r="AH146" s="2496"/>
      <c r="AI146" s="2188"/>
      <c r="AJ146" s="2785"/>
      <c r="AK146" s="2785"/>
      <c r="AL146" s="2785"/>
      <c r="AM146" s="2785"/>
      <c r="AN146" s="2785"/>
      <c r="AO146" s="2785"/>
      <c r="AP146" s="2785"/>
      <c r="AQ146" s="2785"/>
      <c r="AR146" s="2786"/>
      <c r="AS146" s="2786"/>
      <c r="AT146" s="2786"/>
      <c r="AU146" s="2787"/>
      <c r="AV146" s="2787"/>
      <c r="AW146" s="2787"/>
      <c r="AX146" s="2787"/>
      <c r="AY146" s="2785"/>
    </row>
    <row r="147" spans="1:51" ht="12" thickBot="1" x14ac:dyDescent="0.25">
      <c r="A147" s="2487"/>
      <c r="B147" s="2368"/>
      <c r="C147" s="4232"/>
      <c r="D147" s="2635"/>
      <c r="E147" s="2370"/>
      <c r="F147" s="2370"/>
      <c r="G147" s="2370"/>
      <c r="H147" s="2370"/>
      <c r="I147" s="2370"/>
      <c r="J147" s="2370"/>
      <c r="K147" s="2370"/>
      <c r="L147" s="2370"/>
      <c r="M147" s="2370"/>
      <c r="N147" s="2370"/>
      <c r="O147" s="2370"/>
      <c r="P147" s="2370"/>
      <c r="Q147" s="2370"/>
      <c r="R147" s="2370"/>
      <c r="S147" s="2370"/>
      <c r="T147" s="2370"/>
      <c r="U147" s="2370"/>
      <c r="V147" s="2636"/>
      <c r="W147" s="2636"/>
      <c r="X147" s="2636"/>
      <c r="Y147" s="2636"/>
      <c r="Z147" s="2636"/>
      <c r="AA147" s="2636"/>
      <c r="AB147" s="2636"/>
      <c r="AC147" s="2636"/>
      <c r="AD147" s="2636"/>
      <c r="AE147" s="2636"/>
      <c r="AF147" s="2370"/>
      <c r="AG147" s="2370"/>
      <c r="AH147" s="2496"/>
      <c r="AI147" s="2188"/>
      <c r="AJ147" s="2793"/>
      <c r="AK147" s="2793"/>
      <c r="AL147" s="2793"/>
      <c r="AM147" s="2793"/>
      <c r="AN147" s="2793"/>
      <c r="AO147" s="2793"/>
      <c r="AP147" s="2785"/>
      <c r="AQ147" s="2786"/>
      <c r="AR147" s="2787"/>
      <c r="AS147" s="2787"/>
      <c r="AT147" s="2787"/>
      <c r="AU147" s="2787"/>
      <c r="AV147" s="2787"/>
      <c r="AW147" s="2787"/>
      <c r="AX147" s="2787"/>
      <c r="AY147" s="2794"/>
    </row>
    <row r="148" spans="1:51" ht="11.25" customHeight="1" x14ac:dyDescent="0.2">
      <c r="A148" s="2487"/>
      <c r="B148" s="2368">
        <f t="shared" ref="B148:B178" si="35">1+B114</f>
        <v>5</v>
      </c>
      <c r="C148" s="4324" t="str">
        <f>"Técnica "&amp;B148</f>
        <v>Técnica 5</v>
      </c>
      <c r="D148" s="4318" t="s">
        <v>8999</v>
      </c>
      <c r="E148" s="4319"/>
      <c r="F148" s="4319"/>
      <c r="G148" s="4319"/>
      <c r="H148" s="4319"/>
      <c r="I148" s="4319"/>
      <c r="J148" s="4319"/>
      <c r="K148" s="4319"/>
      <c r="L148" s="4319"/>
      <c r="M148" s="4319"/>
      <c r="N148" s="4320"/>
      <c r="O148" s="4284" t="s">
        <v>1333</v>
      </c>
      <c r="P148" s="4286">
        <v>1</v>
      </c>
      <c r="Q148" s="4203" t="s">
        <v>9083</v>
      </c>
      <c r="R148" s="4280"/>
      <c r="S148" s="4282" t="s">
        <v>1389</v>
      </c>
      <c r="T148" s="4204" t="s">
        <v>1514</v>
      </c>
      <c r="U148" s="4268">
        <f>MAX(IF(P148=3,60,IF(P148=2,40,20)),MIN(IF(P148=3,200,IF(P148=2,100,50)),SUM(N152:N159)-10*Y157+AC157+IF(S148="Si",10*P148,0)+IF(COUNTIF(K152:M156,"Mantenido")&gt;0,P148*10)+MAX(IF(COUNTIF(K152:M156,"Sostenimiento Menor")&gt;0,P148*20)+IF(COUNTIF(K152:M156,"Sostenimiento Mayor")&gt;0,P148*30))))</f>
        <v>20</v>
      </c>
      <c r="V148" s="4203" t="s">
        <v>9084</v>
      </c>
      <c r="W148" s="4204"/>
      <c r="X148" s="4207" t="str">
        <f>IFERROR(LEFT(AK164&amp;AL164&amp;AM164&amp;AN164&amp;AO164&amp;AP164,LEN(AK164&amp;AL164&amp;AM164&amp;AN164&amp;AO164&amp;AP164)-2),"")</f>
        <v/>
      </c>
      <c r="Y148" s="4207"/>
      <c r="Z148" s="4207"/>
      <c r="AA148" s="4207"/>
      <c r="AB148" s="4207"/>
      <c r="AC148" s="4207"/>
      <c r="AD148" s="4207"/>
      <c r="AE148" s="4207"/>
      <c r="AF148" s="4207"/>
      <c r="AG148" s="4208"/>
      <c r="AH148" s="2496"/>
      <c r="AI148" s="4328"/>
      <c r="AJ148" s="2790" t="s">
        <v>9632</v>
      </c>
      <c r="AK148" s="2790"/>
      <c r="AL148" s="2790"/>
      <c r="AM148" s="2790"/>
      <c r="AN148" s="2790"/>
      <c r="AO148" s="2790"/>
      <c r="AP148" s="2790"/>
      <c r="AQ148" s="2790"/>
      <c r="AR148" s="2790"/>
      <c r="AS148" s="2785"/>
      <c r="AT148" s="2785"/>
      <c r="AU148" s="2785"/>
      <c r="AV148" s="2785"/>
      <c r="AW148" s="2787"/>
      <c r="AX148" s="2787"/>
      <c r="AY148" s="2785"/>
    </row>
    <row r="149" spans="1:51" ht="11.25" customHeight="1" x14ac:dyDescent="0.2">
      <c r="A149" s="2487"/>
      <c r="B149" s="2368">
        <f t="shared" si="35"/>
        <v>5</v>
      </c>
      <c r="C149" s="4325"/>
      <c r="D149" s="4321"/>
      <c r="E149" s="4322"/>
      <c r="F149" s="4322"/>
      <c r="G149" s="4322"/>
      <c r="H149" s="4322"/>
      <c r="I149" s="4322"/>
      <c r="J149" s="4322"/>
      <c r="K149" s="4322"/>
      <c r="L149" s="4322"/>
      <c r="M149" s="4322"/>
      <c r="N149" s="4323"/>
      <c r="O149" s="4285"/>
      <c r="P149" s="4283"/>
      <c r="Q149" s="4205"/>
      <c r="R149" s="4281"/>
      <c r="S149" s="4283"/>
      <c r="T149" s="4206"/>
      <c r="U149" s="4269"/>
      <c r="V149" s="4205"/>
      <c r="W149" s="4206"/>
      <c r="X149" s="4209"/>
      <c r="Y149" s="4209"/>
      <c r="Z149" s="4209"/>
      <c r="AA149" s="4209"/>
      <c r="AB149" s="4209"/>
      <c r="AC149" s="4209"/>
      <c r="AD149" s="4209"/>
      <c r="AE149" s="4209"/>
      <c r="AF149" s="4209"/>
      <c r="AG149" s="4210"/>
      <c r="AH149" s="2496"/>
      <c r="AI149" s="4328"/>
      <c r="AJ149" s="2790"/>
      <c r="AK149" s="2790" t="s">
        <v>9633</v>
      </c>
      <c r="AL149" s="2790" t="s">
        <v>10237</v>
      </c>
      <c r="AM149" s="2791"/>
      <c r="AN149" s="2791"/>
      <c r="AO149" s="2791"/>
      <c r="AP149" s="2791"/>
      <c r="AQ149" s="2791"/>
      <c r="AR149" s="2790"/>
      <c r="AS149" s="2785"/>
      <c r="AT149" s="2785"/>
      <c r="AU149" s="2785"/>
      <c r="AV149" s="2785"/>
      <c r="AW149" s="2787"/>
      <c r="AX149" s="4327" t="s">
        <v>9602</v>
      </c>
      <c r="AY149" s="4327"/>
    </row>
    <row r="150" spans="1:51" ht="12" customHeight="1" x14ac:dyDescent="0.2">
      <c r="A150" s="2487"/>
      <c r="B150" s="2368">
        <f t="shared" si="35"/>
        <v>5</v>
      </c>
      <c r="C150" s="4325"/>
      <c r="D150" s="4213" t="s">
        <v>2910</v>
      </c>
      <c r="E150" s="4214"/>
      <c r="F150" s="4214"/>
      <c r="G150" s="4214"/>
      <c r="H150" s="4214"/>
      <c r="I150" s="4214"/>
      <c r="J150" s="4214"/>
      <c r="K150" s="4290" t="s">
        <v>9935</v>
      </c>
      <c r="L150" s="4290"/>
      <c r="M150" s="4290"/>
      <c r="N150" s="4214" t="s">
        <v>1508</v>
      </c>
      <c r="O150" s="4290" t="s">
        <v>2908</v>
      </c>
      <c r="P150" s="4290" t="s">
        <v>9085</v>
      </c>
      <c r="Q150" s="4214" t="s">
        <v>1372</v>
      </c>
      <c r="R150" s="4214"/>
      <c r="S150" s="4214"/>
      <c r="T150" s="4214"/>
      <c r="U150" s="4214"/>
      <c r="V150" s="4202" t="s">
        <v>1381</v>
      </c>
      <c r="W150" s="4185"/>
      <c r="X150" s="4202" t="s">
        <v>1506</v>
      </c>
      <c r="Y150" s="4287"/>
      <c r="Z150" s="4185" t="s">
        <v>1386</v>
      </c>
      <c r="AA150" s="4185"/>
      <c r="AB150" s="4202" t="s">
        <v>1391</v>
      </c>
      <c r="AC150" s="4287"/>
      <c r="AD150" s="4185" t="s">
        <v>1399</v>
      </c>
      <c r="AE150" s="4185"/>
      <c r="AF150" s="4202" t="s">
        <v>1400</v>
      </c>
      <c r="AG150" s="4186"/>
      <c r="AH150" s="2496"/>
      <c r="AI150" s="4328"/>
      <c r="AJ150" s="2785"/>
      <c r="AK150" s="2785"/>
      <c r="AL150" s="2785" t="s">
        <v>9910</v>
      </c>
      <c r="AM150" s="2785"/>
      <c r="AN150" s="2785"/>
      <c r="AO150" s="2785"/>
      <c r="AP150" s="2785"/>
      <c r="AQ150" s="2785"/>
      <c r="AR150" s="2787"/>
      <c r="AS150" s="2787" t="s">
        <v>9622</v>
      </c>
      <c r="AT150" s="2787" t="s">
        <v>9623</v>
      </c>
      <c r="AU150" s="2785" t="s">
        <v>9611</v>
      </c>
      <c r="AV150" s="2785" t="s">
        <v>9612</v>
      </c>
      <c r="AW150" s="2787" t="s">
        <v>1508</v>
      </c>
      <c r="AX150" s="2787" t="s">
        <v>9087</v>
      </c>
      <c r="AY150" s="2785" t="s">
        <v>9088</v>
      </c>
    </row>
    <row r="151" spans="1:51" ht="12.75" customHeight="1" x14ac:dyDescent="0.2">
      <c r="A151" s="2487"/>
      <c r="B151" s="2368">
        <f t="shared" si="35"/>
        <v>5</v>
      </c>
      <c r="C151" s="4325"/>
      <c r="D151" s="4288"/>
      <c r="E151" s="4289"/>
      <c r="F151" s="4289"/>
      <c r="G151" s="4289"/>
      <c r="H151" s="4289"/>
      <c r="I151" s="4289"/>
      <c r="J151" s="4289"/>
      <c r="K151" s="4291"/>
      <c r="L151" s="4291"/>
      <c r="M151" s="4291"/>
      <c r="N151" s="4215"/>
      <c r="O151" s="4291"/>
      <c r="P151" s="4292"/>
      <c r="Q151" s="4215"/>
      <c r="R151" s="4215"/>
      <c r="S151" s="4215"/>
      <c r="T151" s="4215"/>
      <c r="U151" s="4215"/>
      <c r="V151" s="2373" t="s">
        <v>9601</v>
      </c>
      <c r="W151" s="2488" t="s">
        <v>2914</v>
      </c>
      <c r="X151" s="2373" t="s">
        <v>9601</v>
      </c>
      <c r="Y151" s="2488" t="s">
        <v>2914</v>
      </c>
      <c r="Z151" s="2373" t="s">
        <v>9601</v>
      </c>
      <c r="AA151" s="2488" t="s">
        <v>2914</v>
      </c>
      <c r="AB151" s="2373" t="s">
        <v>9601</v>
      </c>
      <c r="AC151" s="2488" t="s">
        <v>2914</v>
      </c>
      <c r="AD151" s="2373" t="s">
        <v>9601</v>
      </c>
      <c r="AE151" s="2488" t="s">
        <v>2914</v>
      </c>
      <c r="AF151" s="2373" t="s">
        <v>9601</v>
      </c>
      <c r="AG151" s="2195" t="s">
        <v>2914</v>
      </c>
      <c r="AH151" s="2496"/>
      <c r="AI151" s="4328"/>
      <c r="AJ151" s="2785"/>
      <c r="AK151" s="2785" t="s">
        <v>9603</v>
      </c>
      <c r="AL151" s="2785">
        <v>1</v>
      </c>
      <c r="AM151" s="2785">
        <v>2</v>
      </c>
      <c r="AN151" s="2785">
        <v>3</v>
      </c>
      <c r="AO151" s="2785">
        <v>4</v>
      </c>
      <c r="AP151" s="2785">
        <v>5</v>
      </c>
      <c r="AQ151" s="2785">
        <v>6</v>
      </c>
      <c r="AR151" s="2785">
        <v>7</v>
      </c>
      <c r="AS151" s="2787"/>
      <c r="AT151" s="2785" t="s">
        <v>9634</v>
      </c>
      <c r="AU151" s="2787"/>
      <c r="AV151" s="2787"/>
      <c r="AW151" s="2787" t="s">
        <v>9634</v>
      </c>
      <c r="AX151" s="2787"/>
      <c r="AY151" s="2785"/>
    </row>
    <row r="152" spans="1:51" ht="12.75" customHeight="1" x14ac:dyDescent="0.2">
      <c r="A152" s="2487"/>
      <c r="B152" s="2368">
        <f t="shared" si="35"/>
        <v>5</v>
      </c>
      <c r="C152" s="4325"/>
      <c r="D152" s="4293" t="s">
        <v>9089</v>
      </c>
      <c r="E152" s="4294"/>
      <c r="F152" s="4295"/>
      <c r="G152" s="4296"/>
      <c r="H152" s="4296"/>
      <c r="I152" s="4296"/>
      <c r="J152" s="4240"/>
      <c r="K152" s="4297" t="s">
        <v>1464</v>
      </c>
      <c r="L152" s="4298"/>
      <c r="M152" s="4299"/>
      <c r="N152" s="2374">
        <f>IF(AW152&gt;0,IF(VLOOKUP(F152,'Tablas Técnicas'!$O$9:$X$88,10,0),MAX(5,AW152-5),AW152),0)</f>
        <v>0</v>
      </c>
      <c r="O152" s="2374" t="str">
        <f>AS152&amp;" / "&amp;AT152</f>
        <v>0 / 0</v>
      </c>
      <c r="P152" s="2374" t="str">
        <f t="array" ref="P152">W152+Y152+AA152+AC152+AE152+AG152&amp;" / "&amp;IF(K152&lt;&gt;"Mantenido",0,SUM(IF($AL152:$AR152='Tablas Técnicas'!$L$10:$L$643,'Tablas Técnicas'!$H$10:$H$643,0)))</f>
        <v>0 / 0</v>
      </c>
      <c r="Q152" s="4300" t="str">
        <f>IFERROR(VLOOKUP(F152,'Tablas Técnicas'!$O$9:$T$88,5,FALSE),"")</f>
        <v/>
      </c>
      <c r="R152" s="4300"/>
      <c r="S152" s="4300"/>
      <c r="T152" s="4300"/>
      <c r="U152" s="4300"/>
      <c r="V152" s="2324"/>
      <c r="W152" s="2325"/>
      <c r="X152" s="2324"/>
      <c r="Y152" s="2326"/>
      <c r="Z152" s="2327"/>
      <c r="AA152" s="2325"/>
      <c r="AB152" s="2324"/>
      <c r="AC152" s="2326"/>
      <c r="AD152" s="2327"/>
      <c r="AE152" s="2325"/>
      <c r="AF152" s="2324"/>
      <c r="AG152" s="2328"/>
      <c r="AH152" s="2496"/>
      <c r="AI152" s="4328"/>
      <c r="AJ152" s="2785">
        <v>1</v>
      </c>
      <c r="AK152" s="2785">
        <f>P148</f>
        <v>1</v>
      </c>
      <c r="AL152" s="2785" t="str">
        <f>IF(AND(ISNUMBER(MATCH($F152,'Tablas Técnicas'!$L$10:$L$643,0)),INDEX($D165:$D171,Tablas!A$1)="",COUNTIF(AM152:$AS152,$F152)=0),$F152,IF(INDEX($D165:$D171,Tablas!A$1)="","",$F152&amp;INDEX($D165:$D171,Tablas!A$1)))</f>
        <v/>
      </c>
      <c r="AM152" s="2785" t="str">
        <f>IF(AND(ISNUMBER(MATCH($F152,'Tablas Técnicas'!$L$10:$L$643,0)),INDEX($D165:$D171,Tablas!B$1)="",COUNTIF(AN152:$AS152,$F152)=0),$F152,IF(INDEX($D165:$D171,Tablas!B$1)="","",$F152&amp;INDEX($D165:$D171,Tablas!B$1)))</f>
        <v/>
      </c>
      <c r="AN152" s="2785" t="str">
        <f>IF(AND(ISNUMBER(MATCH($F152,'Tablas Técnicas'!$L$10:$L$643,0)),INDEX($D165:$D171,Tablas!C$1)="",COUNTIF(AO152:$AS152,$F152)=0),$F152,IF(INDEX($D165:$D171,Tablas!C$1)="","",$F152&amp;INDEX($D165:$D171,Tablas!C$1)))</f>
        <v/>
      </c>
      <c r="AO152" s="2785" t="str">
        <f>IF(AND(ISNUMBER(MATCH($F152,'Tablas Técnicas'!$L$10:$L$643,0)),INDEX($D165:$D171,Tablas!D$1)="",COUNTIF(AP152:$AS152,$F152)=0),$F152,IF(INDEX($D165:$D171,Tablas!D$1)="","",$F152&amp;INDEX($D165:$D171,Tablas!D$1)))</f>
        <v/>
      </c>
      <c r="AP152" s="2785" t="str">
        <f>IF(AND(ISNUMBER(MATCH($F152,'Tablas Técnicas'!$L$10:$L$643,0)),INDEX($D165:$D171,Tablas!E$1)="",COUNTIF(AQ152:$AS152,$F152)=0),$F152,IF(INDEX($D165:$D171,Tablas!E$1)="","",$F152&amp;INDEX($D165:$D171,Tablas!E$1)))</f>
        <v/>
      </c>
      <c r="AQ152" s="2785" t="str">
        <f>IF(AND(ISNUMBER(MATCH($F152,'Tablas Técnicas'!$L$10:$L$643,0)),INDEX($D165:$D171,Tablas!F$1)="",COUNTIF(AR152:$AS152,$F152)=0),$F152,IF(INDEX($D165:$D171,Tablas!F$1)="","",$F152&amp;INDEX($D165:$D171,Tablas!F$1)))</f>
        <v/>
      </c>
      <c r="AR152" s="2785" t="str">
        <f>IF(AND(ISNUMBER(MATCH($F152,'Tablas Técnicas'!$L$10:$L$643,0)),INDEX($D165:$D171,Tablas!G$1)="",COUNTIF(AS152:$AS152,$F152)=0),$F152,IF(INDEX($D165:$D171,Tablas!G$1)="","",$F152&amp;INDEX($D165:$D171,Tablas!G$1)))</f>
        <v/>
      </c>
      <c r="AS152" s="2787">
        <f>V152+X152+Z152+AB152+AD152+AF152</f>
        <v>0</v>
      </c>
      <c r="AT152" s="2787">
        <f t="array" ref="AT152">SUM(IF($AL152:$AR152='Tablas Técnicas'!$L$10:$L$643,IF(D152="Primario",'Tablas Técnicas'!$E$10:$E$643,'Tablas Técnicas'!$F$10:$F$643)+IF(K152="Sostenimiento menor",'Tablas Técnicas'!$I$10:$I$643,IF(K152="sostenimiento mayor",'Tablas Técnicas'!$J$10:$J$643,0)),0),0)+VALUE(RIGHT(P152,2))+AU152+AV152</f>
        <v>0</v>
      </c>
      <c r="AU152" s="278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7">
        <f>(COUNTIF(AL152:AR152,"*Estado añadido:*")-1)*COUNTIF(AL152:AR152,"*Estado añadido:*")</f>
        <v>0</v>
      </c>
      <c r="AW152" s="2787">
        <f t="array" ref="AW152">SUM(IF($AL152:$AR152='Tablas Técnicas'!$L$10:$L$643,'Tablas Técnicas'!$G$10:$G$643,0))</f>
        <v>0</v>
      </c>
      <c r="AX152" s="278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5" t="str">
        <f t="shared" ref="AY152:AY154" si="36">IFERROR(LEFT(AX152,LEN(AX152)-2)&amp;"), ","")</f>
        <v/>
      </c>
    </row>
    <row r="153" spans="1:51" ht="12.75" customHeight="1" x14ac:dyDescent="0.2">
      <c r="A153" s="2487"/>
      <c r="B153" s="2368">
        <f t="shared" si="35"/>
        <v>5</v>
      </c>
      <c r="C153" s="4325"/>
      <c r="D153" s="4221" t="s">
        <v>526</v>
      </c>
      <c r="E153" s="4222"/>
      <c r="F153" s="4304"/>
      <c r="G153" s="4305"/>
      <c r="H153" s="4305"/>
      <c r="I153" s="4305"/>
      <c r="J153" s="4249"/>
      <c r="K153" s="4306" t="s">
        <v>1464</v>
      </c>
      <c r="L153" s="4307"/>
      <c r="M153" s="4308"/>
      <c r="N153" s="2192">
        <f>IF(AW153&gt;0,IF(VLOOKUP(F153,'Tablas Técnicas'!$O$9:$X$88,10,0),MAX(5,AW153-5),AW153),0)</f>
        <v>0</v>
      </c>
      <c r="O153" s="2192" t="str">
        <f>AS153&amp;" / "&amp;AT153</f>
        <v>0 / 0</v>
      </c>
      <c r="P153" s="2192" t="str">
        <f t="array" ref="P153">W153+Y153+AA153+AC153+AE153+AG153&amp;" / "&amp;IF(K153&lt;&gt;"Mantenido",0,SUM(IF($AL153:$AR153='Tablas Técnicas'!$L$10:$L$643,'Tablas Técnicas'!$H$10:$H$643,0)))</f>
        <v>0 / 0</v>
      </c>
      <c r="Q153" s="4223" t="str">
        <f>IFERROR(VLOOKUP(F153,'Tablas Técnicas'!$O$9:$T$88,5,FALSE),"")</f>
        <v/>
      </c>
      <c r="R153" s="4223"/>
      <c r="S153" s="4223"/>
      <c r="T153" s="4223"/>
      <c r="U153" s="4223"/>
      <c r="V153" s="2329"/>
      <c r="W153" s="2330"/>
      <c r="X153" s="2329"/>
      <c r="Y153" s="2331"/>
      <c r="Z153" s="2332"/>
      <c r="AA153" s="2330"/>
      <c r="AB153" s="2329"/>
      <c r="AC153" s="2331"/>
      <c r="AD153" s="2332"/>
      <c r="AE153" s="2330"/>
      <c r="AF153" s="2329"/>
      <c r="AG153" s="2333"/>
      <c r="AH153" s="2496"/>
      <c r="AI153" s="4328"/>
      <c r="AJ153" s="2785">
        <v>2</v>
      </c>
      <c r="AK153" s="2785">
        <f>P148</f>
        <v>1</v>
      </c>
      <c r="AL153" s="2785" t="str">
        <f>IF(AND(ISNUMBER(MATCH($F153,'Tablas Técnicas'!$L$10:$L$643,0)),INDEX($J165:$J171,Tablas!A$1)="",COUNTIF(AM153:$AS153,$F153)=0),$F153,IF(INDEX($J165:$J171,Tablas!A$1)="","",$F153&amp;INDEX($J165:$J171,Tablas!A$1)))</f>
        <v/>
      </c>
      <c r="AM153" s="2785" t="str">
        <f>IF(AND(ISNUMBER(MATCH($F153,'Tablas Técnicas'!$L$10:$L$643,0)),INDEX($J165:$J171,Tablas!B$1)="",COUNTIF(AN153:$AS153,$F153)=0),$F153,IF(INDEX($J165:$J171,Tablas!B$1)="","",$F153&amp;INDEX($J165:$J171,Tablas!B$1)))</f>
        <v/>
      </c>
      <c r="AN153" s="2785" t="str">
        <f>IF(AND(ISNUMBER(MATCH($F153,'Tablas Técnicas'!$L$10:$L$643,0)),INDEX($J165:$J171,Tablas!C$1)="",COUNTIF(AO153:$AS153,$F153)=0),$F153,IF(INDEX($J165:$J171,Tablas!C$1)="","",$F153&amp;INDEX($J165:$J171,Tablas!C$1)))</f>
        <v/>
      </c>
      <c r="AO153" s="2785" t="str">
        <f>IF(AND(ISNUMBER(MATCH($F153,'Tablas Técnicas'!$L$10:$L$643,0)),INDEX($J165:$J171,Tablas!D$1)="",COUNTIF(AP153:$AS153,$F153)=0),$F153,IF(INDEX($J165:$J171,Tablas!D$1)="","",$F153&amp;INDEX($J165:$J171,Tablas!D$1)))</f>
        <v/>
      </c>
      <c r="AP153" s="2785" t="str">
        <f>IF(AND(ISNUMBER(MATCH($F153,'Tablas Técnicas'!$L$10:$L$643,0)),INDEX($J165:$J171,Tablas!E$1)="",COUNTIF(AQ153:$AS153,$F153)=0),$F153,IF(INDEX($J165:$J171,Tablas!E$1)="","",$F153&amp;INDEX($J165:$J171,Tablas!E$1)))</f>
        <v/>
      </c>
      <c r="AQ153" s="2785" t="str">
        <f>IF(AND(ISNUMBER(MATCH($F153,'Tablas Técnicas'!$L$10:$L$643,0)),INDEX($J165:$J171,Tablas!F$1)="",COUNTIF(AR153:$AS153,$F153)=0),$F153,IF(INDEX($J165:$J171,Tablas!F$1)="","",$F153&amp;INDEX($J165:$J171,Tablas!F$1)))</f>
        <v/>
      </c>
      <c r="AR153" s="2785" t="str">
        <f>IF(AND(ISNUMBER(MATCH($F153,'Tablas Técnicas'!$L$10:$L$643,0)),INDEX($J165:$J171,Tablas!G$1)="",COUNTIF(AS153:$AS153,$F153)=0),$F153,IF(INDEX($J165:$J171,Tablas!G$1)="","",$F153&amp;INDEX($J165:$J171,Tablas!G$1)))</f>
        <v/>
      </c>
      <c r="AS153" s="2787">
        <f>V153+X153+Z153+AB153+AD153+AF153</f>
        <v>0</v>
      </c>
      <c r="AT153" s="2787">
        <f t="array" ref="AT153">SUM(IF($AL153:$AR153='Tablas Técnicas'!$L$10:$L$643,IF(D153="Primario",'Tablas Técnicas'!$E$10:$E$643,'Tablas Técnicas'!$F$10:$F$643)+IF(K153="Sostenimiento menor",'Tablas Técnicas'!$I$10:$I$643,IF(K153="sostenimiento mayor",'Tablas Técnicas'!$J$10:$J$643,0)),0),0)+VALUE(RIGHT(P153,2))+AU153+AV153</f>
        <v>0</v>
      </c>
      <c r="AU153" s="278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7">
        <f>(COUNTIF(AL153:AR153,"*Estado añadido:*")-1)*COUNTIF(AL153:AR153,"*Estado añadido:*")</f>
        <v>0</v>
      </c>
      <c r="AW153" s="2787">
        <f t="array" ref="AW153">SUM(IF($AL153:$AR153='Tablas Técnicas'!$L$10:$L$643,'Tablas Técnicas'!$G$10:$G$643,0))</f>
        <v>0</v>
      </c>
      <c r="AX153" s="278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5" t="str">
        <f t="shared" si="36"/>
        <v/>
      </c>
    </row>
    <row r="154" spans="1:51" ht="12.75" customHeight="1" x14ac:dyDescent="0.2">
      <c r="A154" s="2487"/>
      <c r="B154" s="2368">
        <f t="shared" si="35"/>
        <v>5</v>
      </c>
      <c r="C154" s="4325"/>
      <c r="D154" s="4312" t="s">
        <v>526</v>
      </c>
      <c r="E154" s="4313"/>
      <c r="F154" s="4227"/>
      <c r="G154" s="4228"/>
      <c r="H154" s="4228"/>
      <c r="I154" s="4228"/>
      <c r="J154" s="4229"/>
      <c r="K154" s="4309" t="s">
        <v>1464</v>
      </c>
      <c r="L154" s="4310"/>
      <c r="M154" s="4311"/>
      <c r="N154" s="2188">
        <f>IF(AW154&gt;0,IF(VLOOKUP(F154,'Tablas Técnicas'!$O$9:$X$88,10,0),MAX(5,AW154-5),AW154),0)</f>
        <v>0</v>
      </c>
      <c r="O154" s="2188" t="str">
        <f>AS154&amp;" / "&amp;AT154</f>
        <v>0 / 0</v>
      </c>
      <c r="P154" s="2188" t="str">
        <f t="array" ref="P154">W154+Y154+AA154+AC154+AE154+AG154&amp;" / "&amp;IF(K154&lt;&gt;"Mantenido",0,SUM(IF($AL154:$AR154='Tablas Técnicas'!$L$10:$L$643,'Tablas Técnicas'!$H$10:$H$643,0)))</f>
        <v>0 / 0</v>
      </c>
      <c r="Q154" s="4314" t="str">
        <f>IFERROR(VLOOKUP(F154,'Tablas Técnicas'!$O$9:$T$88,5,FALSE),"")</f>
        <v/>
      </c>
      <c r="R154" s="4314"/>
      <c r="S154" s="4314"/>
      <c r="T154" s="4314"/>
      <c r="U154" s="4314"/>
      <c r="V154" s="2334"/>
      <c r="W154" s="2335"/>
      <c r="X154" s="2334"/>
      <c r="Y154" s="2336"/>
      <c r="Z154" s="2337"/>
      <c r="AA154" s="2335"/>
      <c r="AB154" s="2334"/>
      <c r="AC154" s="2336"/>
      <c r="AD154" s="2337"/>
      <c r="AE154" s="2335"/>
      <c r="AF154" s="2334"/>
      <c r="AG154" s="2338"/>
      <c r="AH154" s="2496"/>
      <c r="AI154" s="4328"/>
      <c r="AJ154" s="2785">
        <v>3</v>
      </c>
      <c r="AK154" s="2785">
        <f>P148</f>
        <v>1</v>
      </c>
      <c r="AL154" s="2785" t="str">
        <f>IF(AND(ISNUMBER(MATCH($F154,'Tablas Técnicas'!$L$10:$L$643,0)),INDEX($P165:$P171,Tablas!A$1)="",COUNTIF(AM154:$AS154,$F154)=0),$F154,IF(INDEX($P165:$P171,Tablas!A$1)="","",$F154&amp;INDEX($P165:$P171,Tablas!A$1)))</f>
        <v/>
      </c>
      <c r="AM154" s="2785" t="str">
        <f>IF(AND(ISNUMBER(MATCH($F154,'Tablas Técnicas'!$L$10:$L$643,0)),INDEX($P165:$P171,Tablas!B$1)="",COUNTIF(AN154:$AS154,$F154)=0),$F154,IF(INDEX($P165:$P171,Tablas!B$1)="","",$F154&amp;INDEX($P165:$P171,Tablas!B$1)))</f>
        <v/>
      </c>
      <c r="AN154" s="2785" t="str">
        <f>IF(AND(ISNUMBER(MATCH($F154,'Tablas Técnicas'!$L$10:$L$643,0)),INDEX($P165:$P171,Tablas!C$1)="",COUNTIF(AO154:$AS154,$F154)=0),$F154,IF(INDEX($P165:$P171,Tablas!C$1)="","",$F154&amp;INDEX($P165:$P171,Tablas!C$1)))</f>
        <v/>
      </c>
      <c r="AO154" s="2785" t="str">
        <f>IF(AND(ISNUMBER(MATCH($F154,'Tablas Técnicas'!$L$10:$L$643,0)),INDEX($P165:$P171,Tablas!D$1)="",COUNTIF(AP154:$AS154,$F154)=0),$F154,IF(INDEX($P165:$P171,Tablas!D$1)="","",$F154&amp;INDEX($P165:$P171,Tablas!D$1)))</f>
        <v/>
      </c>
      <c r="AP154" s="2785" t="str">
        <f>IF(AND(ISNUMBER(MATCH($F154,'Tablas Técnicas'!$L$10:$L$643,0)),INDEX($P165:$P171,Tablas!E$1)="",COUNTIF(AQ154:$AS154,$F154)=0),$F154,IF(INDEX($P165:$P171,Tablas!E$1)="","",$F154&amp;INDEX($P165:$P171,Tablas!E$1)))</f>
        <v/>
      </c>
      <c r="AQ154" s="2785" t="str">
        <f>IF(AND(ISNUMBER(MATCH($F154,'Tablas Técnicas'!$L$10:$L$643,0)),INDEX($P165:$P171,Tablas!F$1)="",COUNTIF(AR154:$AS154,$F154)=0),$F154,IF(INDEX($P165:$P171,Tablas!F$1)="","",$F154&amp;INDEX($P165:$P171,Tablas!F$1)))</f>
        <v/>
      </c>
      <c r="AR154" s="2785" t="str">
        <f>IF(AND(ISNUMBER(MATCH($F154,'Tablas Técnicas'!$L$10:$L$643,0)),INDEX($P165:$P171,Tablas!G$1)="",COUNTIF(AS154:$AS154,$F154)=0),$F154,IF(INDEX($P165:$P171,Tablas!G$1)="","",$F154&amp;INDEX($P165:$P171,Tablas!G$1)))</f>
        <v/>
      </c>
      <c r="AS154" s="2787">
        <f>V154+X154+Z154+AB154+AD154+AF154</f>
        <v>0</v>
      </c>
      <c r="AT154" s="2787">
        <f t="array" ref="AT154">SUM(IF($AL154:$AR154='Tablas Técnicas'!$L$10:$L$643,IF(D154="Primario",'Tablas Técnicas'!$E$10:$E$643,'Tablas Técnicas'!$F$10:$F$643)+IF(K154="Sostenimiento menor",'Tablas Técnicas'!$I$10:$I$643,IF(K154="sostenimiento mayor",'Tablas Técnicas'!$J$10:$J$643,0)),0),0)+VALUE(RIGHT(P154,2))+AU154+AV154</f>
        <v>0</v>
      </c>
      <c r="AU154" s="278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7">
        <f>(COUNTIF(AL154:AR154,"*Estado añadido:*")-1)*COUNTIF(AL154:AR154,"*Estado añadido:*")</f>
        <v>0</v>
      </c>
      <c r="AW154" s="2787">
        <f t="array" ref="AW154">SUM(IF($AL154:$AR154='Tablas Técnicas'!$L$10:$L$643,'Tablas Técnicas'!$G$10:$G$643,0))</f>
        <v>0</v>
      </c>
      <c r="AX154" s="2785" t="str">
        <f t="shared" si="37"/>
        <v/>
      </c>
      <c r="AY154" s="2785" t="str">
        <f t="shared" si="36"/>
        <v/>
      </c>
    </row>
    <row r="155" spans="1:51" ht="12.75" customHeight="1" x14ac:dyDescent="0.2">
      <c r="A155" s="2487"/>
      <c r="B155" s="2368">
        <f t="shared" si="35"/>
        <v>5</v>
      </c>
      <c r="C155" s="4325"/>
      <c r="D155" s="4221" t="s">
        <v>526</v>
      </c>
      <c r="E155" s="4222"/>
      <c r="F155" s="4304"/>
      <c r="G155" s="4305"/>
      <c r="H155" s="4305"/>
      <c r="I155" s="4305"/>
      <c r="J155" s="4249"/>
      <c r="K155" s="4306" t="s">
        <v>1464</v>
      </c>
      <c r="L155" s="4307"/>
      <c r="M155" s="4308"/>
      <c r="N155" s="2192">
        <f>IF(AW155&gt;0,IF(VLOOKUP(F155,'Tablas Técnicas'!$O$9:$X$88,10,0),MAX(5,AW155-5),AW155),0)</f>
        <v>0</v>
      </c>
      <c r="O155" s="2192" t="str">
        <f>AS155&amp;" / "&amp;AT155</f>
        <v>0 / 0</v>
      </c>
      <c r="P155" s="2192" t="str">
        <f t="array" ref="P155">W155+Y155+AA155+AC155+AE155+AG155&amp;" / "&amp;IF(K155&lt;&gt;"Mantenido",0,SUM(IF($AL155:$AR155='Tablas Técnicas'!$L$10:$L$643,'Tablas Técnicas'!$H$10:$H$643,0)))</f>
        <v>0 / 0</v>
      </c>
      <c r="Q155" s="4223" t="str">
        <f>IFERROR(VLOOKUP(F155,'Tablas Técnicas'!$O$9:$T$88,5,FALSE),"")</f>
        <v/>
      </c>
      <c r="R155" s="4223"/>
      <c r="S155" s="4223"/>
      <c r="T155" s="4223"/>
      <c r="U155" s="4223"/>
      <c r="V155" s="2329"/>
      <c r="W155" s="2330"/>
      <c r="X155" s="2329"/>
      <c r="Y155" s="2331"/>
      <c r="Z155" s="2332"/>
      <c r="AA155" s="2330"/>
      <c r="AB155" s="2329"/>
      <c r="AC155" s="2331"/>
      <c r="AD155" s="2332"/>
      <c r="AE155" s="2330"/>
      <c r="AF155" s="2329"/>
      <c r="AG155" s="2333"/>
      <c r="AH155" s="2496"/>
      <c r="AI155" s="4328"/>
      <c r="AJ155" s="2785">
        <v>4</v>
      </c>
      <c r="AK155" s="2785">
        <f>P148</f>
        <v>1</v>
      </c>
      <c r="AL155" s="2785" t="str">
        <f>IF(AND(ISNUMBER(MATCH($F155,'Tablas Técnicas'!$L$10:$L$643,0)),INDEX($V165:$V171,Tablas!A$1)="",COUNTIF(AM155:$AS155,$F155)=0),$F155,IF(INDEX($V165:$V171,Tablas!A$1)="","",$F155&amp;INDEX($V165:$V171,Tablas!A$1)))</f>
        <v/>
      </c>
      <c r="AM155" s="2785" t="str">
        <f>IF(AND(ISNUMBER(MATCH($F155,'Tablas Técnicas'!$L$10:$L$643,0)),INDEX($V165:$V171,Tablas!B$1)="",COUNTIF(AN155:$AS155,$F155)=0),$F155,IF(INDEX($V165:$V171,Tablas!B$1)="","",$F155&amp;INDEX($V165:$V171,Tablas!B$1)))</f>
        <v/>
      </c>
      <c r="AN155" s="2785" t="str">
        <f>IF(AND(ISNUMBER(MATCH($F155,'Tablas Técnicas'!$L$10:$L$643,0)),INDEX($V165:$V171,Tablas!C$1)="",COUNTIF(AO155:$AS155,$F155)=0),$F155,IF(INDEX($V165:$V171,Tablas!C$1)="","",$F155&amp;INDEX($V165:$V171,Tablas!C$1)))</f>
        <v/>
      </c>
      <c r="AO155" s="2785" t="str">
        <f>IF(AND(ISNUMBER(MATCH($F155,'Tablas Técnicas'!$L$10:$L$643,0)),INDEX($V165:$V171,Tablas!D$1)="",COUNTIF(AP155:$AS155,$F155)=0),$F155,IF(INDEX($V165:$V171,Tablas!D$1)="","",$F155&amp;INDEX($V165:$V171,Tablas!D$1)))</f>
        <v/>
      </c>
      <c r="AP155" s="2785" t="str">
        <f>IF(AND(ISNUMBER(MATCH($F155,'Tablas Técnicas'!$L$10:$L$643,0)),INDEX($V165:$V171,Tablas!E$1)="",COUNTIF(AQ155:$AS155,$F155)=0),$F155,IF(INDEX($V165:$V171,Tablas!E$1)="","",$F155&amp;INDEX($V165:$V171,Tablas!E$1)))</f>
        <v/>
      </c>
      <c r="AQ155" s="2785" t="str">
        <f>IF(AND(ISNUMBER(MATCH($F155,'Tablas Técnicas'!$L$10:$L$643,0)),INDEX($V165:$V171,Tablas!F$1)="",COUNTIF(AR155:$AS155,$F155)=0),$F155,IF(INDEX($V165:$V171,Tablas!F$1)="","",$F155&amp;INDEX($V165:$V171,Tablas!F$1)))</f>
        <v/>
      </c>
      <c r="AR155" s="2785" t="str">
        <f>IF(AND(ISNUMBER(MATCH($F155,'Tablas Técnicas'!$L$10:$L$643,0)),INDEX($V165:$V171,Tablas!G$1)="",COUNTIF(AS155:$AS155,$F155)=0),$F155,IF(INDEX($V165:$V171,Tablas!G$1)="","",$F155&amp;INDEX($V165:$V171,Tablas!G$1)))</f>
        <v/>
      </c>
      <c r="AS155" s="2787">
        <f>V155+X155+Z155+AB155+AD155+AF155</f>
        <v>0</v>
      </c>
      <c r="AT155" s="2787">
        <f t="array" ref="AT155">SUM(IF($AL155:$AR155='Tablas Técnicas'!$L$10:$L$643,IF(D155="Primario",'Tablas Técnicas'!$E$10:$E$643,'Tablas Técnicas'!$F$10:$F$643)+IF(K155="Sostenimiento menor",'Tablas Técnicas'!$I$10:$I$643,IF(K155="sostenimiento mayor",'Tablas Técnicas'!$J$10:$J$643,0)),0),0)+VALUE(RIGHT(P155,2))+AU155+AV155</f>
        <v>0</v>
      </c>
      <c r="AU155" s="278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7">
        <f>(COUNTIF(AL155:AR155,"*Estado añadido:*")-1)*COUNTIF(AL155:AR155,"*Estado añadido:*")</f>
        <v>0</v>
      </c>
      <c r="AW155" s="2787">
        <f t="array" ref="AW155">SUM(IF($AL155:$AR155='Tablas Técnicas'!$L$10:$L$643,'Tablas Técnicas'!$G$10:$G$643,0))</f>
        <v>0</v>
      </c>
      <c r="AX155" s="2785" t="str">
        <f t="shared" si="37"/>
        <v/>
      </c>
      <c r="AY155" s="2785" t="str">
        <f>IFERROR(LEFT(AX155,LEN(AX155)-2)&amp;"), ","")</f>
        <v/>
      </c>
    </row>
    <row r="156" spans="1:51" ht="12.75" customHeight="1" thickBot="1" x14ac:dyDescent="0.25">
      <c r="A156" s="2487"/>
      <c r="B156" s="2368">
        <f t="shared" si="35"/>
        <v>5</v>
      </c>
      <c r="C156" s="4325"/>
      <c r="D156" s="4224" t="s">
        <v>526</v>
      </c>
      <c r="E156" s="4225"/>
      <c r="F156" s="4315"/>
      <c r="G156" s="4316"/>
      <c r="H156" s="4316"/>
      <c r="I156" s="4316"/>
      <c r="J156" s="4317"/>
      <c r="K156" s="4301" t="s">
        <v>1464</v>
      </c>
      <c r="L156" s="4302"/>
      <c r="M156" s="4303"/>
      <c r="N156" s="2489">
        <f>IF(AW156&gt;0,IF(VLOOKUP(F156,'Tablas Técnicas'!$O$9:$X$88,10,0),MAX(5,AW156-5),AW156),0)</f>
        <v>0</v>
      </c>
      <c r="O156" s="2489" t="str">
        <f>AS156&amp;" / "&amp;AT156</f>
        <v>0 / 0</v>
      </c>
      <c r="P156" s="2489" t="str">
        <f t="array" ref="P156">W156+Y156+AA156+AC156+AE156+AG156&amp;" / "&amp;IF(K156&lt;&gt;"Mantenido",0,SUM(IF($AL156:$AR156='Tablas Técnicas'!$L$10:$L$643,'Tablas Técnicas'!$H$10:$H$643,0)))</f>
        <v>0 / 0</v>
      </c>
      <c r="Q156" s="4226" t="str">
        <f>IFERROR(VLOOKUP(F156,'Tablas Técnicas'!$O$9:$T$88,5,FALSE),"")</f>
        <v/>
      </c>
      <c r="R156" s="4226"/>
      <c r="S156" s="4226"/>
      <c r="T156" s="4226"/>
      <c r="U156" s="4226"/>
      <c r="V156" s="2339"/>
      <c r="W156" s="2340"/>
      <c r="X156" s="2339"/>
      <c r="Y156" s="2341"/>
      <c r="Z156" s="2342"/>
      <c r="AA156" s="2340"/>
      <c r="AB156" s="2339"/>
      <c r="AC156" s="2341"/>
      <c r="AD156" s="2342"/>
      <c r="AE156" s="2340"/>
      <c r="AF156" s="2339"/>
      <c r="AG156" s="2343"/>
      <c r="AH156" s="2496"/>
      <c r="AI156" s="4328"/>
      <c r="AJ156" s="2785">
        <v>5</v>
      </c>
      <c r="AK156" s="2785">
        <f>P148</f>
        <v>1</v>
      </c>
      <c r="AL156" s="2785" t="str">
        <f>IF(AND(ISNUMBER(MATCH($F156,'Tablas Técnicas'!$L$10:$L$643,0)),INDEX($AB165:$AB171,Tablas!A$1)="",COUNTIF(AM156:$AS156,$F156)=0),$F156,IF(INDEX($AB165:$AB171,Tablas!A$1)="","",$F156&amp;INDEX($AB165:$AB171,Tablas!A$1)))</f>
        <v/>
      </c>
      <c r="AM156" s="2785" t="str">
        <f>IF(AND(ISNUMBER(MATCH($F156,'Tablas Técnicas'!$L$10:$L$643,0)),INDEX($AB165:$AB171,Tablas!B$1)="",COUNTIF(AN156:$AS156,$F156)=0),$F156,IF(INDEX($AB165:$AB171,Tablas!B$1)="","",$F156&amp;INDEX($AB165:$AB171,Tablas!B$1)))</f>
        <v/>
      </c>
      <c r="AN156" s="2785" t="str">
        <f>IF(AND(ISNUMBER(MATCH($F156,'Tablas Técnicas'!$L$10:$L$643,0)),INDEX($AB165:$AB171,Tablas!C$1)="",COUNTIF(AO156:$AS156,$F156)=0),$F156,IF(INDEX($AB165:$AB171,Tablas!C$1)="","",$F156&amp;INDEX($AB165:$AB171,Tablas!C$1)))</f>
        <v/>
      </c>
      <c r="AO156" s="2785" t="str">
        <f>IF(AND(ISNUMBER(MATCH($F156,'Tablas Técnicas'!$L$10:$L$643,0)),INDEX($AB165:$AB171,Tablas!D$1)="",COUNTIF(AP156:$AS156,$F156)=0),$F156,IF(INDEX($AB165:$AB171,Tablas!D$1)="","",$F156&amp;INDEX($AB165:$AB171,Tablas!D$1)))</f>
        <v/>
      </c>
      <c r="AP156" s="2785" t="str">
        <f>IF(AND(ISNUMBER(MATCH($F156,'Tablas Técnicas'!$L$10:$L$643,0)),INDEX($AB165:$AB171,Tablas!E$1)="",COUNTIF(AQ156:$AS156,$F156)=0),$F156,IF(INDEX($AB165:$AB171,Tablas!E$1)="","",$F156&amp;INDEX($AB165:$AB171,Tablas!E$1)))</f>
        <v/>
      </c>
      <c r="AQ156" s="2785" t="str">
        <f>IF(AND(ISNUMBER(MATCH($F156,'Tablas Técnicas'!$L$10:$L$643,0)),INDEX($AB165:$AB171,Tablas!F$1)="",COUNTIF(AR156:$AS156,$F156)=0),$F156,IF(INDEX($AB165:$AB171,Tablas!F$1)="","",$F156&amp;INDEX($AB165:$AB171,Tablas!F$1)))</f>
        <v/>
      </c>
      <c r="AR156" s="2785" t="str">
        <f>IF(AND(ISNUMBER(MATCH($F156,'Tablas Técnicas'!$L$10:$L$643,0)),INDEX($AB165:$AB171,Tablas!G$1)="",COUNTIF(AS156:$AS156,$F156)=0),$F156,IF(INDEX($AB165:$AB171,Tablas!G$1)="","",$F156&amp;INDEX($AB165:$AB171,Tablas!G$1)))</f>
        <v/>
      </c>
      <c r="AS156" s="2787">
        <f>V156+X156+Z156+AB156+AD156+AF156</f>
        <v>0</v>
      </c>
      <c r="AT156" s="2787">
        <f t="array" ref="AT156">SUM(IF($AL156:$AR156='Tablas Técnicas'!$L$10:$L$643,IF(D156="Primario",'Tablas Técnicas'!$E$10:$E$643,'Tablas Técnicas'!$F$10:$F$643)+IF(K156="Sostenimiento menor",'Tablas Técnicas'!$I$10:$I$643,IF(K156="sostenimiento mayor",'Tablas Técnicas'!$J$10:$J$643,0)),0),0)+VALUE(RIGHT(P156,2))+AU156+AV156</f>
        <v>0</v>
      </c>
      <c r="AU156" s="278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7">
        <f>(COUNTIF(AL156:AR156,"*Estado añadido:*")-1)*COUNTIF(AL156:AR156,"*Estado añadido:*")</f>
        <v>0</v>
      </c>
      <c r="AW156" s="2787">
        <f t="array" ref="AW156">SUM(IF($AL156:$AR156='Tablas Técnicas'!$L$10:$L$643,'Tablas Técnicas'!$G$10:$G$643,0))</f>
        <v>0</v>
      </c>
      <c r="AX156" s="2785" t="str">
        <f t="shared" si="37"/>
        <v/>
      </c>
      <c r="AY156" s="2785" t="str">
        <f t="shared" ref="AY156" si="38">IFERROR(LEFT(AX156,LEN(AX156)-2)&amp;"), ","")</f>
        <v/>
      </c>
    </row>
    <row r="157" spans="1:51" ht="12.75" customHeight="1" x14ac:dyDescent="0.2">
      <c r="A157" s="2487"/>
      <c r="B157" s="2368">
        <f t="shared" si="35"/>
        <v>5</v>
      </c>
      <c r="C157" s="4325"/>
      <c r="D157" s="4274" t="s">
        <v>2905</v>
      </c>
      <c r="E157" s="4275"/>
      <c r="F157" s="4264"/>
      <c r="G157" s="4265"/>
      <c r="H157" s="4265"/>
      <c r="I157" s="4265"/>
      <c r="J157" s="4266"/>
      <c r="K157" s="4240"/>
      <c r="L157" s="4241"/>
      <c r="M157" s="4242"/>
      <c r="N157" s="2196" t="str">
        <f>IFERROR(INDEX('Tablas Técnicas'!$Q$200:$Q$299,MATCH(F157&amp;K157,'Tablas Técnicas'!$S$200:$S$299,0)),"")</f>
        <v/>
      </c>
      <c r="O157" s="4243"/>
      <c r="P157" s="4244"/>
      <c r="Q157" s="4245"/>
      <c r="R157" s="4244"/>
      <c r="S157" s="2374" t="str">
        <f>IFERROR("Nivel: "&amp;MAX(1,INDEX('Tablas Técnicas'!$R$200:$R$299,MATCH(F157&amp;K157,'Tablas Técnicas'!$S$200:$S$299,0))),"")</f>
        <v/>
      </c>
      <c r="T157" s="2197"/>
      <c r="U157" s="2198" t="str">
        <f>IFERROR("("&amp;VLOOKUP(F157,'Tablas Técnicas'!$V$199:$X$225,3,FALSE)&amp;")","")</f>
        <v/>
      </c>
      <c r="V157" s="4187" t="s">
        <v>9924</v>
      </c>
      <c r="W157" s="4188"/>
      <c r="X157" s="4189"/>
      <c r="Y157" s="2666">
        <v>0</v>
      </c>
      <c r="Z157" s="4190" t="s">
        <v>9094</v>
      </c>
      <c r="AA157" s="4191"/>
      <c r="AB157" s="4192"/>
      <c r="AC157" s="2666">
        <v>0</v>
      </c>
      <c r="AD157" s="4193" t="str">
        <f>"Ki sin repartir: "&amp;AL165-AL166&amp;IF(AM165=0,""," ("&amp;AM165-AM166&amp;")")</f>
        <v>Ki sin repartir: 0</v>
      </c>
      <c r="AE157" s="4194"/>
      <c r="AF157" s="4194"/>
      <c r="AG157" s="4195"/>
      <c r="AH157" s="2496"/>
      <c r="AI157" s="4328"/>
      <c r="AJ157" s="2785">
        <v>1</v>
      </c>
      <c r="AK157" s="2785">
        <f>P148</f>
        <v>1</v>
      </c>
      <c r="AL157" s="2785" t="e">
        <f>VLOOKUP(F157,'Tablas Técnicas'!$V$199:$X$221,2,FALSE)</f>
        <v>#N/A</v>
      </c>
      <c r="AM157" s="2785"/>
      <c r="AN157" s="2786"/>
      <c r="AO157" s="2785"/>
      <c r="AP157" s="2785"/>
      <c r="AQ157" s="2786"/>
      <c r="AR157" s="2785"/>
      <c r="AS157" s="2785"/>
      <c r="AT157" s="2785"/>
      <c r="AU157" s="2785"/>
      <c r="AV157" s="2785"/>
      <c r="AW157" s="2787"/>
      <c r="AX157" s="2787"/>
      <c r="AY157" s="2785" t="str">
        <f>IF(F157="","",F157&amp;IF(K157="",""," ("&amp;IF(F157="Atadura Elemental",O157&amp;IF(Q157="","",", "&amp;Q157),K157)&amp;")")&amp;", ")</f>
        <v/>
      </c>
    </row>
    <row r="158" spans="1:51" ht="11.25" customHeight="1" x14ac:dyDescent="0.2">
      <c r="A158" s="2487"/>
      <c r="B158" s="2368">
        <f t="shared" si="35"/>
        <v>5</v>
      </c>
      <c r="C158" s="4325"/>
      <c r="D158" s="4276"/>
      <c r="E158" s="4277"/>
      <c r="F158" s="4246"/>
      <c r="G158" s="4247"/>
      <c r="H158" s="4247"/>
      <c r="I158" s="4247"/>
      <c r="J158" s="4248"/>
      <c r="K158" s="4249"/>
      <c r="L158" s="4250"/>
      <c r="M158" s="4251"/>
      <c r="N158" s="2199" t="str">
        <f>IFERROR(INDEX('Tablas Técnicas'!$Q$200:$Q$299,MATCH(F158&amp;K158,'Tablas Técnicas'!$S$200:$S$299,0)),"")</f>
        <v/>
      </c>
      <c r="O158" s="4252"/>
      <c r="P158" s="4253"/>
      <c r="Q158" s="4254"/>
      <c r="R158" s="4253"/>
      <c r="S158" s="2192" t="str">
        <f>IFERROR("Nivel: "&amp;MAX(1,INDEX('Tablas Técnicas'!$R$200:$R$299,MATCH(F158&amp;K158,'Tablas Técnicas'!$S$200:$S$299,0))),"")</f>
        <v/>
      </c>
      <c r="T158" s="2302"/>
      <c r="U158" s="2191" t="str">
        <f>IFERROR("("&amp;VLOOKUP(F158,'Tablas Técnicas'!$V$199:$X$225,3,FALSE)&amp;")","")</f>
        <v/>
      </c>
      <c r="V158" s="4184" t="str">
        <f>"Mod. "&amp;V150</f>
        <v>Mod. AGI</v>
      </c>
      <c r="W158" s="4185"/>
      <c r="X158" s="4184" t="str">
        <f t="shared" ref="X158" si="39">"Mod. "&amp;X150</f>
        <v>Mod. CON</v>
      </c>
      <c r="Y158" s="4185"/>
      <c r="Z158" s="4184" t="str">
        <f t="shared" ref="Z158" si="40">"Mod. "&amp;Z150</f>
        <v>Mod. DES</v>
      </c>
      <c r="AA158" s="4185"/>
      <c r="AB158" s="4184" t="str">
        <f t="shared" ref="AB158" si="41">"Mod. "&amp;AB150</f>
        <v>Mod. FUE</v>
      </c>
      <c r="AC158" s="4185"/>
      <c r="AD158" s="4184" t="str">
        <f t="shared" ref="AD158" si="42">"Mod. "&amp;AD150</f>
        <v>Mod. POD</v>
      </c>
      <c r="AE158" s="4185"/>
      <c r="AF158" s="4184" t="str">
        <f t="shared" ref="AF158" si="43">"Mod. "&amp;AF150</f>
        <v>Mod. VOL</v>
      </c>
      <c r="AG158" s="4186"/>
      <c r="AH158" s="2496"/>
      <c r="AI158" s="4328"/>
      <c r="AJ158" s="2785">
        <v>2</v>
      </c>
      <c r="AK158" s="2785">
        <f>P148</f>
        <v>1</v>
      </c>
      <c r="AL158" s="2785" t="e">
        <f>VLOOKUP(F158,'Tablas Técnicas'!$V$199:$X$221,2,FALSE)</f>
        <v>#N/A</v>
      </c>
      <c r="AM158" s="2785"/>
      <c r="AN158" s="2786"/>
      <c r="AO158" s="2785"/>
      <c r="AP158" s="2785"/>
      <c r="AQ158" s="2786"/>
      <c r="AR158" s="2785"/>
      <c r="AS158" s="2785"/>
      <c r="AT158" s="2785"/>
      <c r="AU158" s="2785"/>
      <c r="AV158" s="2785"/>
      <c r="AW158" s="2787"/>
      <c r="AX158" s="2787"/>
      <c r="AY158" s="2785" t="str">
        <f>IF(F158="","",F158&amp;IF(K158="",""," ("&amp;IF(F158="Atadura Elemental",O158&amp;IF(Q158="","",", "&amp;Q158),K158)&amp;")")&amp;", ")</f>
        <v/>
      </c>
    </row>
    <row r="159" spans="1:51" ht="12.75" customHeight="1" thickBot="1" x14ac:dyDescent="0.25">
      <c r="A159" s="2487"/>
      <c r="B159" s="2368">
        <f t="shared" si="35"/>
        <v>5</v>
      </c>
      <c r="C159" s="4325"/>
      <c r="D159" s="4278"/>
      <c r="E159" s="4279"/>
      <c r="F159" s="4255"/>
      <c r="G159" s="4256"/>
      <c r="H159" s="4256"/>
      <c r="I159" s="4256"/>
      <c r="J159" s="4257"/>
      <c r="K159" s="4258"/>
      <c r="L159" s="4259"/>
      <c r="M159" s="4260"/>
      <c r="N159" s="2200" t="str">
        <f>IFERROR(INDEX('Tablas Técnicas'!$Q$200:$Q$299,MATCH(F159&amp;K159,'Tablas Técnicas'!$S$200:$S$299,0)),"")</f>
        <v/>
      </c>
      <c r="O159" s="4261"/>
      <c r="P159" s="4262"/>
      <c r="Q159" s="4263"/>
      <c r="R159" s="4262"/>
      <c r="S159" s="2489" t="str">
        <f>IFERROR("Nivel: "&amp;MAX(1,INDEX('Tablas Técnicas'!$R$200:$R$299,MATCH(F159&amp;K159,'Tablas Técnicas'!$S$200:$S$299,0))),"")</f>
        <v/>
      </c>
      <c r="T159" s="2490"/>
      <c r="U159" s="2303" t="str">
        <f>IFERROR("("&amp;VLOOKUP(F159,'Tablas Técnicas'!$V$199:$X$225,3,FALSE)&amp;")","")</f>
        <v/>
      </c>
      <c r="V159" s="4199"/>
      <c r="W159" s="4198"/>
      <c r="X159" s="4198"/>
      <c r="Y159" s="4198"/>
      <c r="Z159" s="4198"/>
      <c r="AA159" s="4198"/>
      <c r="AB159" s="4198"/>
      <c r="AC159" s="4198"/>
      <c r="AD159" s="4198"/>
      <c r="AE159" s="4198"/>
      <c r="AF159" s="4198"/>
      <c r="AG159" s="4267"/>
      <c r="AH159" s="2496"/>
      <c r="AI159" s="4328"/>
      <c r="AJ159" s="2785">
        <v>3</v>
      </c>
      <c r="AK159" s="2785">
        <f>P148</f>
        <v>1</v>
      </c>
      <c r="AL159" s="2785" t="e">
        <f>VLOOKUP(F159,'Tablas Técnicas'!$V$199:$X$221,2,FALSE)</f>
        <v>#N/A</v>
      </c>
      <c r="AM159" s="2785"/>
      <c r="AN159" s="2786"/>
      <c r="AO159" s="2785"/>
      <c r="AP159" s="2785"/>
      <c r="AQ159" s="2786"/>
      <c r="AR159" s="2787"/>
      <c r="AS159" s="2787"/>
      <c r="AT159" s="2787"/>
      <c r="AU159" s="2787"/>
      <c r="AV159" s="2787"/>
      <c r="AW159" s="2787"/>
      <c r="AX159" s="2787"/>
      <c r="AY159" s="2785" t="str">
        <f>IF(F159="","",F159&amp;IF(K159="",""," ("&amp;IF(F159="Atadura Elemental",O159&amp;IF(Q159="","",", "&amp;Q159),K159)&amp;")")&amp;", ")</f>
        <v/>
      </c>
    </row>
    <row r="160" spans="1:51" ht="12.75" customHeight="1" x14ac:dyDescent="0.2">
      <c r="A160" s="2487"/>
      <c r="B160" s="2368">
        <f t="shared" si="35"/>
        <v>5</v>
      </c>
      <c r="C160" s="4325"/>
      <c r="D160" s="4213" t="s">
        <v>9596</v>
      </c>
      <c r="E160" s="4214"/>
      <c r="F160" s="4214"/>
      <c r="G160" s="4214"/>
      <c r="H160" s="4214"/>
      <c r="I160" s="4214"/>
      <c r="J160" s="4214"/>
      <c r="K160" s="4214"/>
      <c r="L160" s="4214"/>
      <c r="M160" s="4214"/>
      <c r="N160" s="4214"/>
      <c r="O160" s="4214"/>
      <c r="P160" s="4214"/>
      <c r="Q160" s="4214"/>
      <c r="R160" s="4214"/>
      <c r="S160" s="4214"/>
      <c r="T160" s="4214"/>
      <c r="U160" s="4214"/>
      <c r="V160" s="4215"/>
      <c r="W160" s="4215"/>
      <c r="X160" s="4215"/>
      <c r="Y160" s="4215"/>
      <c r="Z160" s="4215"/>
      <c r="AA160" s="4215"/>
      <c r="AB160" s="4215"/>
      <c r="AC160" s="4215"/>
      <c r="AD160" s="4215"/>
      <c r="AE160" s="4215"/>
      <c r="AF160" s="4215"/>
      <c r="AG160" s="4216"/>
      <c r="AH160" s="2496"/>
      <c r="AI160" s="4328"/>
      <c r="AJ160" s="2785"/>
      <c r="AK160" s="2785"/>
      <c r="AL160" s="2785"/>
      <c r="AM160" s="2785"/>
      <c r="AN160" s="2786" t="s">
        <v>9095</v>
      </c>
      <c r="AO160" s="2785" t="e">
        <f>LEFT(AY152&amp;AY153&amp;AY154&amp;AY155&amp;AY156,LEN(AY152&amp;AY153&amp;AY154&amp;AY155&amp;AY156)-2)</f>
        <v>#VALUE!</v>
      </c>
      <c r="AP160" s="2785"/>
      <c r="AQ160" s="2786"/>
      <c r="AR160" s="2787"/>
      <c r="AS160" s="2787"/>
      <c r="AT160" s="2787"/>
      <c r="AU160" s="2786"/>
      <c r="AV160" s="2786"/>
      <c r="AW160" s="2787"/>
      <c r="AX160" s="2787"/>
      <c r="AY160" s="2785"/>
    </row>
    <row r="161" spans="1:51" ht="12.75" customHeight="1" x14ac:dyDescent="0.2">
      <c r="A161" s="2487"/>
      <c r="B161" s="2368">
        <f t="shared" si="35"/>
        <v>5</v>
      </c>
      <c r="C161" s="4325"/>
      <c r="D161" s="4217" t="str">
        <f>IF(F152="","",F152)</f>
        <v/>
      </c>
      <c r="E161" s="4211"/>
      <c r="F161" s="4211"/>
      <c r="G161" s="4211"/>
      <c r="H161" s="4211"/>
      <c r="I161" s="4218"/>
      <c r="J161" s="4217" t="str">
        <f>IF(F153="","",F153)</f>
        <v/>
      </c>
      <c r="K161" s="4211"/>
      <c r="L161" s="4211"/>
      <c r="M161" s="4211"/>
      <c r="N161" s="4211"/>
      <c r="O161" s="4218"/>
      <c r="P161" s="4211" t="str">
        <f>IF(F154="","",F154)</f>
        <v/>
      </c>
      <c r="Q161" s="4211"/>
      <c r="R161" s="4211"/>
      <c r="S161" s="4211"/>
      <c r="T161" s="4211"/>
      <c r="U161" s="4218"/>
      <c r="V161" s="4217" t="str">
        <f>IF(F155="","",F155)</f>
        <v/>
      </c>
      <c r="W161" s="4211"/>
      <c r="X161" s="4211"/>
      <c r="Y161" s="4211"/>
      <c r="Z161" s="4211"/>
      <c r="AA161" s="4218"/>
      <c r="AB161" s="4211" t="str">
        <f>IF(F156="","",F156)</f>
        <v/>
      </c>
      <c r="AC161" s="4211"/>
      <c r="AD161" s="4211"/>
      <c r="AE161" s="4211"/>
      <c r="AF161" s="4211"/>
      <c r="AG161" s="4212"/>
      <c r="AH161" s="2496"/>
      <c r="AI161" s="4328"/>
      <c r="AJ161" s="2785"/>
      <c r="AK161" s="2785"/>
      <c r="AL161" s="2785"/>
      <c r="AM161" s="2785"/>
      <c r="AN161" s="2786" t="s">
        <v>9096</v>
      </c>
      <c r="AO161" s="2785" t="e">
        <f>LEFT(AY157&amp;AY158&amp;AY159,LEN(AY157&amp;AY158&amp;AY159)-2)</f>
        <v>#VALUE!</v>
      </c>
      <c r="AP161" s="2785"/>
      <c r="AQ161" s="2786"/>
      <c r="AR161" s="2787"/>
      <c r="AS161" s="2787"/>
      <c r="AT161" s="2787"/>
      <c r="AU161" s="2786"/>
      <c r="AV161" s="2786"/>
      <c r="AW161" s="2787"/>
      <c r="AX161" s="2787"/>
      <c r="AY161" s="2785"/>
    </row>
    <row r="162" spans="1:51" ht="12.75" customHeight="1" x14ac:dyDescent="0.2">
      <c r="A162" s="2487"/>
      <c r="B162" s="2368">
        <f t="shared" si="35"/>
        <v>5</v>
      </c>
      <c r="C162" s="4325"/>
      <c r="D162" s="2312" t="s">
        <v>1845</v>
      </c>
      <c r="E162" s="2188" t="str">
        <f>IFERROR(VLOOKUP(D161,'Tablas Técnicas'!$O$9:$T$88,3,FALSE),"")</f>
        <v/>
      </c>
      <c r="F162" s="2305"/>
      <c r="G162" s="2304"/>
      <c r="H162" s="2304" t="s">
        <v>1371</v>
      </c>
      <c r="I162" s="2188" t="str">
        <f>IFERROR(VLOOKUP(D161,'Tablas Técnicas'!$O$9:$T$88,4,FALSE),"")</f>
        <v/>
      </c>
      <c r="J162" s="2312" t="s">
        <v>1845</v>
      </c>
      <c r="K162" s="2188" t="str">
        <f>IFERROR(VLOOKUP(J161,'Tablas Técnicas'!$O$9:$T$88,3,FALSE),"")</f>
        <v/>
      </c>
      <c r="L162" s="2305"/>
      <c r="M162" s="2304"/>
      <c r="N162" s="2304" t="s">
        <v>1371</v>
      </c>
      <c r="O162" s="2201" t="str">
        <f>IFERROR(VLOOKUP(J161,'Tablas Técnicas'!$O$9:$T$88,4,FALSE),"")</f>
        <v/>
      </c>
      <c r="P162" s="2304" t="s">
        <v>1845</v>
      </c>
      <c r="Q162" s="2188" t="str">
        <f>IFERROR(VLOOKUP(P161,'Tablas Técnicas'!$O$9:$T$88,3,FALSE),"")</f>
        <v/>
      </c>
      <c r="R162" s="2305"/>
      <c r="S162" s="2304"/>
      <c r="T162" s="2304" t="s">
        <v>1371</v>
      </c>
      <c r="U162" s="2188" t="str">
        <f>IFERROR(VLOOKUP(P161,'Tablas Técnicas'!$O$9:$T$88,4,FALSE),"")</f>
        <v/>
      </c>
      <c r="V162" s="2312" t="s">
        <v>1845</v>
      </c>
      <c r="W162" s="2188" t="str">
        <f>IFERROR(VLOOKUP(V161,'Tablas Técnicas'!$O$9:$T$88,3,FALSE),"")</f>
        <v/>
      </c>
      <c r="X162" s="2305"/>
      <c r="Y162" s="2304"/>
      <c r="Z162" s="2304" t="s">
        <v>1371</v>
      </c>
      <c r="AA162" s="2201" t="str">
        <f>IFERROR(VLOOKUP(V161,'Tablas Técnicas'!$O$9:$T$88,4,FALSE),"")</f>
        <v/>
      </c>
      <c r="AB162" s="2304" t="s">
        <v>1845</v>
      </c>
      <c r="AC162" s="2188" t="str">
        <f>IFERROR(VLOOKUP(AB161,'Tablas Técnicas'!$O$9:$T$88,3,FALSE),"")</f>
        <v/>
      </c>
      <c r="AD162" s="2305"/>
      <c r="AE162" s="2304"/>
      <c r="AF162" s="2304" t="s">
        <v>1371</v>
      </c>
      <c r="AG162" s="2202" t="str">
        <f>IFERROR(VLOOKUP(AB161,'Tablas Técnicas'!$O$9:$T$88,4,FALSE),"")</f>
        <v/>
      </c>
      <c r="AH162" s="2496"/>
      <c r="AI162" s="4328"/>
      <c r="AJ162" s="2785"/>
      <c r="AK162" s="2785"/>
      <c r="AL162" s="2785"/>
      <c r="AM162" s="2785"/>
      <c r="AN162" s="2786"/>
      <c r="AO162" s="2785"/>
      <c r="AP162" s="2785"/>
      <c r="AQ162" s="2786"/>
      <c r="AR162" s="2787"/>
      <c r="AS162" s="2787"/>
      <c r="AT162" s="2787"/>
      <c r="AU162" s="2787"/>
      <c r="AV162" s="2787"/>
      <c r="AW162" s="2787"/>
      <c r="AX162" s="2787"/>
      <c r="AY162" s="2785"/>
    </row>
    <row r="163" spans="1:51" ht="12.75" customHeight="1" x14ac:dyDescent="0.2">
      <c r="A163" s="2487"/>
      <c r="B163" s="2368">
        <f t="shared" si="35"/>
        <v>5</v>
      </c>
      <c r="C163" s="4325"/>
      <c r="D163" s="2313" t="s">
        <v>9097</v>
      </c>
      <c r="E163" s="2304"/>
      <c r="F163" s="2305"/>
      <c r="G163" s="2306"/>
      <c r="H163" s="2306"/>
      <c r="I163" s="2303" t="str">
        <f>IFERROR(IF(D161="Ataque Elemental",IF(NOT(ISNA(VLOOKUP(D165,'Tablas Técnicas'!$Z$25:$Z$30,1,0))),D165,"Variable"),VLOOKUP(D161,'Tablas Técnicas'!$O$9:$W$88,9,FALSE)),"")</f>
        <v/>
      </c>
      <c r="J163" s="2203" t="s">
        <v>9097</v>
      </c>
      <c r="K163" s="2491"/>
      <c r="L163" s="2492"/>
      <c r="M163" s="2493"/>
      <c r="N163" s="2493"/>
      <c r="O163" s="2204" t="str">
        <f>IFERROR(IF(J161="Ataque Elemental",IF(NOT(ISNA(VLOOKUP(J165,'Tablas Técnicas'!$Z$25:$Z$30,1,0))),J165,"Variable"),VLOOKUP(J161,'Tablas Técnicas'!$O$9:$W$88,9,FALSE)),"")</f>
        <v/>
      </c>
      <c r="P163" s="2494" t="s">
        <v>9097</v>
      </c>
      <c r="Q163" s="2491"/>
      <c r="R163" s="2492"/>
      <c r="S163" s="2493"/>
      <c r="T163" s="2493"/>
      <c r="U163" s="2303" t="str">
        <f>IFERROR(IF(P161="Ataque Elemental",IF(NOT(ISNA(VLOOKUP(P165,'Tablas Técnicas'!$Z$25:$Z$30,1,0))),P165,"Variable"),VLOOKUP(P161,'Tablas Técnicas'!$O$9:$W$88,9,FALSE)),"")</f>
        <v/>
      </c>
      <c r="V163" s="2203" t="s">
        <v>9097</v>
      </c>
      <c r="W163" s="2491"/>
      <c r="X163" s="2492"/>
      <c r="Y163" s="2493"/>
      <c r="Z163" s="2493"/>
      <c r="AA163" s="2204" t="str">
        <f>IFERROR(IF(V161="Ataque Elemental",IF(NOT(ISNA(VLOOKUP(V165,'Tablas Técnicas'!$Z$25:$Z$30,1,0))),V165,"Variable"),VLOOKUP(V161,'Tablas Técnicas'!$O$9:$W$88,9,FALSE)),"")</f>
        <v/>
      </c>
      <c r="AB163" s="2494" t="s">
        <v>9097</v>
      </c>
      <c r="AC163" s="2491"/>
      <c r="AD163" s="2492"/>
      <c r="AE163" s="2493"/>
      <c r="AF163" s="2493"/>
      <c r="AG163" s="2319" t="str">
        <f>IFERROR(IF(AB161="Ataque Elemental",IF(NOT(ISNA(VLOOKUP(AB165,'Tablas Técnicas'!$Z$25:$Z$30,1,0))),AB165,"Variable"),VLOOKUP(AB161,'Tablas Técnicas'!$O$9:$W$88,9,FALSE)),"")</f>
        <v/>
      </c>
      <c r="AH163" s="2496"/>
      <c r="AI163" s="4328"/>
      <c r="AJ163" s="2785"/>
      <c r="AK163" s="2787" t="s">
        <v>1381</v>
      </c>
      <c r="AL163" s="2787" t="s">
        <v>1506</v>
      </c>
      <c r="AM163" s="2787" t="s">
        <v>1386</v>
      </c>
      <c r="AN163" s="2787" t="s">
        <v>1391</v>
      </c>
      <c r="AO163" s="2787" t="s">
        <v>1399</v>
      </c>
      <c r="AP163" s="2787" t="s">
        <v>1400</v>
      </c>
      <c r="AQ163" s="2786"/>
      <c r="AR163" s="2787"/>
      <c r="AS163" s="2787"/>
      <c r="AT163" s="2787"/>
      <c r="AU163" s="2787"/>
      <c r="AV163" s="2787"/>
      <c r="AW163" s="2787"/>
      <c r="AX163" s="2787"/>
      <c r="AY163" s="2785"/>
    </row>
    <row r="164" spans="1:51" ht="12.75" customHeight="1" x14ac:dyDescent="0.2">
      <c r="A164" s="2487"/>
      <c r="B164" s="2368">
        <f t="shared" si="35"/>
        <v>5</v>
      </c>
      <c r="C164" s="4325"/>
      <c r="D164" s="4217" t="s">
        <v>2913</v>
      </c>
      <c r="E164" s="4211"/>
      <c r="F164" s="4211"/>
      <c r="G164" s="4211"/>
      <c r="H164" s="4218"/>
      <c r="I164" s="2205" t="s">
        <v>1411</v>
      </c>
      <c r="J164" s="4217" t="s">
        <v>2913</v>
      </c>
      <c r="K164" s="4211"/>
      <c r="L164" s="4211"/>
      <c r="M164" s="4211"/>
      <c r="N164" s="4218"/>
      <c r="O164" s="2206" t="s">
        <v>1411</v>
      </c>
      <c r="P164" s="4217" t="s">
        <v>2913</v>
      </c>
      <c r="Q164" s="4211"/>
      <c r="R164" s="4211"/>
      <c r="S164" s="4211"/>
      <c r="T164" s="4218"/>
      <c r="U164" s="2206" t="s">
        <v>1411</v>
      </c>
      <c r="V164" s="4217"/>
      <c r="W164" s="4211"/>
      <c r="X164" s="4211"/>
      <c r="Y164" s="4211"/>
      <c r="Z164" s="4218"/>
      <c r="AA164" s="2206" t="s">
        <v>1411</v>
      </c>
      <c r="AB164" s="4217" t="s">
        <v>2913</v>
      </c>
      <c r="AC164" s="4211"/>
      <c r="AD164" s="4211"/>
      <c r="AE164" s="4211"/>
      <c r="AF164" s="4218"/>
      <c r="AG164" s="2207" t="s">
        <v>1411</v>
      </c>
      <c r="AH164" s="2496"/>
      <c r="AI164" s="4328"/>
      <c r="AJ164" s="2790" t="s">
        <v>9633</v>
      </c>
      <c r="AK164" s="2785" t="str">
        <f>IF(V150="","",IF(SUM(V152:V156)=0,"",V150&amp;" "&amp;SUM(V152:V156)+V159&amp;IF(SUM(W152:W156)=0,""," ("&amp;SUM(W152:W156)&amp;")")&amp;", "))</f>
        <v/>
      </c>
      <c r="AL164" s="2785" t="str">
        <f>IF(X150="","",IF(SUM(X152:X156)=0,"",X150&amp;" "&amp;SUM(X152:X156)+X159&amp;IF(SUM(Y152:Y156)=0,""," ("&amp;SUM(Y152:Y156)&amp;")")&amp;", "))</f>
        <v/>
      </c>
      <c r="AM164" s="2785" t="str">
        <f>IF(Z150="","",IF(SUM(Z152:Z156)=0,"",Z150&amp;" "&amp;SUM(Z152:Z156)+Z159&amp;IF(SUM(AA152:AA156)=0,""," ("&amp;SUM(AA152:AA156)&amp;")")&amp;", "))</f>
        <v/>
      </c>
      <c r="AN164" s="2785" t="str">
        <f>IF(AB150="","",IF(SUM(AB152:AB156)=0,"",AB150&amp;" "&amp;SUM(AB152:AB156)+AB159&amp;IF(SUM(AC152:AC156)=0,""," ("&amp;SUM(AC152:AC156)&amp;")")&amp;", "))</f>
        <v/>
      </c>
      <c r="AO164" s="2785" t="str">
        <f>IF(AD150="","",IF(SUM(AD152:AD156)=0,"",AD150&amp;" "&amp;SUM(AD152:AD156)+AD159&amp;IF(SUM(AE152:AE156)=0,""," ("&amp;SUM(AE152:AE156)&amp;")")&amp;", "))</f>
        <v/>
      </c>
      <c r="AP164" s="2785" t="str">
        <f>IF(AF150="","",IF(SUM(AF152:AF156)=0,"",AF150&amp;" "&amp;SUM(AF152:AF156)+AF159&amp;IF(SUM(AG152:AG156)=0,""," ("&amp;SUM(AG152:AG156)&amp;")")&amp;", "))</f>
        <v/>
      </c>
      <c r="AQ164" s="2785"/>
      <c r="AR164" s="2785"/>
      <c r="AS164" s="2785"/>
      <c r="AT164" s="2785"/>
      <c r="AU164" s="2785"/>
      <c r="AV164" s="2785"/>
      <c r="AW164" s="2785"/>
      <c r="AX164" s="2785"/>
      <c r="AY164" s="2785"/>
    </row>
    <row r="165" spans="1:51" ht="12.75" customHeight="1" x14ac:dyDescent="0.2">
      <c r="A165" s="2487"/>
      <c r="B165" s="2368">
        <f t="shared" si="35"/>
        <v>5</v>
      </c>
      <c r="C165" s="4325"/>
      <c r="D165" s="4219"/>
      <c r="E165" s="4197"/>
      <c r="F165" s="4197"/>
      <c r="G165" s="4197"/>
      <c r="H165" s="4197"/>
      <c r="I165" s="2208" t="str">
        <f>IF(OR(D161="",D165=""),"",MAX(1,SUMPRODUCT(--(INDEX('Tablas Técnicas'!$C$10:$L$643,,1)=D161),--(INDEX('Tablas Técnicas'!$C$10:$L$643,,2)=D165),INDEX('Tablas Técnicas'!$C$10:$L$643,,9))))</f>
        <v/>
      </c>
      <c r="J165" s="4196"/>
      <c r="K165" s="4197"/>
      <c r="L165" s="4197"/>
      <c r="M165" s="4197"/>
      <c r="N165" s="4197"/>
      <c r="O165" s="2208" t="str">
        <f>IF(OR(J161="",J165=""),"",MAX(1,SUMPRODUCT(--(INDEX('Tablas Técnicas'!$C$10:$L$643,,1)=J161),--(INDEX('Tablas Técnicas'!$C$10:$L$643,,2)=J165),INDEX('Tablas Técnicas'!$C$10:$L$643,,9))))</f>
        <v/>
      </c>
      <c r="P165" s="4196"/>
      <c r="Q165" s="4197"/>
      <c r="R165" s="4197"/>
      <c r="S165" s="4197"/>
      <c r="T165" s="4197"/>
      <c r="U165" s="2208" t="str">
        <f>IF(OR(P161="",P165=""),"",MAX(1,SUMPRODUCT(--(INDEX('Tablas Técnicas'!$C$10:$L$643,,1)=P161),--(INDEX('Tablas Técnicas'!$C$10:$L$643,,2)=P165),INDEX('Tablas Técnicas'!$C$10:$L$643,,9))))</f>
        <v/>
      </c>
      <c r="V165" s="4196"/>
      <c r="W165" s="4197"/>
      <c r="X165" s="4197"/>
      <c r="Y165" s="4197"/>
      <c r="Z165" s="4197"/>
      <c r="AA165" s="2208" t="str">
        <f>IF(OR(V161="",V165=""),"",MAX(1,SUMPRODUCT(--(INDEX('Tablas Técnicas'!$C$10:$L$643,,1)=V161),--(INDEX('Tablas Técnicas'!$C$10:$L$643,,2)=V165),INDEX('Tablas Técnicas'!$C$10:$L$643,,9))))</f>
        <v/>
      </c>
      <c r="AB165" s="4196"/>
      <c r="AC165" s="4197"/>
      <c r="AD165" s="4197"/>
      <c r="AE165" s="4197"/>
      <c r="AF165" s="4197"/>
      <c r="AG165" s="2209" t="str">
        <f>IF(OR(AB161="",AB165=""),"",MAX(1,SUMPRODUCT(--(INDEX('Tablas Técnicas'!$C$10:$L$643,,1)=AB161),--(INDEX('Tablas Técnicas'!$C$10:$L$643,,2)=AB165),INDEX('Tablas Técnicas'!$C$10:$L$643,,9))))</f>
        <v/>
      </c>
      <c r="AH165" s="2496">
        <f>P148</f>
        <v>1</v>
      </c>
      <c r="AI165" s="4328"/>
      <c r="AJ165" s="2785" t="s">
        <v>9597</v>
      </c>
      <c r="AK165" s="2785"/>
      <c r="AL165" s="2785">
        <f>MAX(0,SUM(AT152:AT156)+ABS($AC157*2/5))+IF(AM174,0,Y157)+IF(S148="Si",3*P148,0)</f>
        <v>0</v>
      </c>
      <c r="AM165" s="2785">
        <f t="array" ref="AM165">IF(ISNUMBER(SEARCH("Mantenido",K152&amp;K153&amp;K154&amp;K155&amp;K156)),MAX(0,SUM(VALUE(RIGHT($P152:$P156,2)))),0)</f>
        <v>0</v>
      </c>
      <c r="AN165" s="2787"/>
      <c r="AO165" s="2787"/>
      <c r="AP165" s="2792"/>
      <c r="AQ165" s="2792"/>
      <c r="AR165" s="2792"/>
      <c r="AS165" s="2792"/>
      <c r="AT165" s="2792"/>
      <c r="AU165" s="2792"/>
      <c r="AV165" s="2792"/>
      <c r="AW165" s="2792"/>
      <c r="AX165" s="2792"/>
      <c r="AY165" s="2785"/>
    </row>
    <row r="166" spans="1:51" ht="12.75" customHeight="1" x14ac:dyDescent="0.2">
      <c r="A166" s="2487"/>
      <c r="B166" s="2368">
        <f t="shared" si="35"/>
        <v>5</v>
      </c>
      <c r="C166" s="4325"/>
      <c r="D166" s="4200"/>
      <c r="E166" s="4201"/>
      <c r="F166" s="4201"/>
      <c r="G166" s="4201"/>
      <c r="H166" s="4201"/>
      <c r="I166" s="2210" t="str">
        <f>IF(OR(D161="",D166=""),"",MAX(1,SUMPRODUCT(--(INDEX('Tablas Técnicas'!$C$10:$L$643,,1)=D161),--(INDEX('Tablas Técnicas'!$C$10:$L$643,,2)=D166),INDEX('Tablas Técnicas'!$C$10:$L$643,,9))))</f>
        <v/>
      </c>
      <c r="J166" s="4200"/>
      <c r="K166" s="4201"/>
      <c r="L166" s="4201"/>
      <c r="M166" s="4201"/>
      <c r="N166" s="4201"/>
      <c r="O166" s="2210" t="str">
        <f>IF(OR(J161="",J166=""),"",MAX(1,SUMPRODUCT(--(INDEX('Tablas Técnicas'!$C$10:$L$643,,1)=J161),--(INDEX('Tablas Técnicas'!$C$10:$L$643,,2)=J166),INDEX('Tablas Técnicas'!$C$10:$L$643,,9))))</f>
        <v/>
      </c>
      <c r="P166" s="4200"/>
      <c r="Q166" s="4201"/>
      <c r="R166" s="4201"/>
      <c r="S166" s="4201"/>
      <c r="T166" s="4201"/>
      <c r="U166" s="2210" t="str">
        <f>IF(OR(P161="",P166=""),"",MAX(1,SUMPRODUCT(--(INDEX('Tablas Técnicas'!$C$10:$L$643,,1)=P161),--(INDEX('Tablas Técnicas'!$C$10:$L$643,,2)=P166),INDEX('Tablas Técnicas'!$C$10:$L$643,,9))))</f>
        <v/>
      </c>
      <c r="V166" s="4200"/>
      <c r="W166" s="4201"/>
      <c r="X166" s="4201"/>
      <c r="Y166" s="4201"/>
      <c r="Z166" s="4201"/>
      <c r="AA166" s="2210" t="str">
        <f>IF(OR(V161="",V166=""),"",MAX(1,SUMPRODUCT(--(INDEX('Tablas Técnicas'!$C$10:$L$643,,1)=V161),--(INDEX('Tablas Técnicas'!$C$10:$L$643,,2)=V166),INDEX('Tablas Técnicas'!$C$10:$L$643,,9))))</f>
        <v/>
      </c>
      <c r="AB166" s="4200"/>
      <c r="AC166" s="4201"/>
      <c r="AD166" s="4201"/>
      <c r="AE166" s="4201"/>
      <c r="AF166" s="4201"/>
      <c r="AG166" s="2211" t="str">
        <f>IF(OR(AB161="",AB166=""),"",MAX(1,SUMPRODUCT(--(INDEX('Tablas Técnicas'!$C$10:$L$643,,1)=AB161),--(INDEX('Tablas Técnicas'!$C$10:$L$643,,2)=AB166),INDEX('Tablas Técnicas'!$C$10:$L$643,,9))))</f>
        <v/>
      </c>
      <c r="AH166" s="2496">
        <f>P148</f>
        <v>1</v>
      </c>
      <c r="AI166" s="4328"/>
      <c r="AJ166" s="2785" t="s">
        <v>9099</v>
      </c>
      <c r="AK166" s="2785"/>
      <c r="AL166" s="2785">
        <f>SUM(V152:V156,X152:X156,Z152:Z156,AB152:AB156,AD152:AD156,AF152:AF156)+SUM(V159:AG159)</f>
        <v>0</v>
      </c>
      <c r="AM166" s="2785">
        <f>SUM(W152:W156,Y152:Y156,AA152:AA156,AC152:AC156,AE152:AE156,AG152:AG156)</f>
        <v>0</v>
      </c>
      <c r="AN166" s="2785"/>
      <c r="AO166" s="2785"/>
      <c r="AP166" s="2785"/>
      <c r="AQ166" s="2785"/>
      <c r="AR166" s="2785"/>
      <c r="AS166" s="2785"/>
      <c r="AT166" s="2785"/>
      <c r="AU166" s="2785"/>
      <c r="AV166" s="2785"/>
      <c r="AW166" s="2787"/>
      <c r="AX166" s="2785"/>
      <c r="AY166" s="2785"/>
    </row>
    <row r="167" spans="1:51" ht="12.75" customHeight="1" x14ac:dyDescent="0.2">
      <c r="A167" s="2487"/>
      <c r="B167" s="2368">
        <f t="shared" si="35"/>
        <v>5</v>
      </c>
      <c r="C167" s="4325"/>
      <c r="D167" s="4200"/>
      <c r="E167" s="4201"/>
      <c r="F167" s="4201"/>
      <c r="G167" s="4201"/>
      <c r="H167" s="4201"/>
      <c r="I167" s="2210" t="str">
        <f>IF(OR(D161="",D167=""),"",MAX(1,SUMPRODUCT(--(INDEX('Tablas Técnicas'!$C$10:$L$643,,1)=D161),--(INDEX('Tablas Técnicas'!$C$10:$L$643,,2)=D167),INDEX('Tablas Técnicas'!$C$10:$L$643,,9))))</f>
        <v/>
      </c>
      <c r="J167" s="4200"/>
      <c r="K167" s="4201"/>
      <c r="L167" s="4201"/>
      <c r="M167" s="4201"/>
      <c r="N167" s="4201"/>
      <c r="O167" s="2210" t="str">
        <f>IF(OR(J161="",J167=""),"",MAX(1,SUMPRODUCT(--(INDEX('Tablas Técnicas'!$C$10:$L$643,,1)=J161),--(INDEX('Tablas Técnicas'!$C$10:$L$643,,2)=J167),INDEX('Tablas Técnicas'!$C$10:$L$643,,9))))</f>
        <v/>
      </c>
      <c r="P167" s="4200"/>
      <c r="Q167" s="4201"/>
      <c r="R167" s="4201"/>
      <c r="S167" s="4201"/>
      <c r="T167" s="4201"/>
      <c r="U167" s="2210" t="str">
        <f>IF(OR(P161="",P167=""),"",MAX(1,SUMPRODUCT(--(INDEX('Tablas Técnicas'!$C$10:$L$643,,1)=P161),--(INDEX('Tablas Técnicas'!$C$10:$L$643,,2)=P167),INDEX('Tablas Técnicas'!$C$10:$L$643,,9))))</f>
        <v/>
      </c>
      <c r="V167" s="4200"/>
      <c r="W167" s="4201"/>
      <c r="X167" s="4201"/>
      <c r="Y167" s="4201"/>
      <c r="Z167" s="4201"/>
      <c r="AA167" s="2210" t="str">
        <f>IF(OR(V161="",V167=""),"",MAX(1,SUMPRODUCT(--(INDEX('Tablas Técnicas'!$C$10:$L$643,,1)=V161),--(INDEX('Tablas Técnicas'!$C$10:$L$643,,2)=V167),INDEX('Tablas Técnicas'!$C$10:$L$643,,9))))</f>
        <v/>
      </c>
      <c r="AB167" s="4200"/>
      <c r="AC167" s="4201"/>
      <c r="AD167" s="4201"/>
      <c r="AE167" s="4201"/>
      <c r="AF167" s="4201"/>
      <c r="AG167" s="2211" t="str">
        <f>IF(OR(AB161="",AB167=""),"",MAX(1,SUMPRODUCT(--(INDEX('Tablas Técnicas'!$C$10:$L$643,,1)=AB161),--(INDEX('Tablas Técnicas'!$C$10:$L$643,,2)=AB167),INDEX('Tablas Técnicas'!$C$10:$L$643,,9))))</f>
        <v/>
      </c>
      <c r="AH167" s="2496">
        <f>P148</f>
        <v>1</v>
      </c>
      <c r="AI167" s="4328"/>
      <c r="AJ167" s="2785"/>
      <c r="AK167" s="2785"/>
      <c r="AL167" s="2785"/>
      <c r="AM167" s="2785"/>
      <c r="AN167" s="2785"/>
      <c r="AO167" s="2785"/>
      <c r="AP167" s="2785"/>
      <c r="AQ167" s="2785"/>
      <c r="AR167" s="2785"/>
      <c r="AS167" s="2785"/>
      <c r="AT167" s="2785"/>
      <c r="AU167" s="2785"/>
      <c r="AV167" s="2785"/>
      <c r="AW167" s="2787"/>
      <c r="AX167" s="2787"/>
      <c r="AY167" s="2785"/>
    </row>
    <row r="168" spans="1:51" ht="12.75" customHeight="1" x14ac:dyDescent="0.2">
      <c r="A168" s="2487"/>
      <c r="B168" s="2368">
        <f t="shared" si="35"/>
        <v>5</v>
      </c>
      <c r="C168" s="4325"/>
      <c r="D168" s="4200"/>
      <c r="E168" s="4201"/>
      <c r="F168" s="4201"/>
      <c r="G168" s="4201"/>
      <c r="H168" s="4201"/>
      <c r="I168" s="2210" t="str">
        <f>IF(OR(D161="",D168=""),"",MAX(1,SUMPRODUCT(--(INDEX('Tablas Técnicas'!$C$10:$L$643,,1)=D161),--(INDEX('Tablas Técnicas'!$C$10:$L$643,,2)=D168),INDEX('Tablas Técnicas'!$C$10:$L$643,,9))))</f>
        <v/>
      </c>
      <c r="J168" s="4200"/>
      <c r="K168" s="4201"/>
      <c r="L168" s="4201"/>
      <c r="M168" s="4201"/>
      <c r="N168" s="4201"/>
      <c r="O168" s="2210" t="str">
        <f>IF(OR(J161="",J168=""),"",MAX(1,SUMPRODUCT(--(INDEX('Tablas Técnicas'!$C$10:$L$643,,1)=J161),--(INDEX('Tablas Técnicas'!$C$10:$L$643,,2)=J168),INDEX('Tablas Técnicas'!$C$10:$L$643,,9))))</f>
        <v/>
      </c>
      <c r="P168" s="4200"/>
      <c r="Q168" s="4201"/>
      <c r="R168" s="4201"/>
      <c r="S168" s="4201"/>
      <c r="T168" s="4201"/>
      <c r="U168" s="2210" t="str">
        <f>IF(OR(P161="",P168=""),"",MAX(1,SUMPRODUCT(--(INDEX('Tablas Técnicas'!$C$10:$L$643,,1)=P161),--(INDEX('Tablas Técnicas'!$C$10:$L$643,,2)=P168),INDEX('Tablas Técnicas'!$C$10:$L$643,,9))))</f>
        <v/>
      </c>
      <c r="V168" s="4200"/>
      <c r="W168" s="4201"/>
      <c r="X168" s="4201"/>
      <c r="Y168" s="4201"/>
      <c r="Z168" s="4201"/>
      <c r="AA168" s="2210" t="str">
        <f>IF(OR(V161="",V168=""),"",MAX(1,SUMPRODUCT(--(INDEX('Tablas Técnicas'!$C$10:$L$643,,1)=V161),--(INDEX('Tablas Técnicas'!$C$10:$L$643,,2)=V168),INDEX('Tablas Técnicas'!$C$10:$L$643,,9))))</f>
        <v/>
      </c>
      <c r="AB168" s="4200"/>
      <c r="AC168" s="4201"/>
      <c r="AD168" s="4201"/>
      <c r="AE168" s="4201"/>
      <c r="AF168" s="4201"/>
      <c r="AG168" s="2211" t="str">
        <f>IF(OR(AB161="",AB168=""),"",MAX(1,SUMPRODUCT(--(INDEX('Tablas Técnicas'!$C$10:$L$643,,1)=AB161),--(INDEX('Tablas Técnicas'!$C$10:$L$643,,2)=AB168),INDEX('Tablas Técnicas'!$C$10:$L$643,,9))))</f>
        <v/>
      </c>
      <c r="AH168" s="2496">
        <f>P148</f>
        <v>1</v>
      </c>
      <c r="AI168" s="4328"/>
      <c r="AJ168" s="2785"/>
      <c r="AK168" s="2785"/>
      <c r="AL168" s="2785"/>
      <c r="AM168" s="2785"/>
      <c r="AN168" s="2785"/>
      <c r="AO168" s="2785"/>
      <c r="AP168" s="2785"/>
      <c r="AQ168" s="2786"/>
      <c r="AR168" s="2787"/>
      <c r="AS168" s="2787"/>
      <c r="AT168" s="2787"/>
      <c r="AU168" s="2787"/>
      <c r="AV168" s="2787"/>
      <c r="AW168" s="2787"/>
      <c r="AX168" s="2787"/>
      <c r="AY168" s="2785"/>
    </row>
    <row r="169" spans="1:51" ht="12.75" customHeight="1" x14ac:dyDescent="0.2">
      <c r="A169" s="2487"/>
      <c r="B169" s="2368">
        <f t="shared" si="35"/>
        <v>5</v>
      </c>
      <c r="C169" s="4325"/>
      <c r="D169" s="4200"/>
      <c r="E169" s="4201"/>
      <c r="F169" s="4201"/>
      <c r="G169" s="4201"/>
      <c r="H169" s="4201"/>
      <c r="I169" s="2210" t="str">
        <f>IF(OR(D161="",D169=""),"",MAX(1,SUMPRODUCT(--(INDEX('Tablas Técnicas'!$C$10:$L$643,,1)=D161),--(INDEX('Tablas Técnicas'!$C$10:$L$643,,2)=D169),INDEX('Tablas Técnicas'!$C$10:$L$643,,9))))</f>
        <v/>
      </c>
      <c r="J169" s="4200"/>
      <c r="K169" s="4201"/>
      <c r="L169" s="4201"/>
      <c r="M169" s="4201"/>
      <c r="N169" s="4201"/>
      <c r="O169" s="2210" t="str">
        <f>IF(OR(J161="",J169=""),"",MAX(1,SUMPRODUCT(--(INDEX('Tablas Técnicas'!$C$10:$L$643,,1)=J161),--(INDEX('Tablas Técnicas'!$C$10:$L$643,,2)=J169),INDEX('Tablas Técnicas'!$C$10:$L$643,,9))))</f>
        <v/>
      </c>
      <c r="P169" s="4200"/>
      <c r="Q169" s="4201"/>
      <c r="R169" s="4201"/>
      <c r="S169" s="4201"/>
      <c r="T169" s="4201"/>
      <c r="U169" s="2210" t="str">
        <f>IF(OR(P161="",P169=""),"",MAX(1,SUMPRODUCT(--(INDEX('Tablas Técnicas'!$C$10:$L$643,,1)=P161),--(INDEX('Tablas Técnicas'!$C$10:$L$643,,2)=P169),INDEX('Tablas Técnicas'!$C$10:$L$643,,9))))</f>
        <v/>
      </c>
      <c r="V169" s="4200"/>
      <c r="W169" s="4201"/>
      <c r="X169" s="4201"/>
      <c r="Y169" s="4201"/>
      <c r="Z169" s="4201"/>
      <c r="AA169" s="2210" t="str">
        <f>IF(OR(V161="",V169=""),"",MAX(1,SUMPRODUCT(--(INDEX('Tablas Técnicas'!$C$10:$L$643,,1)=V161),--(INDEX('Tablas Técnicas'!$C$10:$L$643,,2)=V169),INDEX('Tablas Técnicas'!$C$10:$L$643,,9))))</f>
        <v/>
      </c>
      <c r="AB169" s="4200"/>
      <c r="AC169" s="4201"/>
      <c r="AD169" s="4201"/>
      <c r="AE169" s="4201"/>
      <c r="AF169" s="4201"/>
      <c r="AG169" s="2211" t="str">
        <f>IF(OR(AB161="",AB169=""),"",MAX(1,SUMPRODUCT(--(INDEX('Tablas Técnicas'!$C$10:$L$643,,1)=AB161),--(INDEX('Tablas Técnicas'!$C$10:$L$643,,2)=AB169),INDEX('Tablas Técnicas'!$C$10:$L$643,,9))))</f>
        <v/>
      </c>
      <c r="AH169" s="2496">
        <f>P148</f>
        <v>1</v>
      </c>
      <c r="AI169" s="4328"/>
      <c r="AJ169" s="2785" t="s">
        <v>9100</v>
      </c>
      <c r="AK169" s="2785"/>
      <c r="AL169" s="2785"/>
      <c r="AM169" s="2785"/>
      <c r="AN169" s="2785"/>
      <c r="AO169" s="2785"/>
      <c r="AP169" s="2785"/>
      <c r="AQ169" s="2785"/>
      <c r="AR169" s="2787"/>
      <c r="AS169" s="2787"/>
      <c r="AT169" s="2787"/>
      <c r="AU169" s="2787"/>
      <c r="AV169" s="2787"/>
      <c r="AW169" s="2787"/>
      <c r="AX169" s="2787"/>
      <c r="AY169" s="2785"/>
    </row>
    <row r="170" spans="1:51" ht="12.75" customHeight="1" x14ac:dyDescent="0.2">
      <c r="A170" s="2487"/>
      <c r="B170" s="2368">
        <f t="shared" si="35"/>
        <v>5</v>
      </c>
      <c r="C170" s="4325"/>
      <c r="D170" s="4200"/>
      <c r="E170" s="4201"/>
      <c r="F170" s="4201"/>
      <c r="G170" s="4201"/>
      <c r="H170" s="4201"/>
      <c r="I170" s="2210" t="str">
        <f>IF(OR(D161="",D170=""),"",MAX(1,SUMPRODUCT(--(INDEX('Tablas Técnicas'!$C$10:$L$643,,1)=D161),--(INDEX('Tablas Técnicas'!$C$10:$L$643,,2)=D170),INDEX('Tablas Técnicas'!$C$10:$L$643,,9))))</f>
        <v/>
      </c>
      <c r="J170" s="4200"/>
      <c r="K170" s="4201"/>
      <c r="L170" s="4201"/>
      <c r="M170" s="4201"/>
      <c r="N170" s="4201"/>
      <c r="O170" s="2210" t="str">
        <f>IF(OR(J161="",J170=""),"",MAX(1,SUMPRODUCT(--(INDEX('Tablas Técnicas'!$C$10:$L$643,,1)=J161),--(INDEX('Tablas Técnicas'!$C$10:$L$643,,2)=J170),INDEX('Tablas Técnicas'!$C$10:$L$643,,9))))</f>
        <v/>
      </c>
      <c r="P170" s="4200"/>
      <c r="Q170" s="4201"/>
      <c r="R170" s="4201"/>
      <c r="S170" s="4201"/>
      <c r="T170" s="4201"/>
      <c r="U170" s="2210" t="str">
        <f>IF(OR(P161="",P170=""),"",MAX(1,SUMPRODUCT(--(INDEX('Tablas Técnicas'!$C$10:$L$643,,1)=P161),--(INDEX('Tablas Técnicas'!$C$10:$L$643,,2)=P170),INDEX('Tablas Técnicas'!$C$10:$L$643,,9))))</f>
        <v/>
      </c>
      <c r="V170" s="4200"/>
      <c r="W170" s="4201"/>
      <c r="X170" s="4201"/>
      <c r="Y170" s="4201"/>
      <c r="Z170" s="4201"/>
      <c r="AA170" s="2210" t="str">
        <f>IF(OR(V161="",V170=""),"",MAX(1,SUMPRODUCT(--(INDEX('Tablas Técnicas'!$C$10:$L$643,,1)=V161),--(INDEX('Tablas Técnicas'!$C$10:$L$643,,2)=V170),INDEX('Tablas Técnicas'!$C$10:$L$643,,9))))</f>
        <v/>
      </c>
      <c r="AB170" s="4200"/>
      <c r="AC170" s="4201"/>
      <c r="AD170" s="4201"/>
      <c r="AE170" s="4201"/>
      <c r="AF170" s="4201"/>
      <c r="AG170" s="2211" t="str">
        <f>IF(OR(AB161="",AB170=""),"",MAX(1,SUMPRODUCT(--(INDEX('Tablas Técnicas'!$C$10:$L$643,,1)=AB161),--(INDEX('Tablas Técnicas'!$C$10:$L$643,,2)=AB170),INDEX('Tablas Técnicas'!$C$10:$L$643,,9))))</f>
        <v/>
      </c>
      <c r="AH170" s="2496">
        <f>P148</f>
        <v>1</v>
      </c>
      <c r="AI170" s="4328"/>
      <c r="AJ170" s="2785" t="s">
        <v>9101</v>
      </c>
      <c r="AK170" s="2785"/>
      <c r="AL170" s="2785"/>
      <c r="AM170" s="2785" t="b">
        <f t="array" ref="AM170">MAX(I165:I171,O165:O171,U165:U171,AA165:AA171,AG165:AG171,RIGHT(S157:S159,1))&gt;P148</f>
        <v>0</v>
      </c>
      <c r="AN170" s="2785"/>
      <c r="AO170" s="2785"/>
      <c r="AP170" s="2785"/>
      <c r="AQ170" s="2786"/>
      <c r="AR170" s="2787"/>
      <c r="AS170" s="2787"/>
      <c r="AT170" s="2787"/>
      <c r="AU170" s="2787"/>
      <c r="AV170" s="2787"/>
      <c r="AW170" s="2787"/>
      <c r="AX170" s="2787"/>
      <c r="AY170" s="2785"/>
    </row>
    <row r="171" spans="1:51" ht="12.75" customHeight="1" x14ac:dyDescent="0.2">
      <c r="A171" s="2487"/>
      <c r="B171" s="2368">
        <f t="shared" si="35"/>
        <v>5</v>
      </c>
      <c r="C171" s="4325"/>
      <c r="D171" s="4230"/>
      <c r="E171" s="4231"/>
      <c r="F171" s="4231"/>
      <c r="G171" s="4231"/>
      <c r="H171" s="4231"/>
      <c r="I171" s="2212" t="str">
        <f>IF(OR(D161="",D171=""),"",MAX(1,SUMPRODUCT(--(INDEX('Tablas Técnicas'!$C$10:$L$643,,1)=D161),--(INDEX('Tablas Técnicas'!$C$10:$L$643,,2)=D171),INDEX('Tablas Técnicas'!$C$10:$L$643,,9))))</f>
        <v/>
      </c>
      <c r="J171" s="4230"/>
      <c r="K171" s="4231"/>
      <c r="L171" s="4231"/>
      <c r="M171" s="4231"/>
      <c r="N171" s="4231"/>
      <c r="O171" s="2212" t="str">
        <f>IF(OR(J161="",J171=""),"",MAX(1,SUMPRODUCT(--(INDEX('Tablas Técnicas'!$C$10:$L$643,,1)=J161),--(INDEX('Tablas Técnicas'!$C$10:$L$643,,2)=J171),INDEX('Tablas Técnicas'!$C$10:$L$643,,9))))</f>
        <v/>
      </c>
      <c r="P171" s="4230"/>
      <c r="Q171" s="4231"/>
      <c r="R171" s="4231"/>
      <c r="S171" s="4231"/>
      <c r="T171" s="4231"/>
      <c r="U171" s="2212" t="str">
        <f>IF(OR(P161="",P171=""),"",MAX(1,SUMPRODUCT(--(INDEX('Tablas Técnicas'!$C$10:$L$643,,1)=P161),--(INDEX('Tablas Técnicas'!$C$10:$L$643,,2)=P171),INDEX('Tablas Técnicas'!$C$10:$L$643,,9))))</f>
        <v/>
      </c>
      <c r="V171" s="4230"/>
      <c r="W171" s="4231"/>
      <c r="X171" s="4231"/>
      <c r="Y171" s="4231"/>
      <c r="Z171" s="4231"/>
      <c r="AA171" s="2212" t="str">
        <f>IF(OR(V161="",V171=""),"",MAX(1,SUMPRODUCT(--(INDEX('Tablas Técnicas'!$C$10:$L$643,,1)=V161),--(INDEX('Tablas Técnicas'!$C$10:$L$643,,2)=V171),INDEX('Tablas Técnicas'!$C$10:$L$643,,9))))</f>
        <v/>
      </c>
      <c r="AB171" s="4230"/>
      <c r="AC171" s="4231"/>
      <c r="AD171" s="4231"/>
      <c r="AE171" s="4231"/>
      <c r="AF171" s="4231"/>
      <c r="AG171" s="2213" t="str">
        <f>IF(OR(AB161="",AB171=""),"",MAX(1,SUMPRODUCT(--(INDEX('Tablas Técnicas'!$C$10:$L$643,,1)=AB161),--(INDEX('Tablas Técnicas'!$C$10:$L$643,,2)=AB171),INDEX('Tablas Técnicas'!$C$10:$L$643,,9))))</f>
        <v/>
      </c>
      <c r="AH171" s="2496">
        <f>P148</f>
        <v>1</v>
      </c>
      <c r="AI171" s="4328"/>
      <c r="AJ171" s="2785" t="s">
        <v>9614</v>
      </c>
      <c r="AK171" s="2785"/>
      <c r="AL171" s="2785"/>
      <c r="AM171" s="2785" t="b">
        <f>AND(COUNTIF(K152:M156,"Mantenido"),OR(COUNTIF(K152:M156,"Sostenimiento Menor"),COUNTIF(K152:M156,"Sostenimiento Mayor")))</f>
        <v>0</v>
      </c>
      <c r="AN171" s="2786"/>
      <c r="AO171" s="2785"/>
      <c r="AP171" s="2785"/>
      <c r="AQ171" s="2785"/>
      <c r="AR171" s="2785"/>
      <c r="AS171" s="2785"/>
      <c r="AT171" s="2785"/>
      <c r="AU171" s="2787"/>
      <c r="AV171" s="2787"/>
      <c r="AW171" s="2787"/>
      <c r="AX171" s="2787"/>
      <c r="AY171" s="2785"/>
    </row>
    <row r="172" spans="1:51" ht="12.75" customHeight="1" x14ac:dyDescent="0.2">
      <c r="A172" s="2487"/>
      <c r="B172" s="2368">
        <f t="shared" si="35"/>
        <v>5</v>
      </c>
      <c r="C172" s="4325"/>
      <c r="D172" s="4213" t="s">
        <v>1558</v>
      </c>
      <c r="E172" s="4214"/>
      <c r="F172" s="4214"/>
      <c r="G172" s="4214"/>
      <c r="H172" s="4214"/>
      <c r="I172" s="4214"/>
      <c r="J172" s="4214"/>
      <c r="K172" s="4214"/>
      <c r="L172" s="4214"/>
      <c r="M172" s="4214"/>
      <c r="N172" s="4214"/>
      <c r="O172" s="4214"/>
      <c r="P172" s="4214"/>
      <c r="Q172" s="4214"/>
      <c r="R172" s="4214"/>
      <c r="S172" s="4214"/>
      <c r="T172" s="4214"/>
      <c r="U172" s="4214"/>
      <c r="V172" s="4214"/>
      <c r="W172" s="4214"/>
      <c r="X172" s="4214"/>
      <c r="Y172" s="4214"/>
      <c r="Z172" s="4214"/>
      <c r="AA172" s="4214"/>
      <c r="AB172" s="4214"/>
      <c r="AC172" s="4214"/>
      <c r="AD172" s="4214"/>
      <c r="AE172" s="4214"/>
      <c r="AF172" s="4214"/>
      <c r="AG172" s="4270"/>
      <c r="AH172" s="2496"/>
      <c r="AI172" s="4328"/>
      <c r="AJ172" s="2785" t="s">
        <v>9613</v>
      </c>
      <c r="AK172" s="2785"/>
      <c r="AL172" s="2785"/>
      <c r="AM172" s="278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5"/>
      <c r="AO172" s="2785"/>
      <c r="AP172" s="2785"/>
      <c r="AQ172" s="2786"/>
      <c r="AR172" s="2785"/>
      <c r="AS172" s="2785"/>
      <c r="AT172" s="2785"/>
      <c r="AU172" s="2787"/>
      <c r="AV172" s="2787"/>
      <c r="AW172" s="2787"/>
      <c r="AX172" s="2787"/>
      <c r="AY172" s="2785"/>
    </row>
    <row r="173" spans="1:51" ht="12.75" customHeight="1" x14ac:dyDescent="0.2">
      <c r="A173" s="2487"/>
      <c r="B173" s="2368">
        <f t="shared" si="35"/>
        <v>5</v>
      </c>
      <c r="C173" s="4325"/>
      <c r="D173" s="4271"/>
      <c r="E173" s="4272"/>
      <c r="F173" s="4272"/>
      <c r="G173" s="4272"/>
      <c r="H173" s="4272"/>
      <c r="I173" s="4272"/>
      <c r="J173" s="4272"/>
      <c r="K173" s="4272"/>
      <c r="L173" s="4272"/>
      <c r="M173" s="4272"/>
      <c r="N173" s="4272"/>
      <c r="O173" s="4272"/>
      <c r="P173" s="4272"/>
      <c r="Q173" s="4272"/>
      <c r="R173" s="4272"/>
      <c r="S173" s="4272"/>
      <c r="T173" s="4272"/>
      <c r="U173" s="4272"/>
      <c r="V173" s="4272"/>
      <c r="W173" s="4272"/>
      <c r="X173" s="4272"/>
      <c r="Y173" s="4272"/>
      <c r="Z173" s="4272"/>
      <c r="AA173" s="4272"/>
      <c r="AB173" s="4272"/>
      <c r="AC173" s="4272"/>
      <c r="AD173" s="4272"/>
      <c r="AE173" s="4272"/>
      <c r="AF173" s="4272"/>
      <c r="AG173" s="4273"/>
      <c r="AH173" s="2496"/>
      <c r="AI173" s="4328"/>
      <c r="AJ173" s="2785" t="s">
        <v>9621</v>
      </c>
      <c r="AK173" s="2785"/>
      <c r="AL173" s="2785"/>
      <c r="AM173" s="278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5"/>
      <c r="AO173" s="2785"/>
      <c r="AP173" s="2785"/>
      <c r="AQ173" s="2786"/>
      <c r="AR173" s="2785"/>
      <c r="AS173" s="2785"/>
      <c r="AT173" s="2785"/>
      <c r="AU173" s="2787"/>
      <c r="AV173" s="2787"/>
      <c r="AW173" s="2787"/>
      <c r="AX173" s="2787"/>
      <c r="AY173" s="2785"/>
    </row>
    <row r="174" spans="1:51" ht="12.75" customHeight="1" x14ac:dyDescent="0.2">
      <c r="A174" s="2487"/>
      <c r="B174" s="2368">
        <f t="shared" si="35"/>
        <v>5</v>
      </c>
      <c r="C174" s="4325"/>
      <c r="D174" s="4271"/>
      <c r="E174" s="4272"/>
      <c r="F174" s="4272"/>
      <c r="G174" s="4272"/>
      <c r="H174" s="4272"/>
      <c r="I174" s="4272"/>
      <c r="J174" s="4272"/>
      <c r="K174" s="4272"/>
      <c r="L174" s="4272"/>
      <c r="M174" s="4272"/>
      <c r="N174" s="4272"/>
      <c r="O174" s="4272"/>
      <c r="P174" s="4272"/>
      <c r="Q174" s="4272"/>
      <c r="R174" s="4272"/>
      <c r="S174" s="4272"/>
      <c r="T174" s="4272"/>
      <c r="U174" s="4272"/>
      <c r="V174" s="4272"/>
      <c r="W174" s="4272"/>
      <c r="X174" s="4272"/>
      <c r="Y174" s="4272"/>
      <c r="Z174" s="4272"/>
      <c r="AA174" s="4272"/>
      <c r="AB174" s="4272"/>
      <c r="AC174" s="4272"/>
      <c r="AD174" s="4272"/>
      <c r="AE174" s="4272"/>
      <c r="AF174" s="4272"/>
      <c r="AG174" s="4273"/>
      <c r="AH174" s="2496"/>
      <c r="AI174" s="4328"/>
      <c r="AJ174" s="2785" t="s">
        <v>9600</v>
      </c>
      <c r="AK174" s="2785"/>
      <c r="AL174" s="2785"/>
      <c r="AM174" s="2785" t="b">
        <f>AND((IF(SUM(V152:V156)&gt;0,1,0)+IF(SUM(X152:X156)&gt;0,1,0)+IF(SUM(Z152:Z156)&gt;0,1,0)+IF(SUM(AB152:AB156)&gt;0,1,0)+IF(SUM(AD152:AD156,)&gt;0,1,0)+IF(SUM(AF152:AF156)&gt;0,1,0))&lt;3,OR(V159&lt;0,X159&lt;0,Z159&lt;0,AB159&lt;0,AD159&lt;0,AF159&lt;0,Y157&lt;0))</f>
        <v>0</v>
      </c>
      <c r="AN174" s="2785"/>
      <c r="AO174" s="2785"/>
      <c r="AP174" s="2785"/>
      <c r="AQ174" s="2786"/>
      <c r="AR174" s="2785"/>
      <c r="AS174" s="2785"/>
      <c r="AT174" s="2785"/>
      <c r="AU174" s="2787"/>
      <c r="AV174" s="2787"/>
      <c r="AW174" s="2787"/>
      <c r="AX174" s="2787"/>
      <c r="AY174" s="2785"/>
    </row>
    <row r="175" spans="1:51" ht="12.75" customHeight="1" x14ac:dyDescent="0.2">
      <c r="A175" s="2487"/>
      <c r="B175" s="2368">
        <f t="shared" si="35"/>
        <v>5</v>
      </c>
      <c r="C175" s="4325"/>
      <c r="D175" s="4271"/>
      <c r="E175" s="4272"/>
      <c r="F175" s="4272"/>
      <c r="G175" s="4272"/>
      <c r="H175" s="4272"/>
      <c r="I175" s="4272"/>
      <c r="J175" s="4272"/>
      <c r="K175" s="4272"/>
      <c r="L175" s="4272"/>
      <c r="M175" s="4272"/>
      <c r="N175" s="4272"/>
      <c r="O175" s="4272"/>
      <c r="P175" s="4272"/>
      <c r="Q175" s="4272"/>
      <c r="R175" s="4272"/>
      <c r="S175" s="4272"/>
      <c r="T175" s="4272"/>
      <c r="U175" s="4272"/>
      <c r="V175" s="4272"/>
      <c r="W175" s="4272"/>
      <c r="X175" s="4272"/>
      <c r="Y175" s="4272"/>
      <c r="Z175" s="4272"/>
      <c r="AA175" s="4272"/>
      <c r="AB175" s="4272"/>
      <c r="AC175" s="4272"/>
      <c r="AD175" s="4272"/>
      <c r="AE175" s="4272"/>
      <c r="AF175" s="4272"/>
      <c r="AG175" s="4273"/>
      <c r="AH175" s="2496"/>
      <c r="AI175" s="4328"/>
      <c r="AJ175" s="2785" t="s">
        <v>9615</v>
      </c>
      <c r="AK175" s="2785"/>
      <c r="AL175" s="2785"/>
      <c r="AM175" s="2785" t="b">
        <f>OR(-V159&gt;TRUNC(SUM(V152:V156)/2),-X159&gt;TRUNC(SUM(X152:X156)/2),-Z159&gt;TRUNC(SUM(Z152:Z156)/2),-AB159&gt;TRUNC(SUM(AB152:AB156)/2),-AD159&gt;TRUNC(SUM(AD152:AD156)/2),-AF159&gt;TRUNC(SUM(AF152:AF156)/2))</f>
        <v>0</v>
      </c>
      <c r="AN175" s="2785"/>
      <c r="AO175" s="2785"/>
      <c r="AP175" s="2785"/>
      <c r="AQ175" s="2786"/>
      <c r="AR175" s="2785"/>
      <c r="AS175" s="2785"/>
      <c r="AT175" s="2785"/>
      <c r="AU175" s="2787"/>
      <c r="AV175" s="2787"/>
      <c r="AW175" s="2787"/>
      <c r="AX175" s="2787"/>
      <c r="AY175" s="2785"/>
    </row>
    <row r="176" spans="1:51" ht="12.75" customHeight="1" x14ac:dyDescent="0.2">
      <c r="A176" s="2487"/>
      <c r="B176" s="2368">
        <f t="shared" si="35"/>
        <v>5</v>
      </c>
      <c r="C176" s="4325"/>
      <c r="D176" s="4271"/>
      <c r="E176" s="4272"/>
      <c r="F176" s="4272"/>
      <c r="G176" s="4272"/>
      <c r="H176" s="4272"/>
      <c r="I176" s="4272"/>
      <c r="J176" s="4272"/>
      <c r="K176" s="4272"/>
      <c r="L176" s="4272"/>
      <c r="M176" s="4272"/>
      <c r="N176" s="4272"/>
      <c r="O176" s="4272"/>
      <c r="P176" s="4272"/>
      <c r="Q176" s="4272"/>
      <c r="R176" s="4272"/>
      <c r="S176" s="4272"/>
      <c r="T176" s="4272"/>
      <c r="U176" s="4272"/>
      <c r="V176" s="4272"/>
      <c r="W176" s="4272"/>
      <c r="X176" s="4272"/>
      <c r="Y176" s="4272"/>
      <c r="Z176" s="4272"/>
      <c r="AA176" s="4272"/>
      <c r="AB176" s="4272"/>
      <c r="AC176" s="4272"/>
      <c r="AD176" s="4272"/>
      <c r="AE176" s="4272"/>
      <c r="AF176" s="4272"/>
      <c r="AG176" s="4273"/>
      <c r="AH176" s="2496"/>
      <c r="AI176" s="4328"/>
      <c r="AJ176" s="2785" t="s">
        <v>9616</v>
      </c>
      <c r="AK176" s="2785"/>
      <c r="AL176" s="2785"/>
      <c r="AM176" s="2785" t="b">
        <f>COUNTIF(D152:E156,"Primario")&gt;1</f>
        <v>0</v>
      </c>
      <c r="AN176" s="2785"/>
      <c r="AO176" s="2785"/>
      <c r="AP176" s="2785"/>
      <c r="AQ176" s="2786"/>
      <c r="AR176" s="2786"/>
      <c r="AS176" s="2786"/>
      <c r="AT176" s="2786"/>
      <c r="AU176" s="2787"/>
      <c r="AV176" s="2787"/>
      <c r="AW176" s="2787"/>
      <c r="AX176" s="2785"/>
      <c r="AY176" s="2785"/>
    </row>
    <row r="177" spans="1:51" ht="12.75" customHeight="1" x14ac:dyDescent="0.2">
      <c r="A177" s="2487"/>
      <c r="B177" s="2368">
        <f t="shared" si="35"/>
        <v>5</v>
      </c>
      <c r="C177" s="4325"/>
      <c r="D177" s="4271"/>
      <c r="E177" s="4272"/>
      <c r="F177" s="4272"/>
      <c r="G177" s="4272"/>
      <c r="H177" s="4272"/>
      <c r="I177" s="4272"/>
      <c r="J177" s="4272"/>
      <c r="K177" s="4272"/>
      <c r="L177" s="4272"/>
      <c r="M177" s="4272"/>
      <c r="N177" s="4272"/>
      <c r="O177" s="4272"/>
      <c r="P177" s="4272"/>
      <c r="Q177" s="4272"/>
      <c r="R177" s="4272"/>
      <c r="S177" s="4272"/>
      <c r="T177" s="4272"/>
      <c r="U177" s="4272"/>
      <c r="V177" s="4272"/>
      <c r="W177" s="4272"/>
      <c r="X177" s="4272"/>
      <c r="Y177" s="4272"/>
      <c r="Z177" s="4272"/>
      <c r="AA177" s="4272"/>
      <c r="AB177" s="4272"/>
      <c r="AC177" s="4272"/>
      <c r="AD177" s="4272"/>
      <c r="AE177" s="4272"/>
      <c r="AF177" s="4272"/>
      <c r="AG177" s="4273"/>
      <c r="AH177" s="2496"/>
      <c r="AI177" s="4328"/>
      <c r="AJ177" s="2785" t="s">
        <v>9599</v>
      </c>
      <c r="AK177" s="2785"/>
      <c r="AL177" s="2785"/>
      <c r="AM177" s="2785" t="b">
        <f>SUM(V159:AG159)&lt;&gt;Y157+ABS(AC157)*2/5+IF(S148="Si",3*P148,0)</f>
        <v>0</v>
      </c>
      <c r="AN177" s="2785"/>
      <c r="AO177" s="2785"/>
      <c r="AP177" s="2785"/>
      <c r="AQ177" s="2786"/>
      <c r="AR177" s="2786"/>
      <c r="AS177" s="2786"/>
      <c r="AT177" s="2786"/>
      <c r="AU177" s="2787"/>
      <c r="AV177" s="2787"/>
      <c r="AW177" s="2787"/>
      <c r="AX177" s="2785"/>
      <c r="AY177" s="2785"/>
    </row>
    <row r="178" spans="1:51" ht="13.5" customHeight="1" x14ac:dyDescent="0.2">
      <c r="A178" s="2487"/>
      <c r="B178" s="2368">
        <f t="shared" si="35"/>
        <v>5</v>
      </c>
      <c r="C178" s="4325"/>
      <c r="D178" s="4271"/>
      <c r="E178" s="4272"/>
      <c r="F178" s="4272"/>
      <c r="G178" s="4272"/>
      <c r="H178" s="4272"/>
      <c r="I178" s="4272"/>
      <c r="J178" s="4272"/>
      <c r="K178" s="4272"/>
      <c r="L178" s="4272"/>
      <c r="M178" s="4272"/>
      <c r="N178" s="4272"/>
      <c r="O178" s="4272"/>
      <c r="P178" s="4272"/>
      <c r="Q178" s="4272"/>
      <c r="R178" s="4272"/>
      <c r="S178" s="4272"/>
      <c r="T178" s="4272"/>
      <c r="U178" s="4272"/>
      <c r="V178" s="4272"/>
      <c r="W178" s="4272"/>
      <c r="X178" s="4272"/>
      <c r="Y178" s="4272"/>
      <c r="Z178" s="4272"/>
      <c r="AA178" s="4272"/>
      <c r="AB178" s="4272"/>
      <c r="AC178" s="4272"/>
      <c r="AD178" s="4272"/>
      <c r="AE178" s="4272"/>
      <c r="AF178" s="4272"/>
      <c r="AG178" s="4273"/>
      <c r="AH178" s="2496"/>
      <c r="AI178" s="4328"/>
      <c r="AJ178" s="2785" t="s">
        <v>9598</v>
      </c>
      <c r="AK178" s="2785"/>
      <c r="AL178" s="2785"/>
      <c r="AM178" s="2785" t="b">
        <f>AL165-AL166+AM165-AM166&lt;&gt;0</f>
        <v>0</v>
      </c>
      <c r="AN178" s="2787"/>
      <c r="AO178" s="2787"/>
      <c r="AP178" s="2787"/>
      <c r="AQ178" s="2787"/>
      <c r="AR178" s="2786"/>
      <c r="AS178" s="2786"/>
      <c r="AT178" s="2786"/>
      <c r="AU178" s="2787"/>
      <c r="AV178" s="2787"/>
      <c r="AW178" s="2787"/>
      <c r="AX178" s="2785"/>
      <c r="AY178" s="2785"/>
    </row>
    <row r="179" spans="1:51" ht="12.75" customHeight="1" thickBot="1" x14ac:dyDescent="0.25">
      <c r="A179" s="2487"/>
      <c r="B179" s="2368"/>
      <c r="C179" s="4326"/>
      <c r="D179" s="432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30"/>
      <c r="F179" s="4330"/>
      <c r="G179" s="4330"/>
      <c r="H179" s="4330"/>
      <c r="I179" s="4330"/>
      <c r="J179" s="4330"/>
      <c r="K179" s="4330"/>
      <c r="L179" s="4330"/>
      <c r="M179" s="4330"/>
      <c r="N179" s="4330"/>
      <c r="O179" s="4330"/>
      <c r="P179" s="4330"/>
      <c r="Q179" s="4330"/>
      <c r="R179" s="4330"/>
      <c r="S179" s="4330"/>
      <c r="T179" s="4330"/>
      <c r="U179" s="4330"/>
      <c r="V179" s="4330"/>
      <c r="W179" s="4330"/>
      <c r="X179" s="4330"/>
      <c r="Y179" s="4330"/>
      <c r="Z179" s="4330"/>
      <c r="AA179" s="4330"/>
      <c r="AB179" s="4330"/>
      <c r="AC179" s="4330"/>
      <c r="AD179" s="4330"/>
      <c r="AE179" s="4330"/>
      <c r="AF179" s="4330"/>
      <c r="AG179" s="4331"/>
      <c r="AH179" s="2496"/>
      <c r="AI179" s="4328"/>
      <c r="AJ179" s="2785" t="s">
        <v>9635</v>
      </c>
      <c r="AK179" s="2787"/>
      <c r="AL179" s="2787"/>
      <c r="AM179" s="2787" t="b">
        <f>ABS(SUM(N157:N159))&gt;(SUM(N152:N156)-10*Y157+AC157+IF(S148="Si",10*P148,0)+IF(COUNTIF(K152:M156,"Mantenido")&gt;0,P148*10)+MAX(IF(COUNTIF(K152:M156,"Sostenimiento Menor")&gt;0,P148*20)+IF(COUNTIF(K152:M156,"Sostenimiento Mayor")&gt;0,P148*30)))/2</f>
        <v>0</v>
      </c>
      <c r="AN179" s="2785"/>
      <c r="AO179" s="2785"/>
      <c r="AP179" s="2785"/>
      <c r="AQ179" s="2785"/>
      <c r="AR179" s="2786"/>
      <c r="AS179" s="2786"/>
      <c r="AT179" s="2786"/>
      <c r="AU179" s="2787"/>
      <c r="AV179" s="2787"/>
      <c r="AW179" s="2787"/>
      <c r="AX179" s="2785"/>
      <c r="AY179" s="2785"/>
    </row>
    <row r="180" spans="1:51" x14ac:dyDescent="0.2">
      <c r="A180" s="2487"/>
      <c r="B180" s="2368"/>
      <c r="C180" s="4232"/>
      <c r="D180" s="4232" t="str">
        <f>IFERROR(VLOOKUP(D161,'Tablas Técnicas'!$O$9:$T$88,2,FALSE),"")</f>
        <v/>
      </c>
      <c r="E180" s="4232"/>
      <c r="F180" s="4232"/>
      <c r="G180" s="4232"/>
      <c r="H180" s="4232"/>
      <c r="I180" s="4232"/>
      <c r="J180" s="4232" t="str">
        <f>IFERROR(VLOOKUP(J161,'Tablas Técnicas'!$O$9:$T$88,2,FALSE),"")</f>
        <v/>
      </c>
      <c r="K180" s="4232"/>
      <c r="L180" s="4232"/>
      <c r="M180" s="4232"/>
      <c r="N180" s="4232"/>
      <c r="O180" s="4232"/>
      <c r="P180" s="4232" t="str">
        <f>IFERROR(VLOOKUP(P161,'Tablas Técnicas'!$O$9:$T$88,2,FALSE),"")</f>
        <v/>
      </c>
      <c r="Q180" s="4232"/>
      <c r="R180" s="4232"/>
      <c r="S180" s="4232"/>
      <c r="T180" s="4232"/>
      <c r="U180" s="4232"/>
      <c r="V180" s="4232" t="str">
        <f>IFERROR(VLOOKUP(V161,'Tablas Técnicas'!$O$9:$T$88,2,FALSE),"")</f>
        <v/>
      </c>
      <c r="W180" s="4232"/>
      <c r="X180" s="4232"/>
      <c r="Y180" s="4232"/>
      <c r="Z180" s="4232"/>
      <c r="AA180" s="4232"/>
      <c r="AB180" s="4232" t="str">
        <f>IFERROR(VLOOKUP(AB161,'Tablas Técnicas'!$O$9:$T$88,2,FALSE),"")</f>
        <v/>
      </c>
      <c r="AC180" s="4232"/>
      <c r="AD180" s="4232"/>
      <c r="AE180" s="4232"/>
      <c r="AF180" s="4232"/>
      <c r="AG180" s="4232"/>
      <c r="AH180" s="2496"/>
      <c r="AI180" s="2188"/>
      <c r="AJ180" s="2785"/>
      <c r="AK180" s="2785"/>
      <c r="AL180" s="2785"/>
      <c r="AM180" s="2785"/>
      <c r="AN180" s="2785"/>
      <c r="AO180" s="2785"/>
      <c r="AP180" s="2785"/>
      <c r="AQ180" s="2785"/>
      <c r="AR180" s="2786"/>
      <c r="AS180" s="2786"/>
      <c r="AT180" s="2786"/>
      <c r="AU180" s="2787"/>
      <c r="AV180" s="2787"/>
      <c r="AW180" s="2787"/>
      <c r="AX180" s="2787"/>
      <c r="AY180" s="2785"/>
    </row>
    <row r="181" spans="1:51" ht="12" thickBot="1" x14ac:dyDescent="0.25">
      <c r="A181" s="2487"/>
      <c r="B181" s="2368"/>
      <c r="C181" s="4232"/>
      <c r="D181" s="2635"/>
      <c r="E181" s="2370"/>
      <c r="F181" s="2370"/>
      <c r="G181" s="2370"/>
      <c r="H181" s="2370"/>
      <c r="I181" s="2370"/>
      <c r="J181" s="2370"/>
      <c r="K181" s="2370"/>
      <c r="L181" s="2370"/>
      <c r="M181" s="2370"/>
      <c r="N181" s="2370"/>
      <c r="O181" s="2370"/>
      <c r="P181" s="2370"/>
      <c r="Q181" s="2370"/>
      <c r="R181" s="2370"/>
      <c r="S181" s="2370"/>
      <c r="T181" s="2370"/>
      <c r="U181" s="2370"/>
      <c r="V181" s="2636"/>
      <c r="W181" s="2636"/>
      <c r="X181" s="2636"/>
      <c r="Y181" s="2636"/>
      <c r="Z181" s="2636"/>
      <c r="AA181" s="2636"/>
      <c r="AB181" s="2636"/>
      <c r="AC181" s="2636"/>
      <c r="AD181" s="2636"/>
      <c r="AE181" s="2636"/>
      <c r="AF181" s="2370"/>
      <c r="AG181" s="2370"/>
      <c r="AH181" s="2496"/>
      <c r="AI181" s="2188"/>
      <c r="AJ181" s="2793"/>
      <c r="AK181" s="2793"/>
      <c r="AL181" s="2793"/>
      <c r="AM181" s="2793"/>
      <c r="AN181" s="2793"/>
      <c r="AO181" s="2793"/>
      <c r="AP181" s="2785"/>
      <c r="AQ181" s="2786"/>
      <c r="AR181" s="2787"/>
      <c r="AS181" s="2787"/>
      <c r="AT181" s="2787"/>
      <c r="AU181" s="2787"/>
      <c r="AV181" s="2787"/>
      <c r="AW181" s="2787"/>
      <c r="AX181" s="2787"/>
      <c r="AY181" s="2794"/>
    </row>
    <row r="182" spans="1:51" ht="11.25" customHeight="1" x14ac:dyDescent="0.2">
      <c r="A182" s="2487"/>
      <c r="B182" s="2368">
        <f t="shared" ref="B182:B212" si="44">1+B148</f>
        <v>6</v>
      </c>
      <c r="C182" s="4324" t="str">
        <f>"Técnica "&amp;B182</f>
        <v>Técnica 6</v>
      </c>
      <c r="D182" s="4318" t="s">
        <v>8999</v>
      </c>
      <c r="E182" s="4319"/>
      <c r="F182" s="4319"/>
      <c r="G182" s="4319"/>
      <c r="H182" s="4319"/>
      <c r="I182" s="4319"/>
      <c r="J182" s="4319"/>
      <c r="K182" s="4319"/>
      <c r="L182" s="4319"/>
      <c r="M182" s="4319"/>
      <c r="N182" s="4320"/>
      <c r="O182" s="4284" t="s">
        <v>1333</v>
      </c>
      <c r="P182" s="4286">
        <v>1</v>
      </c>
      <c r="Q182" s="4203" t="s">
        <v>9083</v>
      </c>
      <c r="R182" s="4280"/>
      <c r="S182" s="4282" t="s">
        <v>1389</v>
      </c>
      <c r="T182" s="4204" t="s">
        <v>1514</v>
      </c>
      <c r="U182" s="4268">
        <f>MAX(IF(P182=3,60,IF(P182=2,40,20)),MIN(IF(P182=3,200,IF(P182=2,100,50)),SUM(N186:N193)-10*Y191+AC191+IF(S182="Si",10*P182,0)+IF(COUNTIF(K186:M190,"Mantenido")&gt;0,P182*10)+MAX(IF(COUNTIF(K186:M190,"Sostenimiento Menor")&gt;0,P182*20)+IF(COUNTIF(K186:M190,"Sostenimiento Mayor")&gt;0,P182*30))))</f>
        <v>20</v>
      </c>
      <c r="V182" s="4203" t="s">
        <v>9084</v>
      </c>
      <c r="W182" s="4204"/>
      <c r="X182" s="4207" t="str">
        <f>IFERROR(LEFT(AK198&amp;AL198&amp;AM198&amp;AN198&amp;AO198&amp;AP198,LEN(AK198&amp;AL198&amp;AM198&amp;AN198&amp;AO198&amp;AP198)-2),"")</f>
        <v/>
      </c>
      <c r="Y182" s="4207"/>
      <c r="Z182" s="4207"/>
      <c r="AA182" s="4207"/>
      <c r="AB182" s="4207"/>
      <c r="AC182" s="4207"/>
      <c r="AD182" s="4207"/>
      <c r="AE182" s="4207"/>
      <c r="AF182" s="4207"/>
      <c r="AG182" s="4208"/>
      <c r="AH182" s="2496"/>
      <c r="AI182" s="4328"/>
      <c r="AJ182" s="2790" t="s">
        <v>9632</v>
      </c>
      <c r="AK182" s="2790"/>
      <c r="AL182" s="2790"/>
      <c r="AM182" s="2790"/>
      <c r="AN182" s="2790"/>
      <c r="AO182" s="2790"/>
      <c r="AP182" s="2790"/>
      <c r="AQ182" s="2790"/>
      <c r="AR182" s="2790"/>
      <c r="AS182" s="2785"/>
      <c r="AT182" s="2785"/>
      <c r="AU182" s="2785"/>
      <c r="AV182" s="2785"/>
      <c r="AW182" s="2787"/>
      <c r="AX182" s="2787"/>
      <c r="AY182" s="2785"/>
    </row>
    <row r="183" spans="1:51" ht="11.25" customHeight="1" x14ac:dyDescent="0.2">
      <c r="A183" s="2487"/>
      <c r="B183" s="2368">
        <f t="shared" si="44"/>
        <v>6</v>
      </c>
      <c r="C183" s="4325"/>
      <c r="D183" s="4321"/>
      <c r="E183" s="4322"/>
      <c r="F183" s="4322"/>
      <c r="G183" s="4322"/>
      <c r="H183" s="4322"/>
      <c r="I183" s="4322"/>
      <c r="J183" s="4322"/>
      <c r="K183" s="4322"/>
      <c r="L183" s="4322"/>
      <c r="M183" s="4322"/>
      <c r="N183" s="4323"/>
      <c r="O183" s="4285"/>
      <c r="P183" s="4283"/>
      <c r="Q183" s="4205"/>
      <c r="R183" s="4281"/>
      <c r="S183" s="4283"/>
      <c r="T183" s="4206"/>
      <c r="U183" s="4269"/>
      <c r="V183" s="4205"/>
      <c r="W183" s="4206"/>
      <c r="X183" s="4209"/>
      <c r="Y183" s="4209"/>
      <c r="Z183" s="4209"/>
      <c r="AA183" s="4209"/>
      <c r="AB183" s="4209"/>
      <c r="AC183" s="4209"/>
      <c r="AD183" s="4209"/>
      <c r="AE183" s="4209"/>
      <c r="AF183" s="4209"/>
      <c r="AG183" s="4210"/>
      <c r="AH183" s="2496"/>
      <c r="AI183" s="4328"/>
      <c r="AJ183" s="2790"/>
      <c r="AK183" s="2790" t="s">
        <v>9633</v>
      </c>
      <c r="AL183" s="2790" t="s">
        <v>10237</v>
      </c>
      <c r="AM183" s="2791"/>
      <c r="AN183" s="2791"/>
      <c r="AO183" s="2791"/>
      <c r="AP183" s="2791"/>
      <c r="AQ183" s="2791"/>
      <c r="AR183" s="2790"/>
      <c r="AS183" s="2785"/>
      <c r="AT183" s="2785"/>
      <c r="AU183" s="2785"/>
      <c r="AV183" s="2785"/>
      <c r="AW183" s="2787"/>
      <c r="AX183" s="4327" t="s">
        <v>9602</v>
      </c>
      <c r="AY183" s="4327"/>
    </row>
    <row r="184" spans="1:51" ht="12" customHeight="1" x14ac:dyDescent="0.2">
      <c r="A184" s="2487"/>
      <c r="B184" s="2368">
        <f t="shared" si="44"/>
        <v>6</v>
      </c>
      <c r="C184" s="4325"/>
      <c r="D184" s="4213" t="s">
        <v>2910</v>
      </c>
      <c r="E184" s="4214"/>
      <c r="F184" s="4214"/>
      <c r="G184" s="4214"/>
      <c r="H184" s="4214"/>
      <c r="I184" s="4214"/>
      <c r="J184" s="4214"/>
      <c r="K184" s="4290" t="s">
        <v>9935</v>
      </c>
      <c r="L184" s="4290"/>
      <c r="M184" s="4290"/>
      <c r="N184" s="4214" t="s">
        <v>1508</v>
      </c>
      <c r="O184" s="4290" t="s">
        <v>2908</v>
      </c>
      <c r="P184" s="4290" t="s">
        <v>9085</v>
      </c>
      <c r="Q184" s="4214" t="s">
        <v>1372</v>
      </c>
      <c r="R184" s="4214"/>
      <c r="S184" s="4214"/>
      <c r="T184" s="4214"/>
      <c r="U184" s="4214"/>
      <c r="V184" s="4202" t="s">
        <v>1381</v>
      </c>
      <c r="W184" s="4185"/>
      <c r="X184" s="4202" t="s">
        <v>1506</v>
      </c>
      <c r="Y184" s="4287"/>
      <c r="Z184" s="4185" t="s">
        <v>1386</v>
      </c>
      <c r="AA184" s="4185"/>
      <c r="AB184" s="4202" t="s">
        <v>1391</v>
      </c>
      <c r="AC184" s="4287"/>
      <c r="AD184" s="4185" t="s">
        <v>1399</v>
      </c>
      <c r="AE184" s="4185"/>
      <c r="AF184" s="4202" t="s">
        <v>1400</v>
      </c>
      <c r="AG184" s="4186"/>
      <c r="AH184" s="2496"/>
      <c r="AI184" s="4328"/>
      <c r="AJ184" s="2785"/>
      <c r="AK184" s="2785"/>
      <c r="AL184" s="2785" t="s">
        <v>9910</v>
      </c>
      <c r="AM184" s="2785"/>
      <c r="AN184" s="2785"/>
      <c r="AO184" s="2785"/>
      <c r="AP184" s="2785"/>
      <c r="AQ184" s="2785"/>
      <c r="AR184" s="2787"/>
      <c r="AS184" s="2787" t="s">
        <v>9622</v>
      </c>
      <c r="AT184" s="2787" t="s">
        <v>9623</v>
      </c>
      <c r="AU184" s="2785" t="s">
        <v>9611</v>
      </c>
      <c r="AV184" s="2785" t="s">
        <v>9612</v>
      </c>
      <c r="AW184" s="2787" t="s">
        <v>1508</v>
      </c>
      <c r="AX184" s="2787" t="s">
        <v>9087</v>
      </c>
      <c r="AY184" s="2785" t="s">
        <v>9088</v>
      </c>
    </row>
    <row r="185" spans="1:51" ht="12.75" customHeight="1" x14ac:dyDescent="0.2">
      <c r="A185" s="2487"/>
      <c r="B185" s="2368">
        <f t="shared" si="44"/>
        <v>6</v>
      </c>
      <c r="C185" s="4325"/>
      <c r="D185" s="4288"/>
      <c r="E185" s="4289"/>
      <c r="F185" s="4289"/>
      <c r="G185" s="4289"/>
      <c r="H185" s="4289"/>
      <c r="I185" s="4289"/>
      <c r="J185" s="4289"/>
      <c r="K185" s="4291"/>
      <c r="L185" s="4291"/>
      <c r="M185" s="4291"/>
      <c r="N185" s="4215"/>
      <c r="O185" s="4291"/>
      <c r="P185" s="4292"/>
      <c r="Q185" s="4215"/>
      <c r="R185" s="4215"/>
      <c r="S185" s="4215"/>
      <c r="T185" s="4215"/>
      <c r="U185" s="4215"/>
      <c r="V185" s="2373" t="s">
        <v>9601</v>
      </c>
      <c r="W185" s="2488" t="s">
        <v>2914</v>
      </c>
      <c r="X185" s="2373" t="s">
        <v>9601</v>
      </c>
      <c r="Y185" s="2488" t="s">
        <v>2914</v>
      </c>
      <c r="Z185" s="2373" t="s">
        <v>9601</v>
      </c>
      <c r="AA185" s="2488" t="s">
        <v>2914</v>
      </c>
      <c r="AB185" s="2373" t="s">
        <v>9601</v>
      </c>
      <c r="AC185" s="2488" t="s">
        <v>2914</v>
      </c>
      <c r="AD185" s="2373" t="s">
        <v>9601</v>
      </c>
      <c r="AE185" s="2488" t="s">
        <v>2914</v>
      </c>
      <c r="AF185" s="2373" t="s">
        <v>9601</v>
      </c>
      <c r="AG185" s="2195" t="s">
        <v>2914</v>
      </c>
      <c r="AH185" s="2496"/>
      <c r="AI185" s="4328"/>
      <c r="AJ185" s="2785"/>
      <c r="AK185" s="2785" t="s">
        <v>9603</v>
      </c>
      <c r="AL185" s="2785">
        <v>1</v>
      </c>
      <c r="AM185" s="2785">
        <v>2</v>
      </c>
      <c r="AN185" s="2785">
        <v>3</v>
      </c>
      <c r="AO185" s="2785">
        <v>4</v>
      </c>
      <c r="AP185" s="2785">
        <v>5</v>
      </c>
      <c r="AQ185" s="2785">
        <v>6</v>
      </c>
      <c r="AR185" s="2785">
        <v>7</v>
      </c>
      <c r="AS185" s="2787"/>
      <c r="AT185" s="2785" t="s">
        <v>9634</v>
      </c>
      <c r="AU185" s="2787"/>
      <c r="AV185" s="2787"/>
      <c r="AW185" s="2787" t="s">
        <v>9634</v>
      </c>
      <c r="AX185" s="2787"/>
      <c r="AY185" s="2785"/>
    </row>
    <row r="186" spans="1:51" ht="12.75" customHeight="1" x14ac:dyDescent="0.2">
      <c r="A186" s="2487"/>
      <c r="B186" s="2368">
        <f t="shared" si="44"/>
        <v>6</v>
      </c>
      <c r="C186" s="4325"/>
      <c r="D186" s="4293" t="s">
        <v>9089</v>
      </c>
      <c r="E186" s="4294"/>
      <c r="F186" s="4295"/>
      <c r="G186" s="4296"/>
      <c r="H186" s="4296"/>
      <c r="I186" s="4296"/>
      <c r="J186" s="4240"/>
      <c r="K186" s="4297" t="s">
        <v>1464</v>
      </c>
      <c r="L186" s="4298"/>
      <c r="M186" s="4299"/>
      <c r="N186" s="2374">
        <f>IF(AW186&gt;0,IF(VLOOKUP(F186,'Tablas Técnicas'!$O$9:$X$88,10,0),MAX(5,AW186-5),AW186),0)</f>
        <v>0</v>
      </c>
      <c r="O186" s="2374" t="str">
        <f>AS186&amp;" / "&amp;AT186</f>
        <v>0 / 0</v>
      </c>
      <c r="P186" s="2374" t="str">
        <f t="array" ref="P186">W186+Y186+AA186+AC186+AE186+AG186&amp;" / "&amp;IF(K186&lt;&gt;"Mantenido",0,SUM(IF($AL186:$AR186='Tablas Técnicas'!$L$10:$L$643,'Tablas Técnicas'!$H$10:$H$643,0)))</f>
        <v>0 / 0</v>
      </c>
      <c r="Q186" s="4300" t="str">
        <f>IFERROR(VLOOKUP(F186,'Tablas Técnicas'!$O$9:$T$88,5,FALSE),"")</f>
        <v/>
      </c>
      <c r="R186" s="4300"/>
      <c r="S186" s="4300"/>
      <c r="T186" s="4300"/>
      <c r="U186" s="4300"/>
      <c r="V186" s="2324"/>
      <c r="W186" s="2325"/>
      <c r="X186" s="2324"/>
      <c r="Y186" s="2326"/>
      <c r="Z186" s="2327"/>
      <c r="AA186" s="2325"/>
      <c r="AB186" s="2324"/>
      <c r="AC186" s="2326"/>
      <c r="AD186" s="2327"/>
      <c r="AE186" s="2325"/>
      <c r="AF186" s="2324"/>
      <c r="AG186" s="2328"/>
      <c r="AH186" s="2496"/>
      <c r="AI186" s="4328"/>
      <c r="AJ186" s="2785">
        <v>1</v>
      </c>
      <c r="AK186" s="2785">
        <f>P182</f>
        <v>1</v>
      </c>
      <c r="AL186" s="2785" t="str">
        <f>IF(AND(ISNUMBER(MATCH($F186,'Tablas Técnicas'!$L$10:$L$643,0)),INDEX($D199:$D205,Tablas!A$1)="",COUNTIF(AM186:$AS186,$F186)=0),$F186,IF(INDEX($D199:$D205,Tablas!A$1)="","",$F186&amp;INDEX($D199:$D205,Tablas!A$1)))</f>
        <v/>
      </c>
      <c r="AM186" s="2785" t="str">
        <f>IF(AND(ISNUMBER(MATCH($F186,'Tablas Técnicas'!$L$10:$L$643,0)),INDEX($D199:$D205,Tablas!B$1)="",COUNTIF(AN186:$AS186,$F186)=0),$F186,IF(INDEX($D199:$D205,Tablas!B$1)="","",$F186&amp;INDEX($D199:$D205,Tablas!B$1)))</f>
        <v/>
      </c>
      <c r="AN186" s="2785" t="str">
        <f>IF(AND(ISNUMBER(MATCH($F186,'Tablas Técnicas'!$L$10:$L$643,0)),INDEX($D199:$D205,Tablas!C$1)="",COUNTIF(AO186:$AS186,$F186)=0),$F186,IF(INDEX($D199:$D205,Tablas!C$1)="","",$F186&amp;INDEX($D199:$D205,Tablas!C$1)))</f>
        <v/>
      </c>
      <c r="AO186" s="2785" t="str">
        <f>IF(AND(ISNUMBER(MATCH($F186,'Tablas Técnicas'!$L$10:$L$643,0)),INDEX($D199:$D205,Tablas!D$1)="",COUNTIF(AP186:$AS186,$F186)=0),$F186,IF(INDEX($D199:$D205,Tablas!D$1)="","",$F186&amp;INDEX($D199:$D205,Tablas!D$1)))</f>
        <v/>
      </c>
      <c r="AP186" s="2785" t="str">
        <f>IF(AND(ISNUMBER(MATCH($F186,'Tablas Técnicas'!$L$10:$L$643,0)),INDEX($D199:$D205,Tablas!E$1)="",COUNTIF(AQ186:$AS186,$F186)=0),$F186,IF(INDEX($D199:$D205,Tablas!E$1)="","",$F186&amp;INDEX($D199:$D205,Tablas!E$1)))</f>
        <v/>
      </c>
      <c r="AQ186" s="2785" t="str">
        <f>IF(AND(ISNUMBER(MATCH($F186,'Tablas Técnicas'!$L$10:$L$643,0)),INDEX($D199:$D205,Tablas!F$1)="",COUNTIF(AR186:$AS186,$F186)=0),$F186,IF(INDEX($D199:$D205,Tablas!F$1)="","",$F186&amp;INDEX($D199:$D205,Tablas!F$1)))</f>
        <v/>
      </c>
      <c r="AR186" s="2785" t="str">
        <f>IF(AND(ISNUMBER(MATCH($F186,'Tablas Técnicas'!$L$10:$L$643,0)),INDEX($D199:$D205,Tablas!G$1)="",COUNTIF(AS186:$AS186,$F186)=0),$F186,IF(INDEX($D199:$D205,Tablas!G$1)="","",$F186&amp;INDEX($D199:$D205,Tablas!G$1)))</f>
        <v/>
      </c>
      <c r="AS186" s="2787">
        <f>V186+X186+Z186+AB186+AD186+AF186</f>
        <v>0</v>
      </c>
      <c r="AT186" s="2787">
        <f t="array" ref="AT186">SUM(IF($AL186:$AR186='Tablas Técnicas'!$L$10:$L$643,IF(D186="Primario",'Tablas Técnicas'!$E$10:$E$643,'Tablas Técnicas'!$F$10:$F$643)+IF(K186="Sostenimiento menor",'Tablas Técnicas'!$I$10:$I$643,IF(K186="sostenimiento mayor",'Tablas Técnicas'!$J$10:$J$643,0)),0),0)+VALUE(RIGHT(P186,2))+AU186+AV186</f>
        <v>0</v>
      </c>
      <c r="AU186" s="278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7">
        <f>(COUNTIF(AL186:AR186,"*Estado añadido:*")-1)*COUNTIF(AL186:AR186,"*Estado añadido:*")</f>
        <v>0</v>
      </c>
      <c r="AW186" s="2787">
        <f t="array" ref="AW186">SUM(IF($AL186:$AR186='Tablas Técnicas'!$L$10:$L$643,'Tablas Técnicas'!$G$10:$G$643,0))</f>
        <v>0</v>
      </c>
      <c r="AX186" s="2785"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5" t="str">
        <f t="shared" ref="AY186:AY188" si="45">IFERROR(LEFT(AX186,LEN(AX186)-2)&amp;"), ","")</f>
        <v/>
      </c>
    </row>
    <row r="187" spans="1:51" ht="12.75" customHeight="1" x14ac:dyDescent="0.2">
      <c r="A187" s="2487"/>
      <c r="B187" s="2368">
        <f t="shared" si="44"/>
        <v>6</v>
      </c>
      <c r="C187" s="4325"/>
      <c r="D187" s="4221" t="s">
        <v>526</v>
      </c>
      <c r="E187" s="4222"/>
      <c r="F187" s="4304"/>
      <c r="G187" s="4305"/>
      <c r="H187" s="4305"/>
      <c r="I187" s="4305"/>
      <c r="J187" s="4249"/>
      <c r="K187" s="4306" t="s">
        <v>1464</v>
      </c>
      <c r="L187" s="4307"/>
      <c r="M187" s="4308"/>
      <c r="N187" s="2192">
        <f>IF(AW187&gt;0,IF(VLOOKUP(F187,'Tablas Técnicas'!$O$9:$X$88,10,0),MAX(5,AW187-5),AW187),0)</f>
        <v>0</v>
      </c>
      <c r="O187" s="2192" t="str">
        <f>AS187&amp;" / "&amp;AT187</f>
        <v>0 / 0</v>
      </c>
      <c r="P187" s="2192" t="str">
        <f t="array" ref="P187">W187+Y187+AA187+AC187+AE187+AG187&amp;" / "&amp;IF(K187&lt;&gt;"Mantenido",0,SUM(IF($AL187:$AR187='Tablas Técnicas'!$L$10:$L$643,'Tablas Técnicas'!$H$10:$H$643,0)))</f>
        <v>0 / 0</v>
      </c>
      <c r="Q187" s="4223" t="str">
        <f>IFERROR(VLOOKUP(F187,'Tablas Técnicas'!$O$9:$T$88,5,FALSE),"")</f>
        <v/>
      </c>
      <c r="R187" s="4223"/>
      <c r="S187" s="4223"/>
      <c r="T187" s="4223"/>
      <c r="U187" s="4223"/>
      <c r="V187" s="2329"/>
      <c r="W187" s="2330"/>
      <c r="X187" s="2329"/>
      <c r="Y187" s="2331"/>
      <c r="Z187" s="2332"/>
      <c r="AA187" s="2330"/>
      <c r="AB187" s="2329"/>
      <c r="AC187" s="2331"/>
      <c r="AD187" s="2332"/>
      <c r="AE187" s="2330"/>
      <c r="AF187" s="2329"/>
      <c r="AG187" s="2333"/>
      <c r="AH187" s="2496"/>
      <c r="AI187" s="4328"/>
      <c r="AJ187" s="2785">
        <v>2</v>
      </c>
      <c r="AK187" s="2785">
        <f>P182</f>
        <v>1</v>
      </c>
      <c r="AL187" s="2785" t="str">
        <f>IF(AND(ISNUMBER(MATCH($F187,'Tablas Técnicas'!$L$10:$L$643,0)),INDEX($J199:$J205,Tablas!A$1)="",COUNTIF(AM187:$AS187,$F187)=0),$F187,IF(INDEX($J199:$J205,Tablas!A$1)="","",$F187&amp;INDEX($J199:$J205,Tablas!A$1)))</f>
        <v/>
      </c>
      <c r="AM187" s="2785" t="str">
        <f>IF(AND(ISNUMBER(MATCH($F187,'Tablas Técnicas'!$L$10:$L$643,0)),INDEX($J199:$J205,Tablas!B$1)="",COUNTIF(AN187:$AS187,$F187)=0),$F187,IF(INDEX($J199:$J205,Tablas!B$1)="","",$F187&amp;INDEX($J199:$J205,Tablas!B$1)))</f>
        <v/>
      </c>
      <c r="AN187" s="2785" t="str">
        <f>IF(AND(ISNUMBER(MATCH($F187,'Tablas Técnicas'!$L$10:$L$643,0)),INDEX($J199:$J205,Tablas!C$1)="",COUNTIF(AO187:$AS187,$F187)=0),$F187,IF(INDEX($J199:$J205,Tablas!C$1)="","",$F187&amp;INDEX($J199:$J205,Tablas!C$1)))</f>
        <v/>
      </c>
      <c r="AO187" s="2785" t="str">
        <f>IF(AND(ISNUMBER(MATCH($F187,'Tablas Técnicas'!$L$10:$L$643,0)),INDEX($J199:$J205,Tablas!D$1)="",COUNTIF(AP187:$AS187,$F187)=0),$F187,IF(INDEX($J199:$J205,Tablas!D$1)="","",$F187&amp;INDEX($J199:$J205,Tablas!D$1)))</f>
        <v/>
      </c>
      <c r="AP187" s="2785" t="str">
        <f>IF(AND(ISNUMBER(MATCH($F187,'Tablas Técnicas'!$L$10:$L$643,0)),INDEX($J199:$J205,Tablas!E$1)="",COUNTIF(AQ187:$AS187,$F187)=0),$F187,IF(INDEX($J199:$J205,Tablas!E$1)="","",$F187&amp;INDEX($J199:$J205,Tablas!E$1)))</f>
        <v/>
      </c>
      <c r="AQ187" s="2785" t="str">
        <f>IF(AND(ISNUMBER(MATCH($F187,'Tablas Técnicas'!$L$10:$L$643,0)),INDEX($J199:$J205,Tablas!F$1)="",COUNTIF(AR187:$AS187,$F187)=0),$F187,IF(INDEX($J199:$J205,Tablas!F$1)="","",$F187&amp;INDEX($J199:$J205,Tablas!F$1)))</f>
        <v/>
      </c>
      <c r="AR187" s="2785" t="str">
        <f>IF(AND(ISNUMBER(MATCH($F187,'Tablas Técnicas'!$L$10:$L$643,0)),INDEX($J199:$J205,Tablas!G$1)="",COUNTIF(AS187:$AS187,$F187)=0),$F187,IF(INDEX($J199:$J205,Tablas!G$1)="","",$F187&amp;INDEX($J199:$J205,Tablas!G$1)))</f>
        <v/>
      </c>
      <c r="AS187" s="2787">
        <f>V187+X187+Z187+AB187+AD187+AF187</f>
        <v>0</v>
      </c>
      <c r="AT187" s="2787">
        <f t="array" ref="AT187">SUM(IF($AL187:$AR187='Tablas Técnicas'!$L$10:$L$643,IF(D187="Primario",'Tablas Técnicas'!$E$10:$E$643,'Tablas Técnicas'!$F$10:$F$643)+IF(K187="Sostenimiento menor",'Tablas Técnicas'!$I$10:$I$643,IF(K187="sostenimiento mayor",'Tablas Técnicas'!$J$10:$J$643,0)),0),0)+VALUE(RIGHT(P187,2))+AU187+AV187</f>
        <v>0</v>
      </c>
      <c r="AU187" s="278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7">
        <f>(COUNTIF(AL187:AR187,"*Estado añadido:*")-1)*COUNTIF(AL187:AR187,"*Estado añadido:*")</f>
        <v>0</v>
      </c>
      <c r="AW187" s="2787">
        <f t="array" ref="AW187">SUM(IF($AL187:$AR187='Tablas Técnicas'!$L$10:$L$643,'Tablas Técnicas'!$G$10:$G$643,0))</f>
        <v>0</v>
      </c>
      <c r="AX187" s="2785"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5" t="str">
        <f t="shared" si="45"/>
        <v/>
      </c>
    </row>
    <row r="188" spans="1:51" ht="12.75" customHeight="1" x14ac:dyDescent="0.2">
      <c r="A188" s="2487"/>
      <c r="B188" s="2368">
        <f t="shared" si="44"/>
        <v>6</v>
      </c>
      <c r="C188" s="4325"/>
      <c r="D188" s="4312" t="s">
        <v>526</v>
      </c>
      <c r="E188" s="4313"/>
      <c r="F188" s="4227"/>
      <c r="G188" s="4228"/>
      <c r="H188" s="4228"/>
      <c r="I188" s="4228"/>
      <c r="J188" s="4229"/>
      <c r="K188" s="4309" t="s">
        <v>1464</v>
      </c>
      <c r="L188" s="4310"/>
      <c r="M188" s="4311"/>
      <c r="N188" s="2188">
        <f>IF(AW188&gt;0,IF(VLOOKUP(F188,'Tablas Técnicas'!$O$9:$X$88,10,0),MAX(5,AW188-5),AW188),0)</f>
        <v>0</v>
      </c>
      <c r="O188" s="2188" t="str">
        <f>AS188&amp;" / "&amp;AT188</f>
        <v>0 / 0</v>
      </c>
      <c r="P188" s="2188" t="str">
        <f t="array" ref="P188">W188+Y188+AA188+AC188+AE188+AG188&amp;" / "&amp;IF(K188&lt;&gt;"Mantenido",0,SUM(IF($AL188:$AR188='Tablas Técnicas'!$L$10:$L$643,'Tablas Técnicas'!$H$10:$H$643,0)))</f>
        <v>0 / 0</v>
      </c>
      <c r="Q188" s="4314" t="str">
        <f>IFERROR(VLOOKUP(F188,'Tablas Técnicas'!$O$9:$T$88,5,FALSE),"")</f>
        <v/>
      </c>
      <c r="R188" s="4314"/>
      <c r="S188" s="4314"/>
      <c r="T188" s="4314"/>
      <c r="U188" s="4314"/>
      <c r="V188" s="2334"/>
      <c r="W188" s="2335"/>
      <c r="X188" s="2334"/>
      <c r="Y188" s="2336"/>
      <c r="Z188" s="2337"/>
      <c r="AA188" s="2335"/>
      <c r="AB188" s="2334"/>
      <c r="AC188" s="2336"/>
      <c r="AD188" s="2337"/>
      <c r="AE188" s="2335"/>
      <c r="AF188" s="2334"/>
      <c r="AG188" s="2338"/>
      <c r="AH188" s="2496"/>
      <c r="AI188" s="4328"/>
      <c r="AJ188" s="2785">
        <v>3</v>
      </c>
      <c r="AK188" s="2785">
        <f>P182</f>
        <v>1</v>
      </c>
      <c r="AL188" s="2785" t="str">
        <f>IF(AND(ISNUMBER(MATCH($F188,'Tablas Técnicas'!$L$10:$L$643,0)),INDEX($P199:$P205,Tablas!A$1)="",COUNTIF(AM188:$AS188,$F188)=0),$F188,IF(INDEX($P199:$P205,Tablas!A$1)="","",$F188&amp;INDEX($P199:$P205,Tablas!A$1)))</f>
        <v/>
      </c>
      <c r="AM188" s="2785" t="str">
        <f>IF(AND(ISNUMBER(MATCH($F188,'Tablas Técnicas'!$L$10:$L$643,0)),INDEX($P199:$P205,Tablas!B$1)="",COUNTIF(AN188:$AS188,$F188)=0),$F188,IF(INDEX($P199:$P205,Tablas!B$1)="","",$F188&amp;INDEX($P199:$P205,Tablas!B$1)))</f>
        <v/>
      </c>
      <c r="AN188" s="2785" t="str">
        <f>IF(AND(ISNUMBER(MATCH($F188,'Tablas Técnicas'!$L$10:$L$643,0)),INDEX($P199:$P205,Tablas!C$1)="",COUNTIF(AO188:$AS188,$F188)=0),$F188,IF(INDEX($P199:$P205,Tablas!C$1)="","",$F188&amp;INDEX($P199:$P205,Tablas!C$1)))</f>
        <v/>
      </c>
      <c r="AO188" s="2785" t="str">
        <f>IF(AND(ISNUMBER(MATCH($F188,'Tablas Técnicas'!$L$10:$L$643,0)),INDEX($P199:$P205,Tablas!D$1)="",COUNTIF(AP188:$AS188,$F188)=0),$F188,IF(INDEX($P199:$P205,Tablas!D$1)="","",$F188&amp;INDEX($P199:$P205,Tablas!D$1)))</f>
        <v/>
      </c>
      <c r="AP188" s="2785" t="str">
        <f>IF(AND(ISNUMBER(MATCH($F188,'Tablas Técnicas'!$L$10:$L$643,0)),INDEX($P199:$P205,Tablas!E$1)="",COUNTIF(AQ188:$AS188,$F188)=0),$F188,IF(INDEX($P199:$P205,Tablas!E$1)="","",$F188&amp;INDEX($P199:$P205,Tablas!E$1)))</f>
        <v/>
      </c>
      <c r="AQ188" s="2785" t="str">
        <f>IF(AND(ISNUMBER(MATCH($F188,'Tablas Técnicas'!$L$10:$L$643,0)),INDEX($P199:$P205,Tablas!F$1)="",COUNTIF(AR188:$AS188,$F188)=0),$F188,IF(INDEX($P199:$P205,Tablas!F$1)="","",$F188&amp;INDEX($P199:$P205,Tablas!F$1)))</f>
        <v/>
      </c>
      <c r="AR188" s="2785" t="str">
        <f>IF(AND(ISNUMBER(MATCH($F188,'Tablas Técnicas'!$L$10:$L$643,0)),INDEX($P199:$P205,Tablas!G$1)="",COUNTIF(AS188:$AS188,$F188)=0),$F188,IF(INDEX($P199:$P205,Tablas!G$1)="","",$F188&amp;INDEX($P199:$P205,Tablas!G$1)))</f>
        <v/>
      </c>
      <c r="AS188" s="2787">
        <f>V188+X188+Z188+AB188+AD188+AF188</f>
        <v>0</v>
      </c>
      <c r="AT188" s="2787">
        <f t="array" ref="AT188">SUM(IF($AL188:$AR188='Tablas Técnicas'!$L$10:$L$643,IF(D188="Primario",'Tablas Técnicas'!$E$10:$E$643,'Tablas Técnicas'!$F$10:$F$643)+IF(K188="Sostenimiento menor",'Tablas Técnicas'!$I$10:$I$643,IF(K188="sostenimiento mayor",'Tablas Técnicas'!$J$10:$J$643,0)),0),0)+VALUE(RIGHT(P188,2))+AU188+AV188</f>
        <v>0</v>
      </c>
      <c r="AU188" s="278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7">
        <f>(COUNTIF(AL188:AR188,"*Estado añadido:*")-1)*COUNTIF(AL188:AR188,"*Estado añadido:*")</f>
        <v>0</v>
      </c>
      <c r="AW188" s="2787">
        <f t="array" ref="AW188">SUM(IF($AL188:$AR188='Tablas Técnicas'!$L$10:$L$643,'Tablas Técnicas'!$G$10:$G$643,0))</f>
        <v>0</v>
      </c>
      <c r="AX188" s="2785" t="str">
        <f t="shared" si="46"/>
        <v/>
      </c>
      <c r="AY188" s="2785" t="str">
        <f t="shared" si="45"/>
        <v/>
      </c>
    </row>
    <row r="189" spans="1:51" ht="12.75" customHeight="1" x14ac:dyDescent="0.2">
      <c r="A189" s="2487"/>
      <c r="B189" s="2368">
        <f t="shared" si="44"/>
        <v>6</v>
      </c>
      <c r="C189" s="4325"/>
      <c r="D189" s="4221" t="s">
        <v>526</v>
      </c>
      <c r="E189" s="4222"/>
      <c r="F189" s="4304"/>
      <c r="G189" s="4305"/>
      <c r="H189" s="4305"/>
      <c r="I189" s="4305"/>
      <c r="J189" s="4249"/>
      <c r="K189" s="4306" t="s">
        <v>1464</v>
      </c>
      <c r="L189" s="4307"/>
      <c r="M189" s="4308"/>
      <c r="N189" s="2192">
        <f>IF(AW189&gt;0,IF(VLOOKUP(F189,'Tablas Técnicas'!$O$9:$X$88,10,0),MAX(5,AW189-5),AW189),0)</f>
        <v>0</v>
      </c>
      <c r="O189" s="2192" t="str">
        <f>AS189&amp;" / "&amp;AT189</f>
        <v>0 / 0</v>
      </c>
      <c r="P189" s="2192" t="str">
        <f t="array" ref="P189">W189+Y189+AA189+AC189+AE189+AG189&amp;" / "&amp;IF(K189&lt;&gt;"Mantenido",0,SUM(IF($AL189:$AR189='Tablas Técnicas'!$L$10:$L$643,'Tablas Técnicas'!$H$10:$H$643,0)))</f>
        <v>0 / 0</v>
      </c>
      <c r="Q189" s="4223" t="str">
        <f>IFERROR(VLOOKUP(F189,'Tablas Técnicas'!$O$9:$T$88,5,FALSE),"")</f>
        <v/>
      </c>
      <c r="R189" s="4223"/>
      <c r="S189" s="4223"/>
      <c r="T189" s="4223"/>
      <c r="U189" s="4223"/>
      <c r="V189" s="2329"/>
      <c r="W189" s="2330"/>
      <c r="X189" s="2329"/>
      <c r="Y189" s="2331"/>
      <c r="Z189" s="2332"/>
      <c r="AA189" s="2330"/>
      <c r="AB189" s="2329"/>
      <c r="AC189" s="2331"/>
      <c r="AD189" s="2332"/>
      <c r="AE189" s="2330"/>
      <c r="AF189" s="2329"/>
      <c r="AG189" s="2333"/>
      <c r="AH189" s="2496"/>
      <c r="AI189" s="4328"/>
      <c r="AJ189" s="2785">
        <v>4</v>
      </c>
      <c r="AK189" s="2785">
        <f>P182</f>
        <v>1</v>
      </c>
      <c r="AL189" s="2785" t="str">
        <f>IF(AND(ISNUMBER(MATCH($F189,'Tablas Técnicas'!$L$10:$L$643,0)),INDEX($V199:$V205,Tablas!A$1)="",COUNTIF(AM189:$AS189,$F189)=0),$F189,IF(INDEX($V199:$V205,Tablas!A$1)="","",$F189&amp;INDEX($V199:$V205,Tablas!A$1)))</f>
        <v/>
      </c>
      <c r="AM189" s="2785" t="str">
        <f>IF(AND(ISNUMBER(MATCH($F189,'Tablas Técnicas'!$L$10:$L$643,0)),INDEX($V199:$V205,Tablas!B$1)="",COUNTIF(AN189:$AS189,$F189)=0),$F189,IF(INDEX($V199:$V205,Tablas!B$1)="","",$F189&amp;INDEX($V199:$V205,Tablas!B$1)))</f>
        <v/>
      </c>
      <c r="AN189" s="2785" t="str">
        <f>IF(AND(ISNUMBER(MATCH($F189,'Tablas Técnicas'!$L$10:$L$643,0)),INDEX($V199:$V205,Tablas!C$1)="",COUNTIF(AO189:$AS189,$F189)=0),$F189,IF(INDEX($V199:$V205,Tablas!C$1)="","",$F189&amp;INDEX($V199:$V205,Tablas!C$1)))</f>
        <v/>
      </c>
      <c r="AO189" s="2785" t="str">
        <f>IF(AND(ISNUMBER(MATCH($F189,'Tablas Técnicas'!$L$10:$L$643,0)),INDEX($V199:$V205,Tablas!D$1)="",COUNTIF(AP189:$AS189,$F189)=0),$F189,IF(INDEX($V199:$V205,Tablas!D$1)="","",$F189&amp;INDEX($V199:$V205,Tablas!D$1)))</f>
        <v/>
      </c>
      <c r="AP189" s="2785" t="str">
        <f>IF(AND(ISNUMBER(MATCH($F189,'Tablas Técnicas'!$L$10:$L$643,0)),INDEX($V199:$V205,Tablas!E$1)="",COUNTIF(AQ189:$AS189,$F189)=0),$F189,IF(INDEX($V199:$V205,Tablas!E$1)="","",$F189&amp;INDEX($V199:$V205,Tablas!E$1)))</f>
        <v/>
      </c>
      <c r="AQ189" s="2785" t="str">
        <f>IF(AND(ISNUMBER(MATCH($F189,'Tablas Técnicas'!$L$10:$L$643,0)),INDEX($V199:$V205,Tablas!F$1)="",COUNTIF(AR189:$AS189,$F189)=0),$F189,IF(INDEX($V199:$V205,Tablas!F$1)="","",$F189&amp;INDEX($V199:$V205,Tablas!F$1)))</f>
        <v/>
      </c>
      <c r="AR189" s="2785" t="str">
        <f>IF(AND(ISNUMBER(MATCH($F189,'Tablas Técnicas'!$L$10:$L$643,0)),INDEX($V199:$V205,Tablas!G$1)="",COUNTIF(AS189:$AS189,$F189)=0),$F189,IF(INDEX($V199:$V205,Tablas!G$1)="","",$F189&amp;INDEX($V199:$V205,Tablas!G$1)))</f>
        <v/>
      </c>
      <c r="AS189" s="2787">
        <f>V189+X189+Z189+AB189+AD189+AF189</f>
        <v>0</v>
      </c>
      <c r="AT189" s="2787">
        <f t="array" ref="AT189">SUM(IF($AL189:$AR189='Tablas Técnicas'!$L$10:$L$643,IF(D189="Primario",'Tablas Técnicas'!$E$10:$E$643,'Tablas Técnicas'!$F$10:$F$643)+IF(K189="Sostenimiento menor",'Tablas Técnicas'!$I$10:$I$643,IF(K189="sostenimiento mayor",'Tablas Técnicas'!$J$10:$J$643,0)),0),0)+VALUE(RIGHT(P189,2))+AU189+AV189</f>
        <v>0</v>
      </c>
      <c r="AU189" s="278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7">
        <f>(COUNTIF(AL189:AR189,"*Estado añadido:*")-1)*COUNTIF(AL189:AR189,"*Estado añadido:*")</f>
        <v>0</v>
      </c>
      <c r="AW189" s="2787">
        <f t="array" ref="AW189">SUM(IF($AL189:$AR189='Tablas Técnicas'!$L$10:$L$643,'Tablas Técnicas'!$G$10:$G$643,0))</f>
        <v>0</v>
      </c>
      <c r="AX189" s="2785" t="str">
        <f t="shared" si="46"/>
        <v/>
      </c>
      <c r="AY189" s="2785" t="str">
        <f>IFERROR(LEFT(AX189,LEN(AX189)-2)&amp;"), ","")</f>
        <v/>
      </c>
    </row>
    <row r="190" spans="1:51" ht="12.75" customHeight="1" thickBot="1" x14ac:dyDescent="0.25">
      <c r="A190" s="2487"/>
      <c r="B190" s="2368">
        <f t="shared" si="44"/>
        <v>6</v>
      </c>
      <c r="C190" s="4325"/>
      <c r="D190" s="4224" t="s">
        <v>526</v>
      </c>
      <c r="E190" s="4225"/>
      <c r="F190" s="4315"/>
      <c r="G190" s="4316"/>
      <c r="H190" s="4316"/>
      <c r="I190" s="4316"/>
      <c r="J190" s="4317"/>
      <c r="K190" s="4301" t="s">
        <v>1464</v>
      </c>
      <c r="L190" s="4302"/>
      <c r="M190" s="4303"/>
      <c r="N190" s="2489">
        <f>IF(AW190&gt;0,IF(VLOOKUP(F190,'Tablas Técnicas'!$O$9:$X$88,10,0),MAX(5,AW190-5),AW190),0)</f>
        <v>0</v>
      </c>
      <c r="O190" s="2489" t="str">
        <f>AS190&amp;" / "&amp;AT190</f>
        <v>0 / 0</v>
      </c>
      <c r="P190" s="2489" t="str">
        <f t="array" ref="P190">W190+Y190+AA190+AC190+AE190+AG190&amp;" / "&amp;IF(K190&lt;&gt;"Mantenido",0,SUM(IF($AL190:$AR190='Tablas Técnicas'!$L$10:$L$643,'Tablas Técnicas'!$H$10:$H$643,0)))</f>
        <v>0 / 0</v>
      </c>
      <c r="Q190" s="4226" t="str">
        <f>IFERROR(VLOOKUP(F190,'Tablas Técnicas'!$O$9:$T$88,5,FALSE),"")</f>
        <v/>
      </c>
      <c r="R190" s="4226"/>
      <c r="S190" s="4226"/>
      <c r="T190" s="4226"/>
      <c r="U190" s="4226"/>
      <c r="V190" s="2339"/>
      <c r="W190" s="2340"/>
      <c r="X190" s="2339"/>
      <c r="Y190" s="2341"/>
      <c r="Z190" s="2342"/>
      <c r="AA190" s="2340"/>
      <c r="AB190" s="2339"/>
      <c r="AC190" s="2341"/>
      <c r="AD190" s="2342"/>
      <c r="AE190" s="2340"/>
      <c r="AF190" s="2339"/>
      <c r="AG190" s="2343"/>
      <c r="AH190" s="2496"/>
      <c r="AI190" s="4328"/>
      <c r="AJ190" s="2785">
        <v>5</v>
      </c>
      <c r="AK190" s="2785">
        <f>P182</f>
        <v>1</v>
      </c>
      <c r="AL190" s="2785" t="str">
        <f>IF(AND(ISNUMBER(MATCH($F190,'Tablas Técnicas'!$L$10:$L$643,0)),INDEX($AB199:$AB205,Tablas!A$1)="",COUNTIF(AM190:$AS190,$F190)=0),$F190,IF(INDEX($AB199:$AB205,Tablas!A$1)="","",$F190&amp;INDEX($AB199:$AB205,Tablas!A$1)))</f>
        <v/>
      </c>
      <c r="AM190" s="2785" t="str">
        <f>IF(AND(ISNUMBER(MATCH($F190,'Tablas Técnicas'!$L$10:$L$643,0)),INDEX($AB199:$AB205,Tablas!B$1)="",COUNTIF(AN190:$AS190,$F190)=0),$F190,IF(INDEX($AB199:$AB205,Tablas!B$1)="","",$F190&amp;INDEX($AB199:$AB205,Tablas!B$1)))</f>
        <v/>
      </c>
      <c r="AN190" s="2785" t="str">
        <f>IF(AND(ISNUMBER(MATCH($F190,'Tablas Técnicas'!$L$10:$L$643,0)),INDEX($AB199:$AB205,Tablas!C$1)="",COUNTIF(AO190:$AS190,$F190)=0),$F190,IF(INDEX($AB199:$AB205,Tablas!C$1)="","",$F190&amp;INDEX($AB199:$AB205,Tablas!C$1)))</f>
        <v/>
      </c>
      <c r="AO190" s="2785" t="str">
        <f>IF(AND(ISNUMBER(MATCH($F190,'Tablas Técnicas'!$L$10:$L$643,0)),INDEX($AB199:$AB205,Tablas!D$1)="",COUNTIF(AP190:$AS190,$F190)=0),$F190,IF(INDEX($AB199:$AB205,Tablas!D$1)="","",$F190&amp;INDEX($AB199:$AB205,Tablas!D$1)))</f>
        <v/>
      </c>
      <c r="AP190" s="2785" t="str">
        <f>IF(AND(ISNUMBER(MATCH($F190,'Tablas Técnicas'!$L$10:$L$643,0)),INDEX($AB199:$AB205,Tablas!E$1)="",COUNTIF(AQ190:$AS190,$F190)=0),$F190,IF(INDEX($AB199:$AB205,Tablas!E$1)="","",$F190&amp;INDEX($AB199:$AB205,Tablas!E$1)))</f>
        <v/>
      </c>
      <c r="AQ190" s="2785" t="str">
        <f>IF(AND(ISNUMBER(MATCH($F190,'Tablas Técnicas'!$L$10:$L$643,0)),INDEX($AB199:$AB205,Tablas!F$1)="",COUNTIF(AR190:$AS190,$F190)=0),$F190,IF(INDEX($AB199:$AB205,Tablas!F$1)="","",$F190&amp;INDEX($AB199:$AB205,Tablas!F$1)))</f>
        <v/>
      </c>
      <c r="AR190" s="2785" t="str">
        <f>IF(AND(ISNUMBER(MATCH($F190,'Tablas Técnicas'!$L$10:$L$643,0)),INDEX($AB199:$AB205,Tablas!G$1)="",COUNTIF(AS190:$AS190,$F190)=0),$F190,IF(INDEX($AB199:$AB205,Tablas!G$1)="","",$F190&amp;INDEX($AB199:$AB205,Tablas!G$1)))</f>
        <v/>
      </c>
      <c r="AS190" s="2787">
        <f>V190+X190+Z190+AB190+AD190+AF190</f>
        <v>0</v>
      </c>
      <c r="AT190" s="2787">
        <f t="array" ref="AT190">SUM(IF($AL190:$AR190='Tablas Técnicas'!$L$10:$L$643,IF(D190="Primario",'Tablas Técnicas'!$E$10:$E$643,'Tablas Técnicas'!$F$10:$F$643)+IF(K190="Sostenimiento menor",'Tablas Técnicas'!$I$10:$I$643,IF(K190="sostenimiento mayor",'Tablas Técnicas'!$J$10:$J$643,0)),0),0)+VALUE(RIGHT(P190,2))+AU190+AV190</f>
        <v>0</v>
      </c>
      <c r="AU190" s="278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7">
        <f>(COUNTIF(AL190:AR190,"*Estado añadido:*")-1)*COUNTIF(AL190:AR190,"*Estado añadido:*")</f>
        <v>0</v>
      </c>
      <c r="AW190" s="2787">
        <f t="array" ref="AW190">SUM(IF($AL190:$AR190='Tablas Técnicas'!$L$10:$L$643,'Tablas Técnicas'!$G$10:$G$643,0))</f>
        <v>0</v>
      </c>
      <c r="AX190" s="2785" t="str">
        <f t="shared" si="46"/>
        <v/>
      </c>
      <c r="AY190" s="2785" t="str">
        <f t="shared" ref="AY190" si="47">IFERROR(LEFT(AX190,LEN(AX190)-2)&amp;"), ","")</f>
        <v/>
      </c>
    </row>
    <row r="191" spans="1:51" ht="12.75" customHeight="1" x14ac:dyDescent="0.2">
      <c r="A191" s="2487"/>
      <c r="B191" s="2368">
        <f t="shared" si="44"/>
        <v>6</v>
      </c>
      <c r="C191" s="4325"/>
      <c r="D191" s="4274" t="s">
        <v>2905</v>
      </c>
      <c r="E191" s="4275"/>
      <c r="F191" s="4264"/>
      <c r="G191" s="4265"/>
      <c r="H191" s="4265"/>
      <c r="I191" s="4265"/>
      <c r="J191" s="4266"/>
      <c r="K191" s="4240"/>
      <c r="L191" s="4241"/>
      <c r="M191" s="4242"/>
      <c r="N191" s="2196" t="str">
        <f>IFERROR(INDEX('Tablas Técnicas'!$Q$200:$Q$299,MATCH(F191&amp;K191,'Tablas Técnicas'!$S$200:$S$299,0)),"")</f>
        <v/>
      </c>
      <c r="O191" s="4243"/>
      <c r="P191" s="4244"/>
      <c r="Q191" s="4245"/>
      <c r="R191" s="4244"/>
      <c r="S191" s="2374" t="str">
        <f>IFERROR("Nivel: "&amp;MAX(1,INDEX('Tablas Técnicas'!$R$200:$R$299,MATCH(F191&amp;K191,'Tablas Técnicas'!$S$200:$S$299,0))),"")</f>
        <v/>
      </c>
      <c r="T191" s="2197"/>
      <c r="U191" s="2198" t="str">
        <f>IFERROR("("&amp;VLOOKUP(F191,'Tablas Técnicas'!$V$199:$X$225,3,FALSE)&amp;")","")</f>
        <v/>
      </c>
      <c r="V191" s="4187" t="s">
        <v>9924</v>
      </c>
      <c r="W191" s="4188"/>
      <c r="X191" s="4189"/>
      <c r="Y191" s="2666">
        <v>0</v>
      </c>
      <c r="Z191" s="4190" t="s">
        <v>9094</v>
      </c>
      <c r="AA191" s="4191"/>
      <c r="AB191" s="4192"/>
      <c r="AC191" s="2666">
        <v>0</v>
      </c>
      <c r="AD191" s="4193" t="str">
        <f>"Ki sin repartir: "&amp;AL199-AL200&amp;IF(AM199=0,""," ("&amp;AM199-AM200&amp;")")</f>
        <v>Ki sin repartir: 0</v>
      </c>
      <c r="AE191" s="4194"/>
      <c r="AF191" s="4194"/>
      <c r="AG191" s="4195"/>
      <c r="AH191" s="2496"/>
      <c r="AI191" s="4328"/>
      <c r="AJ191" s="2785">
        <v>1</v>
      </c>
      <c r="AK191" s="2785">
        <f>P182</f>
        <v>1</v>
      </c>
      <c r="AL191" s="2785" t="e">
        <f>VLOOKUP(F191,'Tablas Técnicas'!$V$199:$X$221,2,FALSE)</f>
        <v>#N/A</v>
      </c>
      <c r="AM191" s="2785"/>
      <c r="AN191" s="2786"/>
      <c r="AO191" s="2785"/>
      <c r="AP191" s="2785"/>
      <c r="AQ191" s="2786"/>
      <c r="AR191" s="2785"/>
      <c r="AS191" s="2785"/>
      <c r="AT191" s="2785"/>
      <c r="AU191" s="2785"/>
      <c r="AV191" s="2785"/>
      <c r="AW191" s="2787"/>
      <c r="AX191" s="2787"/>
      <c r="AY191" s="2785" t="str">
        <f>IF(F191="","",F191&amp;IF(K191="",""," ("&amp;IF(F191="Atadura Elemental",O191&amp;IF(Q191="","",", "&amp;Q191),K191)&amp;")")&amp;", ")</f>
        <v/>
      </c>
    </row>
    <row r="192" spans="1:51" ht="11.25" customHeight="1" x14ac:dyDescent="0.2">
      <c r="A192" s="2487"/>
      <c r="B192" s="2368">
        <f t="shared" si="44"/>
        <v>6</v>
      </c>
      <c r="C192" s="4325"/>
      <c r="D192" s="4276"/>
      <c r="E192" s="4277"/>
      <c r="F192" s="4246"/>
      <c r="G192" s="4247"/>
      <c r="H192" s="4247"/>
      <c r="I192" s="4247"/>
      <c r="J192" s="4248"/>
      <c r="K192" s="4249"/>
      <c r="L192" s="4250"/>
      <c r="M192" s="4251"/>
      <c r="N192" s="2199" t="str">
        <f>IFERROR(INDEX('Tablas Técnicas'!$Q$200:$Q$299,MATCH(F192&amp;K192,'Tablas Técnicas'!$S$200:$S$299,0)),"")</f>
        <v/>
      </c>
      <c r="O192" s="4252"/>
      <c r="P192" s="4253"/>
      <c r="Q192" s="4254"/>
      <c r="R192" s="4253"/>
      <c r="S192" s="2192" t="str">
        <f>IFERROR("Nivel: "&amp;MAX(1,INDEX('Tablas Técnicas'!$R$200:$R$299,MATCH(F192&amp;K192,'Tablas Técnicas'!$S$200:$S$299,0))),"")</f>
        <v/>
      </c>
      <c r="T192" s="2302"/>
      <c r="U192" s="2191" t="str">
        <f>IFERROR("("&amp;VLOOKUP(F192,'Tablas Técnicas'!$V$199:$X$225,3,FALSE)&amp;")","")</f>
        <v/>
      </c>
      <c r="V192" s="4184" t="str">
        <f>"Mod. "&amp;V184</f>
        <v>Mod. AGI</v>
      </c>
      <c r="W192" s="4185"/>
      <c r="X192" s="4184" t="str">
        <f t="shared" ref="X192" si="48">"Mod. "&amp;X184</f>
        <v>Mod. CON</v>
      </c>
      <c r="Y192" s="4185"/>
      <c r="Z192" s="4184" t="str">
        <f t="shared" ref="Z192" si="49">"Mod. "&amp;Z184</f>
        <v>Mod. DES</v>
      </c>
      <c r="AA192" s="4185"/>
      <c r="AB192" s="4184" t="str">
        <f t="shared" ref="AB192" si="50">"Mod. "&amp;AB184</f>
        <v>Mod. FUE</v>
      </c>
      <c r="AC192" s="4185"/>
      <c r="AD192" s="4184" t="str">
        <f t="shared" ref="AD192" si="51">"Mod. "&amp;AD184</f>
        <v>Mod. POD</v>
      </c>
      <c r="AE192" s="4185"/>
      <c r="AF192" s="4184" t="str">
        <f t="shared" ref="AF192" si="52">"Mod. "&amp;AF184</f>
        <v>Mod. VOL</v>
      </c>
      <c r="AG192" s="4186"/>
      <c r="AH192" s="2496"/>
      <c r="AI192" s="4328"/>
      <c r="AJ192" s="2785">
        <v>2</v>
      </c>
      <c r="AK192" s="2785">
        <f>P182</f>
        <v>1</v>
      </c>
      <c r="AL192" s="2785" t="e">
        <f>VLOOKUP(F192,'Tablas Técnicas'!$V$199:$X$221,2,FALSE)</f>
        <v>#N/A</v>
      </c>
      <c r="AM192" s="2785"/>
      <c r="AN192" s="2786"/>
      <c r="AO192" s="2785"/>
      <c r="AP192" s="2785"/>
      <c r="AQ192" s="2786"/>
      <c r="AR192" s="2785"/>
      <c r="AS192" s="2785"/>
      <c r="AT192" s="2785"/>
      <c r="AU192" s="2785"/>
      <c r="AV192" s="2785"/>
      <c r="AW192" s="2787"/>
      <c r="AX192" s="2787"/>
      <c r="AY192" s="2785" t="str">
        <f>IF(F192="","",F192&amp;IF(K192="",""," ("&amp;IF(F192="Atadura Elemental",O192&amp;IF(Q192="","",", "&amp;Q192),K192)&amp;")")&amp;", ")</f>
        <v/>
      </c>
    </row>
    <row r="193" spans="1:51" ht="12.75" customHeight="1" thickBot="1" x14ac:dyDescent="0.25">
      <c r="A193" s="2487"/>
      <c r="B193" s="2368">
        <f t="shared" si="44"/>
        <v>6</v>
      </c>
      <c r="C193" s="4325"/>
      <c r="D193" s="4278"/>
      <c r="E193" s="4279"/>
      <c r="F193" s="4255"/>
      <c r="G193" s="4256"/>
      <c r="H193" s="4256"/>
      <c r="I193" s="4256"/>
      <c r="J193" s="4257"/>
      <c r="K193" s="4258"/>
      <c r="L193" s="4259"/>
      <c r="M193" s="4260"/>
      <c r="N193" s="2200" t="str">
        <f>IFERROR(INDEX('Tablas Técnicas'!$Q$200:$Q$299,MATCH(F193&amp;K193,'Tablas Técnicas'!$S$200:$S$299,0)),"")</f>
        <v/>
      </c>
      <c r="O193" s="4261"/>
      <c r="P193" s="4262"/>
      <c r="Q193" s="4263"/>
      <c r="R193" s="4262"/>
      <c r="S193" s="2489" t="str">
        <f>IFERROR("Nivel: "&amp;MAX(1,INDEX('Tablas Técnicas'!$R$200:$R$299,MATCH(F193&amp;K193,'Tablas Técnicas'!$S$200:$S$299,0))),"")</f>
        <v/>
      </c>
      <c r="T193" s="2490"/>
      <c r="U193" s="2303" t="str">
        <f>IFERROR("("&amp;VLOOKUP(F193,'Tablas Técnicas'!$V$199:$X$225,3,FALSE)&amp;")","")</f>
        <v/>
      </c>
      <c r="V193" s="4199"/>
      <c r="W193" s="4198"/>
      <c r="X193" s="4198"/>
      <c r="Y193" s="4198"/>
      <c r="Z193" s="4198"/>
      <c r="AA193" s="4198"/>
      <c r="AB193" s="4198"/>
      <c r="AC193" s="4198"/>
      <c r="AD193" s="4198"/>
      <c r="AE193" s="4198"/>
      <c r="AF193" s="4198"/>
      <c r="AG193" s="4267"/>
      <c r="AH193" s="2496"/>
      <c r="AI193" s="4328"/>
      <c r="AJ193" s="2785">
        <v>3</v>
      </c>
      <c r="AK193" s="2785">
        <f>P182</f>
        <v>1</v>
      </c>
      <c r="AL193" s="2785" t="e">
        <f>VLOOKUP(F193,'Tablas Técnicas'!$V$199:$X$221,2,FALSE)</f>
        <v>#N/A</v>
      </c>
      <c r="AM193" s="2785"/>
      <c r="AN193" s="2786"/>
      <c r="AO193" s="2785"/>
      <c r="AP193" s="2785"/>
      <c r="AQ193" s="2786"/>
      <c r="AR193" s="2787"/>
      <c r="AS193" s="2787"/>
      <c r="AT193" s="2787"/>
      <c r="AU193" s="2787"/>
      <c r="AV193" s="2787"/>
      <c r="AW193" s="2787"/>
      <c r="AX193" s="2787"/>
      <c r="AY193" s="2785" t="str">
        <f>IF(F193="","",F193&amp;IF(K193="",""," ("&amp;IF(F193="Atadura Elemental",O193&amp;IF(Q193="","",", "&amp;Q193),K193)&amp;")")&amp;", ")</f>
        <v/>
      </c>
    </row>
    <row r="194" spans="1:51" ht="12.75" customHeight="1" x14ac:dyDescent="0.2">
      <c r="A194" s="2487"/>
      <c r="B194" s="2368">
        <f t="shared" si="44"/>
        <v>6</v>
      </c>
      <c r="C194" s="4325"/>
      <c r="D194" s="4213" t="s">
        <v>9596</v>
      </c>
      <c r="E194" s="4214"/>
      <c r="F194" s="4214"/>
      <c r="G194" s="4214"/>
      <c r="H194" s="4214"/>
      <c r="I194" s="4214"/>
      <c r="J194" s="4214"/>
      <c r="K194" s="4214"/>
      <c r="L194" s="4214"/>
      <c r="M194" s="4214"/>
      <c r="N194" s="4214"/>
      <c r="O194" s="4214"/>
      <c r="P194" s="4214"/>
      <c r="Q194" s="4214"/>
      <c r="R194" s="4214"/>
      <c r="S194" s="4214"/>
      <c r="T194" s="4214"/>
      <c r="U194" s="4214"/>
      <c r="V194" s="4215"/>
      <c r="W194" s="4215"/>
      <c r="X194" s="4215"/>
      <c r="Y194" s="4215"/>
      <c r="Z194" s="4215"/>
      <c r="AA194" s="4215"/>
      <c r="AB194" s="4215"/>
      <c r="AC194" s="4215"/>
      <c r="AD194" s="4215"/>
      <c r="AE194" s="4215"/>
      <c r="AF194" s="4215"/>
      <c r="AG194" s="4216"/>
      <c r="AH194" s="2496"/>
      <c r="AI194" s="4328"/>
      <c r="AJ194" s="2785"/>
      <c r="AK194" s="2785"/>
      <c r="AL194" s="2785"/>
      <c r="AM194" s="2785"/>
      <c r="AN194" s="2786" t="s">
        <v>9095</v>
      </c>
      <c r="AO194" s="2785" t="e">
        <f>LEFT(AY186&amp;AY187&amp;AY188&amp;AY189&amp;AY190,LEN(AY186&amp;AY187&amp;AY188&amp;AY189&amp;AY190)-2)</f>
        <v>#VALUE!</v>
      </c>
      <c r="AP194" s="2785"/>
      <c r="AQ194" s="2786"/>
      <c r="AR194" s="2787"/>
      <c r="AS194" s="2787"/>
      <c r="AT194" s="2787"/>
      <c r="AU194" s="2786"/>
      <c r="AV194" s="2786"/>
      <c r="AW194" s="2787"/>
      <c r="AX194" s="2787"/>
      <c r="AY194" s="2785"/>
    </row>
    <row r="195" spans="1:51" ht="12.75" customHeight="1" x14ac:dyDescent="0.2">
      <c r="A195" s="2487"/>
      <c r="B195" s="2368">
        <f t="shared" si="44"/>
        <v>6</v>
      </c>
      <c r="C195" s="4325"/>
      <c r="D195" s="4217" t="str">
        <f>IF(F186="","",F186)</f>
        <v/>
      </c>
      <c r="E195" s="4211"/>
      <c r="F195" s="4211"/>
      <c r="G195" s="4211"/>
      <c r="H195" s="4211"/>
      <c r="I195" s="4218"/>
      <c r="J195" s="4217" t="str">
        <f>IF(F187="","",F187)</f>
        <v/>
      </c>
      <c r="K195" s="4211"/>
      <c r="L195" s="4211"/>
      <c r="M195" s="4211"/>
      <c r="N195" s="4211"/>
      <c r="O195" s="4218"/>
      <c r="P195" s="4211" t="str">
        <f>IF(F188="","",F188)</f>
        <v/>
      </c>
      <c r="Q195" s="4211"/>
      <c r="R195" s="4211"/>
      <c r="S195" s="4211"/>
      <c r="T195" s="4211"/>
      <c r="U195" s="4218"/>
      <c r="V195" s="4217" t="str">
        <f>IF(F189="","",F189)</f>
        <v/>
      </c>
      <c r="W195" s="4211"/>
      <c r="X195" s="4211"/>
      <c r="Y195" s="4211"/>
      <c r="Z195" s="4211"/>
      <c r="AA195" s="4218"/>
      <c r="AB195" s="4211" t="str">
        <f>IF(F190="","",F190)</f>
        <v/>
      </c>
      <c r="AC195" s="4211"/>
      <c r="AD195" s="4211"/>
      <c r="AE195" s="4211"/>
      <c r="AF195" s="4211"/>
      <c r="AG195" s="4212"/>
      <c r="AH195" s="2496"/>
      <c r="AI195" s="4328"/>
      <c r="AJ195" s="2785"/>
      <c r="AK195" s="2785"/>
      <c r="AL195" s="2785"/>
      <c r="AM195" s="2785"/>
      <c r="AN195" s="2786" t="s">
        <v>9096</v>
      </c>
      <c r="AO195" s="2785" t="e">
        <f>LEFT(AY191&amp;AY192&amp;AY193,LEN(AY191&amp;AY192&amp;AY193)-2)</f>
        <v>#VALUE!</v>
      </c>
      <c r="AP195" s="2785"/>
      <c r="AQ195" s="2786"/>
      <c r="AR195" s="2787"/>
      <c r="AS195" s="2787"/>
      <c r="AT195" s="2787"/>
      <c r="AU195" s="2786"/>
      <c r="AV195" s="2786"/>
      <c r="AW195" s="2787"/>
      <c r="AX195" s="2787"/>
      <c r="AY195" s="2785"/>
    </row>
    <row r="196" spans="1:51" ht="12.75" customHeight="1" x14ac:dyDescent="0.2">
      <c r="A196" s="2487"/>
      <c r="B196" s="2368">
        <f t="shared" si="44"/>
        <v>6</v>
      </c>
      <c r="C196" s="4325"/>
      <c r="D196" s="2312" t="s">
        <v>1845</v>
      </c>
      <c r="E196" s="2188" t="str">
        <f>IFERROR(VLOOKUP(D195,'Tablas Técnicas'!$O$9:$T$88,3,FALSE),"")</f>
        <v/>
      </c>
      <c r="F196" s="2305"/>
      <c r="G196" s="2304"/>
      <c r="H196" s="2304" t="s">
        <v>1371</v>
      </c>
      <c r="I196" s="2188" t="str">
        <f>IFERROR(VLOOKUP(D195,'Tablas Técnicas'!$O$9:$T$88,4,FALSE),"")</f>
        <v/>
      </c>
      <c r="J196" s="2312" t="s">
        <v>1845</v>
      </c>
      <c r="K196" s="2188" t="str">
        <f>IFERROR(VLOOKUP(J195,'Tablas Técnicas'!$O$9:$T$88,3,FALSE),"")</f>
        <v/>
      </c>
      <c r="L196" s="2305"/>
      <c r="M196" s="2304"/>
      <c r="N196" s="2304" t="s">
        <v>1371</v>
      </c>
      <c r="O196" s="2201" t="str">
        <f>IFERROR(VLOOKUP(J195,'Tablas Técnicas'!$O$9:$T$88,4,FALSE),"")</f>
        <v/>
      </c>
      <c r="P196" s="2304" t="s">
        <v>1845</v>
      </c>
      <c r="Q196" s="2188" t="str">
        <f>IFERROR(VLOOKUP(P195,'Tablas Técnicas'!$O$9:$T$88,3,FALSE),"")</f>
        <v/>
      </c>
      <c r="R196" s="2305"/>
      <c r="S196" s="2304"/>
      <c r="T196" s="2304" t="s">
        <v>1371</v>
      </c>
      <c r="U196" s="2188" t="str">
        <f>IFERROR(VLOOKUP(P195,'Tablas Técnicas'!$O$9:$T$88,4,FALSE),"")</f>
        <v/>
      </c>
      <c r="V196" s="2312" t="s">
        <v>1845</v>
      </c>
      <c r="W196" s="2188" t="str">
        <f>IFERROR(VLOOKUP(V195,'Tablas Técnicas'!$O$9:$T$88,3,FALSE),"")</f>
        <v/>
      </c>
      <c r="X196" s="2305"/>
      <c r="Y196" s="2304"/>
      <c r="Z196" s="2304" t="s">
        <v>1371</v>
      </c>
      <c r="AA196" s="2201" t="str">
        <f>IFERROR(VLOOKUP(V195,'Tablas Técnicas'!$O$9:$T$88,4,FALSE),"")</f>
        <v/>
      </c>
      <c r="AB196" s="2304" t="s">
        <v>1845</v>
      </c>
      <c r="AC196" s="2188" t="str">
        <f>IFERROR(VLOOKUP(AB195,'Tablas Técnicas'!$O$9:$T$88,3,FALSE),"")</f>
        <v/>
      </c>
      <c r="AD196" s="2305"/>
      <c r="AE196" s="2304"/>
      <c r="AF196" s="2304" t="s">
        <v>1371</v>
      </c>
      <c r="AG196" s="2202" t="str">
        <f>IFERROR(VLOOKUP(AB195,'Tablas Técnicas'!$O$9:$T$88,4,FALSE),"")</f>
        <v/>
      </c>
      <c r="AH196" s="2496"/>
      <c r="AI196" s="4328"/>
      <c r="AJ196" s="2785"/>
      <c r="AK196" s="2785"/>
      <c r="AL196" s="2785"/>
      <c r="AM196" s="2785"/>
      <c r="AN196" s="2786"/>
      <c r="AO196" s="2785"/>
      <c r="AP196" s="2785"/>
      <c r="AQ196" s="2786"/>
      <c r="AR196" s="2787"/>
      <c r="AS196" s="2787"/>
      <c r="AT196" s="2787"/>
      <c r="AU196" s="2787"/>
      <c r="AV196" s="2787"/>
      <c r="AW196" s="2787"/>
      <c r="AX196" s="2787"/>
      <c r="AY196" s="2785"/>
    </row>
    <row r="197" spans="1:51" ht="12.75" customHeight="1" x14ac:dyDescent="0.2">
      <c r="A197" s="2487"/>
      <c r="B197" s="2368">
        <f t="shared" si="44"/>
        <v>6</v>
      </c>
      <c r="C197" s="4325"/>
      <c r="D197" s="2313" t="s">
        <v>9097</v>
      </c>
      <c r="E197" s="2304"/>
      <c r="F197" s="2305"/>
      <c r="G197" s="2306"/>
      <c r="H197" s="2306"/>
      <c r="I197" s="2303" t="str">
        <f>IFERROR(IF(D195="Ataque Elemental",IF(NOT(ISNA(VLOOKUP(D199,'Tablas Técnicas'!$Z$25:$Z$30,1,0))),D199,"Variable"),VLOOKUP(D195,'Tablas Técnicas'!$O$9:$W$88,9,FALSE)),"")</f>
        <v/>
      </c>
      <c r="J197" s="2203" t="s">
        <v>9097</v>
      </c>
      <c r="K197" s="2491"/>
      <c r="L197" s="2492"/>
      <c r="M197" s="2493"/>
      <c r="N197" s="2493"/>
      <c r="O197" s="2204" t="str">
        <f>IFERROR(IF(J195="Ataque Elemental",IF(NOT(ISNA(VLOOKUP(J199,'Tablas Técnicas'!$Z$25:$Z$30,1,0))),J199,"Variable"),VLOOKUP(J195,'Tablas Técnicas'!$O$9:$W$88,9,FALSE)),"")</f>
        <v/>
      </c>
      <c r="P197" s="2494" t="s">
        <v>9097</v>
      </c>
      <c r="Q197" s="2491"/>
      <c r="R197" s="2492"/>
      <c r="S197" s="2493"/>
      <c r="T197" s="2493"/>
      <c r="U197" s="2303" t="str">
        <f>IFERROR(IF(P195="Ataque Elemental",IF(NOT(ISNA(VLOOKUP(P199,'Tablas Técnicas'!$Z$25:$Z$30,1,0))),P199,"Variable"),VLOOKUP(P195,'Tablas Técnicas'!$O$9:$W$88,9,FALSE)),"")</f>
        <v/>
      </c>
      <c r="V197" s="2203" t="s">
        <v>9097</v>
      </c>
      <c r="W197" s="2491"/>
      <c r="X197" s="2492"/>
      <c r="Y197" s="2493"/>
      <c r="Z197" s="2493"/>
      <c r="AA197" s="2204" t="str">
        <f>IFERROR(IF(V195="Ataque Elemental",IF(NOT(ISNA(VLOOKUP(V199,'Tablas Técnicas'!$Z$25:$Z$30,1,0))),V199,"Variable"),VLOOKUP(V195,'Tablas Técnicas'!$O$9:$W$88,9,FALSE)),"")</f>
        <v/>
      </c>
      <c r="AB197" s="2494" t="s">
        <v>9097</v>
      </c>
      <c r="AC197" s="2491"/>
      <c r="AD197" s="2492"/>
      <c r="AE197" s="2493"/>
      <c r="AF197" s="2493"/>
      <c r="AG197" s="2319" t="str">
        <f>IFERROR(IF(AB195="Ataque Elemental",IF(NOT(ISNA(VLOOKUP(AB199,'Tablas Técnicas'!$Z$25:$Z$30,1,0))),AB199,"Variable"),VLOOKUP(AB195,'Tablas Técnicas'!$O$9:$W$88,9,FALSE)),"")</f>
        <v/>
      </c>
      <c r="AH197" s="2496"/>
      <c r="AI197" s="4328"/>
      <c r="AJ197" s="2785"/>
      <c r="AK197" s="2787" t="s">
        <v>1381</v>
      </c>
      <c r="AL197" s="2787" t="s">
        <v>1506</v>
      </c>
      <c r="AM197" s="2787" t="s">
        <v>1386</v>
      </c>
      <c r="AN197" s="2787" t="s">
        <v>1391</v>
      </c>
      <c r="AO197" s="2787" t="s">
        <v>1399</v>
      </c>
      <c r="AP197" s="2787" t="s">
        <v>1400</v>
      </c>
      <c r="AQ197" s="2786"/>
      <c r="AR197" s="2787"/>
      <c r="AS197" s="2787"/>
      <c r="AT197" s="2787"/>
      <c r="AU197" s="2787"/>
      <c r="AV197" s="2787"/>
      <c r="AW197" s="2787"/>
      <c r="AX197" s="2787"/>
      <c r="AY197" s="2785"/>
    </row>
    <row r="198" spans="1:51" ht="12.75" customHeight="1" x14ac:dyDescent="0.2">
      <c r="A198" s="2487"/>
      <c r="B198" s="2368">
        <f t="shared" si="44"/>
        <v>6</v>
      </c>
      <c r="C198" s="4325"/>
      <c r="D198" s="4217" t="s">
        <v>2913</v>
      </c>
      <c r="E198" s="4211"/>
      <c r="F198" s="4211"/>
      <c r="G198" s="4211"/>
      <c r="H198" s="4218"/>
      <c r="I198" s="2205" t="s">
        <v>1411</v>
      </c>
      <c r="J198" s="4217" t="s">
        <v>2913</v>
      </c>
      <c r="K198" s="4211"/>
      <c r="L198" s="4211"/>
      <c r="M198" s="4211"/>
      <c r="N198" s="4218"/>
      <c r="O198" s="2206" t="s">
        <v>1411</v>
      </c>
      <c r="P198" s="4217" t="s">
        <v>2913</v>
      </c>
      <c r="Q198" s="4211"/>
      <c r="R198" s="4211"/>
      <c r="S198" s="4211"/>
      <c r="T198" s="4218"/>
      <c r="U198" s="2206" t="s">
        <v>1411</v>
      </c>
      <c r="V198" s="4217"/>
      <c r="W198" s="4211"/>
      <c r="X198" s="4211"/>
      <c r="Y198" s="4211"/>
      <c r="Z198" s="4218"/>
      <c r="AA198" s="2206" t="s">
        <v>1411</v>
      </c>
      <c r="AB198" s="4217" t="s">
        <v>2913</v>
      </c>
      <c r="AC198" s="4211"/>
      <c r="AD198" s="4211"/>
      <c r="AE198" s="4211"/>
      <c r="AF198" s="4218"/>
      <c r="AG198" s="2207" t="s">
        <v>1411</v>
      </c>
      <c r="AH198" s="2496"/>
      <c r="AI198" s="4328"/>
      <c r="AJ198" s="2790" t="s">
        <v>9633</v>
      </c>
      <c r="AK198" s="2785" t="str">
        <f>IF(V184="","",IF(SUM(V186:V190)=0,"",V184&amp;" "&amp;SUM(V186:V190)+V193&amp;IF(SUM(W186:W190)=0,""," ("&amp;SUM(W186:W190)&amp;")")&amp;", "))</f>
        <v/>
      </c>
      <c r="AL198" s="2785" t="str">
        <f>IF(X184="","",IF(SUM(X186:X190)=0,"",X184&amp;" "&amp;SUM(X186:X190)+X193&amp;IF(SUM(Y186:Y190)=0,""," ("&amp;SUM(Y186:Y190)&amp;")")&amp;", "))</f>
        <v/>
      </c>
      <c r="AM198" s="2785" t="str">
        <f>IF(Z184="","",IF(SUM(Z186:Z190)=0,"",Z184&amp;" "&amp;SUM(Z186:Z190)+Z193&amp;IF(SUM(AA186:AA190)=0,""," ("&amp;SUM(AA186:AA190)&amp;")")&amp;", "))</f>
        <v/>
      </c>
      <c r="AN198" s="2785" t="str">
        <f>IF(AB184="","",IF(SUM(AB186:AB190)=0,"",AB184&amp;" "&amp;SUM(AB186:AB190)+AB193&amp;IF(SUM(AC186:AC190)=0,""," ("&amp;SUM(AC186:AC190)&amp;")")&amp;", "))</f>
        <v/>
      </c>
      <c r="AO198" s="2785" t="str">
        <f>IF(AD184="","",IF(SUM(AD186:AD190)=0,"",AD184&amp;" "&amp;SUM(AD186:AD190)+AD193&amp;IF(SUM(AE186:AE190)=0,""," ("&amp;SUM(AE186:AE190)&amp;")")&amp;", "))</f>
        <v/>
      </c>
      <c r="AP198" s="2785" t="str">
        <f>IF(AF184="","",IF(SUM(AF186:AF190)=0,"",AF184&amp;" "&amp;SUM(AF186:AF190)+AF193&amp;IF(SUM(AG186:AG190)=0,""," ("&amp;SUM(AG186:AG190)&amp;")")&amp;", "))</f>
        <v/>
      </c>
      <c r="AQ198" s="2785"/>
      <c r="AR198" s="2785"/>
      <c r="AS198" s="2785"/>
      <c r="AT198" s="2785"/>
      <c r="AU198" s="2785"/>
      <c r="AV198" s="2785"/>
      <c r="AW198" s="2785"/>
      <c r="AX198" s="2785"/>
      <c r="AY198" s="2785"/>
    </row>
    <row r="199" spans="1:51" ht="12.75" customHeight="1" x14ac:dyDescent="0.2">
      <c r="A199" s="2487"/>
      <c r="B199" s="2368">
        <f t="shared" si="44"/>
        <v>6</v>
      </c>
      <c r="C199" s="4325"/>
      <c r="D199" s="4219"/>
      <c r="E199" s="4197"/>
      <c r="F199" s="4197"/>
      <c r="G199" s="4197"/>
      <c r="H199" s="4197"/>
      <c r="I199" s="2208" t="str">
        <f>IF(OR(D195="",D199=""),"",MAX(1,SUMPRODUCT(--(INDEX('Tablas Técnicas'!$C$10:$L$643,,1)=D195),--(INDEX('Tablas Técnicas'!$C$10:$L$643,,2)=D199),INDEX('Tablas Técnicas'!$C$10:$L$643,,9))))</f>
        <v/>
      </c>
      <c r="J199" s="4196"/>
      <c r="K199" s="4197"/>
      <c r="L199" s="4197"/>
      <c r="M199" s="4197"/>
      <c r="N199" s="4197"/>
      <c r="O199" s="2208" t="str">
        <f>IF(OR(J195="",J199=""),"",MAX(1,SUMPRODUCT(--(INDEX('Tablas Técnicas'!$C$10:$L$643,,1)=J195),--(INDEX('Tablas Técnicas'!$C$10:$L$643,,2)=J199),INDEX('Tablas Técnicas'!$C$10:$L$643,,9))))</f>
        <v/>
      </c>
      <c r="P199" s="4196"/>
      <c r="Q199" s="4197"/>
      <c r="R199" s="4197"/>
      <c r="S199" s="4197"/>
      <c r="T199" s="4197"/>
      <c r="U199" s="2208" t="str">
        <f>IF(OR(P195="",P199=""),"",MAX(1,SUMPRODUCT(--(INDEX('Tablas Técnicas'!$C$10:$L$643,,1)=P195),--(INDEX('Tablas Técnicas'!$C$10:$L$643,,2)=P199),INDEX('Tablas Técnicas'!$C$10:$L$643,,9))))</f>
        <v/>
      </c>
      <c r="V199" s="4196"/>
      <c r="W199" s="4197"/>
      <c r="X199" s="4197"/>
      <c r="Y199" s="4197"/>
      <c r="Z199" s="4197"/>
      <c r="AA199" s="2208" t="str">
        <f>IF(OR(V195="",V199=""),"",MAX(1,SUMPRODUCT(--(INDEX('Tablas Técnicas'!$C$10:$L$643,,1)=V195),--(INDEX('Tablas Técnicas'!$C$10:$L$643,,2)=V199),INDEX('Tablas Técnicas'!$C$10:$L$643,,9))))</f>
        <v/>
      </c>
      <c r="AB199" s="4196"/>
      <c r="AC199" s="4197"/>
      <c r="AD199" s="4197"/>
      <c r="AE199" s="4197"/>
      <c r="AF199" s="4197"/>
      <c r="AG199" s="2209" t="str">
        <f>IF(OR(AB195="",AB199=""),"",MAX(1,SUMPRODUCT(--(INDEX('Tablas Técnicas'!$C$10:$L$643,,1)=AB195),--(INDEX('Tablas Técnicas'!$C$10:$L$643,,2)=AB199),INDEX('Tablas Técnicas'!$C$10:$L$643,,9))))</f>
        <v/>
      </c>
      <c r="AH199" s="2496">
        <f>P182</f>
        <v>1</v>
      </c>
      <c r="AI199" s="4328"/>
      <c r="AJ199" s="2785" t="s">
        <v>9597</v>
      </c>
      <c r="AK199" s="2785"/>
      <c r="AL199" s="2785">
        <f>MAX(0,SUM(AT186:AT190)+ABS($AC191*2/5))+IF(AM208,0,Y191)+IF(S182="Si",3*P182,0)</f>
        <v>0</v>
      </c>
      <c r="AM199" s="2785">
        <f t="array" ref="AM199">IF(ISNUMBER(SEARCH("Mantenido",K186&amp;K187&amp;K188&amp;K189&amp;K190)),MAX(0,SUM(VALUE(RIGHT($P186:$P190,2)))),0)</f>
        <v>0</v>
      </c>
      <c r="AN199" s="2787"/>
      <c r="AO199" s="2787"/>
      <c r="AP199" s="2792"/>
      <c r="AQ199" s="2792"/>
      <c r="AR199" s="2792"/>
      <c r="AS199" s="2792"/>
      <c r="AT199" s="2792"/>
      <c r="AU199" s="2792"/>
      <c r="AV199" s="2792"/>
      <c r="AW199" s="2792"/>
      <c r="AX199" s="2792"/>
      <c r="AY199" s="2785"/>
    </row>
    <row r="200" spans="1:51" ht="12.75" customHeight="1" x14ac:dyDescent="0.2">
      <c r="A200" s="2487"/>
      <c r="B200" s="2368">
        <f t="shared" si="44"/>
        <v>6</v>
      </c>
      <c r="C200" s="4325"/>
      <c r="D200" s="4200"/>
      <c r="E200" s="4201"/>
      <c r="F200" s="4201"/>
      <c r="G200" s="4201"/>
      <c r="H200" s="4201"/>
      <c r="I200" s="2210" t="str">
        <f>IF(OR(D195="",D200=""),"",MAX(1,SUMPRODUCT(--(INDEX('Tablas Técnicas'!$C$10:$L$643,,1)=D195),--(INDEX('Tablas Técnicas'!$C$10:$L$643,,2)=D200),INDEX('Tablas Técnicas'!$C$10:$L$643,,9))))</f>
        <v/>
      </c>
      <c r="J200" s="4200"/>
      <c r="K200" s="4201"/>
      <c r="L200" s="4201"/>
      <c r="M200" s="4201"/>
      <c r="N200" s="4201"/>
      <c r="O200" s="2210" t="str">
        <f>IF(OR(J195="",J200=""),"",MAX(1,SUMPRODUCT(--(INDEX('Tablas Técnicas'!$C$10:$L$643,,1)=J195),--(INDEX('Tablas Técnicas'!$C$10:$L$643,,2)=J200),INDEX('Tablas Técnicas'!$C$10:$L$643,,9))))</f>
        <v/>
      </c>
      <c r="P200" s="4200"/>
      <c r="Q200" s="4201"/>
      <c r="R200" s="4201"/>
      <c r="S200" s="4201"/>
      <c r="T200" s="4201"/>
      <c r="U200" s="2210" t="str">
        <f>IF(OR(P195="",P200=""),"",MAX(1,SUMPRODUCT(--(INDEX('Tablas Técnicas'!$C$10:$L$643,,1)=P195),--(INDEX('Tablas Técnicas'!$C$10:$L$643,,2)=P200),INDEX('Tablas Técnicas'!$C$10:$L$643,,9))))</f>
        <v/>
      </c>
      <c r="V200" s="4200"/>
      <c r="W200" s="4201"/>
      <c r="X200" s="4201"/>
      <c r="Y200" s="4201"/>
      <c r="Z200" s="4201"/>
      <c r="AA200" s="2210" t="str">
        <f>IF(OR(V195="",V200=""),"",MAX(1,SUMPRODUCT(--(INDEX('Tablas Técnicas'!$C$10:$L$643,,1)=V195),--(INDEX('Tablas Técnicas'!$C$10:$L$643,,2)=V200),INDEX('Tablas Técnicas'!$C$10:$L$643,,9))))</f>
        <v/>
      </c>
      <c r="AB200" s="4200"/>
      <c r="AC200" s="4201"/>
      <c r="AD200" s="4201"/>
      <c r="AE200" s="4201"/>
      <c r="AF200" s="4201"/>
      <c r="AG200" s="2211" t="str">
        <f>IF(OR(AB195="",AB200=""),"",MAX(1,SUMPRODUCT(--(INDEX('Tablas Técnicas'!$C$10:$L$643,,1)=AB195),--(INDEX('Tablas Técnicas'!$C$10:$L$643,,2)=AB200),INDEX('Tablas Técnicas'!$C$10:$L$643,,9))))</f>
        <v/>
      </c>
      <c r="AH200" s="2496">
        <f>P182</f>
        <v>1</v>
      </c>
      <c r="AI200" s="4328"/>
      <c r="AJ200" s="2785" t="s">
        <v>9099</v>
      </c>
      <c r="AK200" s="2785"/>
      <c r="AL200" s="2785">
        <f>SUM(V186:V190,X186:X190,Z186:Z190,AB186:AB190,AD186:AD190,AF186:AF190)+SUM(V193:AG193)</f>
        <v>0</v>
      </c>
      <c r="AM200" s="2785">
        <f>SUM(W186:W190,Y186:Y190,AA186:AA190,AC186:AC190,AE186:AE190,AG186:AG190)</f>
        <v>0</v>
      </c>
      <c r="AN200" s="2785"/>
      <c r="AO200" s="2785"/>
      <c r="AP200" s="2785"/>
      <c r="AQ200" s="2785"/>
      <c r="AR200" s="2785"/>
      <c r="AS200" s="2785"/>
      <c r="AT200" s="2785"/>
      <c r="AU200" s="2785"/>
      <c r="AV200" s="2785"/>
      <c r="AW200" s="2787"/>
      <c r="AX200" s="2785"/>
      <c r="AY200" s="2785"/>
    </row>
    <row r="201" spans="1:51" ht="12.75" customHeight="1" x14ac:dyDescent="0.2">
      <c r="A201" s="2487"/>
      <c r="B201" s="2368">
        <f t="shared" si="44"/>
        <v>6</v>
      </c>
      <c r="C201" s="4325"/>
      <c r="D201" s="4200"/>
      <c r="E201" s="4201"/>
      <c r="F201" s="4201"/>
      <c r="G201" s="4201"/>
      <c r="H201" s="4201"/>
      <c r="I201" s="2210" t="str">
        <f>IF(OR(D195="",D201=""),"",MAX(1,SUMPRODUCT(--(INDEX('Tablas Técnicas'!$C$10:$L$643,,1)=D195),--(INDEX('Tablas Técnicas'!$C$10:$L$643,,2)=D201),INDEX('Tablas Técnicas'!$C$10:$L$643,,9))))</f>
        <v/>
      </c>
      <c r="J201" s="4200"/>
      <c r="K201" s="4201"/>
      <c r="L201" s="4201"/>
      <c r="M201" s="4201"/>
      <c r="N201" s="4201"/>
      <c r="O201" s="2210" t="str">
        <f>IF(OR(J195="",J201=""),"",MAX(1,SUMPRODUCT(--(INDEX('Tablas Técnicas'!$C$10:$L$643,,1)=J195),--(INDEX('Tablas Técnicas'!$C$10:$L$643,,2)=J201),INDEX('Tablas Técnicas'!$C$10:$L$643,,9))))</f>
        <v/>
      </c>
      <c r="P201" s="4200"/>
      <c r="Q201" s="4201"/>
      <c r="R201" s="4201"/>
      <c r="S201" s="4201"/>
      <c r="T201" s="4201"/>
      <c r="U201" s="2210" t="str">
        <f>IF(OR(P195="",P201=""),"",MAX(1,SUMPRODUCT(--(INDEX('Tablas Técnicas'!$C$10:$L$643,,1)=P195),--(INDEX('Tablas Técnicas'!$C$10:$L$643,,2)=P201),INDEX('Tablas Técnicas'!$C$10:$L$643,,9))))</f>
        <v/>
      </c>
      <c r="V201" s="4200"/>
      <c r="W201" s="4201"/>
      <c r="X201" s="4201"/>
      <c r="Y201" s="4201"/>
      <c r="Z201" s="4201"/>
      <c r="AA201" s="2210" t="str">
        <f>IF(OR(V195="",V201=""),"",MAX(1,SUMPRODUCT(--(INDEX('Tablas Técnicas'!$C$10:$L$643,,1)=V195),--(INDEX('Tablas Técnicas'!$C$10:$L$643,,2)=V201),INDEX('Tablas Técnicas'!$C$10:$L$643,,9))))</f>
        <v/>
      </c>
      <c r="AB201" s="4200"/>
      <c r="AC201" s="4201"/>
      <c r="AD201" s="4201"/>
      <c r="AE201" s="4201"/>
      <c r="AF201" s="4201"/>
      <c r="AG201" s="2211" t="str">
        <f>IF(OR(AB195="",AB201=""),"",MAX(1,SUMPRODUCT(--(INDEX('Tablas Técnicas'!$C$10:$L$643,,1)=AB195),--(INDEX('Tablas Técnicas'!$C$10:$L$643,,2)=AB201),INDEX('Tablas Técnicas'!$C$10:$L$643,,9))))</f>
        <v/>
      </c>
      <c r="AH201" s="2496">
        <f>P182</f>
        <v>1</v>
      </c>
      <c r="AI201" s="4328"/>
      <c r="AJ201" s="2785"/>
      <c r="AK201" s="2785"/>
      <c r="AL201" s="2785"/>
      <c r="AM201" s="2785"/>
      <c r="AN201" s="2785"/>
      <c r="AO201" s="2785"/>
      <c r="AP201" s="2785"/>
      <c r="AQ201" s="2785"/>
      <c r="AR201" s="2785"/>
      <c r="AS201" s="2785"/>
      <c r="AT201" s="2785"/>
      <c r="AU201" s="2785"/>
      <c r="AV201" s="2785"/>
      <c r="AW201" s="2787"/>
      <c r="AX201" s="2787"/>
      <c r="AY201" s="2785"/>
    </row>
    <row r="202" spans="1:51" ht="12.75" customHeight="1" x14ac:dyDescent="0.2">
      <c r="A202" s="2487"/>
      <c r="B202" s="2368">
        <f t="shared" si="44"/>
        <v>6</v>
      </c>
      <c r="C202" s="4325"/>
      <c r="D202" s="4200"/>
      <c r="E202" s="4201"/>
      <c r="F202" s="4201"/>
      <c r="G202" s="4201"/>
      <c r="H202" s="4201"/>
      <c r="I202" s="2210" t="str">
        <f>IF(OR(D195="",D202=""),"",MAX(1,SUMPRODUCT(--(INDEX('Tablas Técnicas'!$C$10:$L$643,,1)=D195),--(INDEX('Tablas Técnicas'!$C$10:$L$643,,2)=D202),INDEX('Tablas Técnicas'!$C$10:$L$643,,9))))</f>
        <v/>
      </c>
      <c r="J202" s="4200"/>
      <c r="K202" s="4201"/>
      <c r="L202" s="4201"/>
      <c r="M202" s="4201"/>
      <c r="N202" s="4201"/>
      <c r="O202" s="2210" t="str">
        <f>IF(OR(J195="",J202=""),"",MAX(1,SUMPRODUCT(--(INDEX('Tablas Técnicas'!$C$10:$L$643,,1)=J195),--(INDEX('Tablas Técnicas'!$C$10:$L$643,,2)=J202),INDEX('Tablas Técnicas'!$C$10:$L$643,,9))))</f>
        <v/>
      </c>
      <c r="P202" s="4200"/>
      <c r="Q202" s="4201"/>
      <c r="R202" s="4201"/>
      <c r="S202" s="4201"/>
      <c r="T202" s="4201"/>
      <c r="U202" s="2210" t="str">
        <f>IF(OR(P195="",P202=""),"",MAX(1,SUMPRODUCT(--(INDEX('Tablas Técnicas'!$C$10:$L$643,,1)=P195),--(INDEX('Tablas Técnicas'!$C$10:$L$643,,2)=P202),INDEX('Tablas Técnicas'!$C$10:$L$643,,9))))</f>
        <v/>
      </c>
      <c r="V202" s="4200"/>
      <c r="W202" s="4201"/>
      <c r="X202" s="4201"/>
      <c r="Y202" s="4201"/>
      <c r="Z202" s="4201"/>
      <c r="AA202" s="2210" t="str">
        <f>IF(OR(V195="",V202=""),"",MAX(1,SUMPRODUCT(--(INDEX('Tablas Técnicas'!$C$10:$L$643,,1)=V195),--(INDEX('Tablas Técnicas'!$C$10:$L$643,,2)=V202),INDEX('Tablas Técnicas'!$C$10:$L$643,,9))))</f>
        <v/>
      </c>
      <c r="AB202" s="4200"/>
      <c r="AC202" s="4201"/>
      <c r="AD202" s="4201"/>
      <c r="AE202" s="4201"/>
      <c r="AF202" s="4201"/>
      <c r="AG202" s="2211" t="str">
        <f>IF(OR(AB195="",AB202=""),"",MAX(1,SUMPRODUCT(--(INDEX('Tablas Técnicas'!$C$10:$L$643,,1)=AB195),--(INDEX('Tablas Técnicas'!$C$10:$L$643,,2)=AB202),INDEX('Tablas Técnicas'!$C$10:$L$643,,9))))</f>
        <v/>
      </c>
      <c r="AH202" s="2496">
        <f>P182</f>
        <v>1</v>
      </c>
      <c r="AI202" s="4328"/>
      <c r="AJ202" s="2785"/>
      <c r="AK202" s="2785"/>
      <c r="AL202" s="2785"/>
      <c r="AM202" s="2785"/>
      <c r="AN202" s="2785"/>
      <c r="AO202" s="2785"/>
      <c r="AP202" s="2785"/>
      <c r="AQ202" s="2786"/>
      <c r="AR202" s="2787"/>
      <c r="AS202" s="2787"/>
      <c r="AT202" s="2787"/>
      <c r="AU202" s="2787"/>
      <c r="AV202" s="2787"/>
      <c r="AW202" s="2787"/>
      <c r="AX202" s="2787"/>
      <c r="AY202" s="2785"/>
    </row>
    <row r="203" spans="1:51" ht="12.75" customHeight="1" x14ac:dyDescent="0.2">
      <c r="A203" s="2487"/>
      <c r="B203" s="2368">
        <f t="shared" si="44"/>
        <v>6</v>
      </c>
      <c r="C203" s="4325"/>
      <c r="D203" s="4200"/>
      <c r="E203" s="4201"/>
      <c r="F203" s="4201"/>
      <c r="G203" s="4201"/>
      <c r="H203" s="4201"/>
      <c r="I203" s="2210" t="str">
        <f>IF(OR(D195="",D203=""),"",MAX(1,SUMPRODUCT(--(INDEX('Tablas Técnicas'!$C$10:$L$643,,1)=D195),--(INDEX('Tablas Técnicas'!$C$10:$L$643,,2)=D203),INDEX('Tablas Técnicas'!$C$10:$L$643,,9))))</f>
        <v/>
      </c>
      <c r="J203" s="4200"/>
      <c r="K203" s="4201"/>
      <c r="L203" s="4201"/>
      <c r="M203" s="4201"/>
      <c r="N203" s="4201"/>
      <c r="O203" s="2210" t="str">
        <f>IF(OR(J195="",J203=""),"",MAX(1,SUMPRODUCT(--(INDEX('Tablas Técnicas'!$C$10:$L$643,,1)=J195),--(INDEX('Tablas Técnicas'!$C$10:$L$643,,2)=J203),INDEX('Tablas Técnicas'!$C$10:$L$643,,9))))</f>
        <v/>
      </c>
      <c r="P203" s="4200"/>
      <c r="Q203" s="4201"/>
      <c r="R203" s="4201"/>
      <c r="S203" s="4201"/>
      <c r="T203" s="4201"/>
      <c r="U203" s="2210" t="str">
        <f>IF(OR(P195="",P203=""),"",MAX(1,SUMPRODUCT(--(INDEX('Tablas Técnicas'!$C$10:$L$643,,1)=P195),--(INDEX('Tablas Técnicas'!$C$10:$L$643,,2)=P203),INDEX('Tablas Técnicas'!$C$10:$L$643,,9))))</f>
        <v/>
      </c>
      <c r="V203" s="4200"/>
      <c r="W203" s="4201"/>
      <c r="X203" s="4201"/>
      <c r="Y203" s="4201"/>
      <c r="Z203" s="4201"/>
      <c r="AA203" s="2210" t="str">
        <f>IF(OR(V195="",V203=""),"",MAX(1,SUMPRODUCT(--(INDEX('Tablas Técnicas'!$C$10:$L$643,,1)=V195),--(INDEX('Tablas Técnicas'!$C$10:$L$643,,2)=V203),INDEX('Tablas Técnicas'!$C$10:$L$643,,9))))</f>
        <v/>
      </c>
      <c r="AB203" s="4200"/>
      <c r="AC203" s="4201"/>
      <c r="AD203" s="4201"/>
      <c r="AE203" s="4201"/>
      <c r="AF203" s="4201"/>
      <c r="AG203" s="2211" t="str">
        <f>IF(OR(AB195="",AB203=""),"",MAX(1,SUMPRODUCT(--(INDEX('Tablas Técnicas'!$C$10:$L$643,,1)=AB195),--(INDEX('Tablas Técnicas'!$C$10:$L$643,,2)=AB203),INDEX('Tablas Técnicas'!$C$10:$L$643,,9))))</f>
        <v/>
      </c>
      <c r="AH203" s="2496">
        <f>P182</f>
        <v>1</v>
      </c>
      <c r="AI203" s="4328"/>
      <c r="AJ203" s="2785" t="s">
        <v>9100</v>
      </c>
      <c r="AK203" s="2785"/>
      <c r="AL203" s="2785"/>
      <c r="AM203" s="2785"/>
      <c r="AN203" s="2785"/>
      <c r="AO203" s="2785"/>
      <c r="AP203" s="2785"/>
      <c r="AQ203" s="2785"/>
      <c r="AR203" s="2787"/>
      <c r="AS203" s="2787"/>
      <c r="AT203" s="2787"/>
      <c r="AU203" s="2787"/>
      <c r="AV203" s="2787"/>
      <c r="AW203" s="2787"/>
      <c r="AX203" s="2787"/>
      <c r="AY203" s="2785"/>
    </row>
    <row r="204" spans="1:51" ht="12.75" customHeight="1" x14ac:dyDescent="0.2">
      <c r="A204" s="2487"/>
      <c r="B204" s="2368">
        <f t="shared" si="44"/>
        <v>6</v>
      </c>
      <c r="C204" s="4325"/>
      <c r="D204" s="4200"/>
      <c r="E204" s="4201"/>
      <c r="F204" s="4201"/>
      <c r="G204" s="4201"/>
      <c r="H204" s="4201"/>
      <c r="I204" s="2210" t="str">
        <f>IF(OR(D195="",D204=""),"",MAX(1,SUMPRODUCT(--(INDEX('Tablas Técnicas'!$C$10:$L$643,,1)=D195),--(INDEX('Tablas Técnicas'!$C$10:$L$643,,2)=D204),INDEX('Tablas Técnicas'!$C$10:$L$643,,9))))</f>
        <v/>
      </c>
      <c r="J204" s="4200"/>
      <c r="K204" s="4201"/>
      <c r="L204" s="4201"/>
      <c r="M204" s="4201"/>
      <c r="N204" s="4201"/>
      <c r="O204" s="2210" t="str">
        <f>IF(OR(J195="",J204=""),"",MAX(1,SUMPRODUCT(--(INDEX('Tablas Técnicas'!$C$10:$L$643,,1)=J195),--(INDEX('Tablas Técnicas'!$C$10:$L$643,,2)=J204),INDEX('Tablas Técnicas'!$C$10:$L$643,,9))))</f>
        <v/>
      </c>
      <c r="P204" s="4200"/>
      <c r="Q204" s="4201"/>
      <c r="R204" s="4201"/>
      <c r="S204" s="4201"/>
      <c r="T204" s="4201"/>
      <c r="U204" s="2210" t="str">
        <f>IF(OR(P195="",P204=""),"",MAX(1,SUMPRODUCT(--(INDEX('Tablas Técnicas'!$C$10:$L$643,,1)=P195),--(INDEX('Tablas Técnicas'!$C$10:$L$643,,2)=P204),INDEX('Tablas Técnicas'!$C$10:$L$643,,9))))</f>
        <v/>
      </c>
      <c r="V204" s="4200"/>
      <c r="W204" s="4201"/>
      <c r="X204" s="4201"/>
      <c r="Y204" s="4201"/>
      <c r="Z204" s="4201"/>
      <c r="AA204" s="2210" t="str">
        <f>IF(OR(V195="",V204=""),"",MAX(1,SUMPRODUCT(--(INDEX('Tablas Técnicas'!$C$10:$L$643,,1)=V195),--(INDEX('Tablas Técnicas'!$C$10:$L$643,,2)=V204),INDEX('Tablas Técnicas'!$C$10:$L$643,,9))))</f>
        <v/>
      </c>
      <c r="AB204" s="4200"/>
      <c r="AC204" s="4201"/>
      <c r="AD204" s="4201"/>
      <c r="AE204" s="4201"/>
      <c r="AF204" s="4201"/>
      <c r="AG204" s="2211" t="str">
        <f>IF(OR(AB195="",AB204=""),"",MAX(1,SUMPRODUCT(--(INDEX('Tablas Técnicas'!$C$10:$L$643,,1)=AB195),--(INDEX('Tablas Técnicas'!$C$10:$L$643,,2)=AB204),INDEX('Tablas Técnicas'!$C$10:$L$643,,9))))</f>
        <v/>
      </c>
      <c r="AH204" s="2496">
        <f>P182</f>
        <v>1</v>
      </c>
      <c r="AI204" s="4328"/>
      <c r="AJ204" s="2785" t="s">
        <v>9101</v>
      </c>
      <c r="AK204" s="2785"/>
      <c r="AL204" s="2785"/>
      <c r="AM204" s="2785" t="b">
        <f t="array" ref="AM204">MAX(I199:I205,O199:O205,U199:U205,AA199:AA205,AG199:AG205,RIGHT(S191:S193,1))&gt;P182</f>
        <v>0</v>
      </c>
      <c r="AN204" s="2785"/>
      <c r="AO204" s="2785"/>
      <c r="AP204" s="2785"/>
      <c r="AQ204" s="2786"/>
      <c r="AR204" s="2787"/>
      <c r="AS204" s="2787"/>
      <c r="AT204" s="2787"/>
      <c r="AU204" s="2787"/>
      <c r="AV204" s="2787"/>
      <c r="AW204" s="2787"/>
      <c r="AX204" s="2787"/>
      <c r="AY204" s="2785"/>
    </row>
    <row r="205" spans="1:51" ht="12.75" customHeight="1" x14ac:dyDescent="0.2">
      <c r="A205" s="2487"/>
      <c r="B205" s="2368">
        <f t="shared" si="44"/>
        <v>6</v>
      </c>
      <c r="C205" s="4325"/>
      <c r="D205" s="4230"/>
      <c r="E205" s="4231"/>
      <c r="F205" s="4231"/>
      <c r="G205" s="4231"/>
      <c r="H205" s="4231"/>
      <c r="I205" s="2212" t="str">
        <f>IF(OR(D195="",D205=""),"",MAX(1,SUMPRODUCT(--(INDEX('Tablas Técnicas'!$C$10:$L$643,,1)=D195),--(INDEX('Tablas Técnicas'!$C$10:$L$643,,2)=D205),INDEX('Tablas Técnicas'!$C$10:$L$643,,9))))</f>
        <v/>
      </c>
      <c r="J205" s="4230"/>
      <c r="K205" s="4231"/>
      <c r="L205" s="4231"/>
      <c r="M205" s="4231"/>
      <c r="N205" s="4231"/>
      <c r="O205" s="2212" t="str">
        <f>IF(OR(J195="",J205=""),"",MAX(1,SUMPRODUCT(--(INDEX('Tablas Técnicas'!$C$10:$L$643,,1)=J195),--(INDEX('Tablas Técnicas'!$C$10:$L$643,,2)=J205),INDEX('Tablas Técnicas'!$C$10:$L$643,,9))))</f>
        <v/>
      </c>
      <c r="P205" s="4230"/>
      <c r="Q205" s="4231"/>
      <c r="R205" s="4231"/>
      <c r="S205" s="4231"/>
      <c r="T205" s="4231"/>
      <c r="U205" s="2212" t="str">
        <f>IF(OR(P195="",P205=""),"",MAX(1,SUMPRODUCT(--(INDEX('Tablas Técnicas'!$C$10:$L$643,,1)=P195),--(INDEX('Tablas Técnicas'!$C$10:$L$643,,2)=P205),INDEX('Tablas Técnicas'!$C$10:$L$643,,9))))</f>
        <v/>
      </c>
      <c r="V205" s="4230"/>
      <c r="W205" s="4231"/>
      <c r="X205" s="4231"/>
      <c r="Y205" s="4231"/>
      <c r="Z205" s="4231"/>
      <c r="AA205" s="2212" t="str">
        <f>IF(OR(V195="",V205=""),"",MAX(1,SUMPRODUCT(--(INDEX('Tablas Técnicas'!$C$10:$L$643,,1)=V195),--(INDEX('Tablas Técnicas'!$C$10:$L$643,,2)=V205),INDEX('Tablas Técnicas'!$C$10:$L$643,,9))))</f>
        <v/>
      </c>
      <c r="AB205" s="4230"/>
      <c r="AC205" s="4231"/>
      <c r="AD205" s="4231"/>
      <c r="AE205" s="4231"/>
      <c r="AF205" s="4231"/>
      <c r="AG205" s="2213" t="str">
        <f>IF(OR(AB195="",AB205=""),"",MAX(1,SUMPRODUCT(--(INDEX('Tablas Técnicas'!$C$10:$L$643,,1)=AB195),--(INDEX('Tablas Técnicas'!$C$10:$L$643,,2)=AB205),INDEX('Tablas Técnicas'!$C$10:$L$643,,9))))</f>
        <v/>
      </c>
      <c r="AH205" s="2496">
        <f>P182</f>
        <v>1</v>
      </c>
      <c r="AI205" s="4328"/>
      <c r="AJ205" s="2785" t="s">
        <v>9614</v>
      </c>
      <c r="AK205" s="2785"/>
      <c r="AL205" s="2785"/>
      <c r="AM205" s="2785" t="b">
        <f>AND(COUNTIF(K186:M190,"Mantenido"),OR(COUNTIF(K186:M190,"Sostenimiento Menor"),COUNTIF(K186:M190,"Sostenimiento Mayor")))</f>
        <v>0</v>
      </c>
      <c r="AN205" s="2786"/>
      <c r="AO205" s="2785"/>
      <c r="AP205" s="2785"/>
      <c r="AQ205" s="2785"/>
      <c r="AR205" s="2785"/>
      <c r="AS205" s="2785"/>
      <c r="AT205" s="2785"/>
      <c r="AU205" s="2787"/>
      <c r="AV205" s="2787"/>
      <c r="AW205" s="2787"/>
      <c r="AX205" s="2787"/>
      <c r="AY205" s="2785"/>
    </row>
    <row r="206" spans="1:51" ht="12.75" customHeight="1" x14ac:dyDescent="0.2">
      <c r="A206" s="2487"/>
      <c r="B206" s="2368">
        <f t="shared" si="44"/>
        <v>6</v>
      </c>
      <c r="C206" s="4325"/>
      <c r="D206" s="4213" t="s">
        <v>1558</v>
      </c>
      <c r="E206" s="4214"/>
      <c r="F206" s="4214"/>
      <c r="G206" s="4214"/>
      <c r="H206" s="4214"/>
      <c r="I206" s="4214"/>
      <c r="J206" s="4214"/>
      <c r="K206" s="4214"/>
      <c r="L206" s="4214"/>
      <c r="M206" s="4214"/>
      <c r="N206" s="4214"/>
      <c r="O206" s="4214"/>
      <c r="P206" s="4214"/>
      <c r="Q206" s="4214"/>
      <c r="R206" s="4214"/>
      <c r="S206" s="4214"/>
      <c r="T206" s="4214"/>
      <c r="U206" s="4214"/>
      <c r="V206" s="4214"/>
      <c r="W206" s="4214"/>
      <c r="X206" s="4214"/>
      <c r="Y206" s="4214"/>
      <c r="Z206" s="4214"/>
      <c r="AA206" s="4214"/>
      <c r="AB206" s="4214"/>
      <c r="AC206" s="4214"/>
      <c r="AD206" s="4214"/>
      <c r="AE206" s="4214"/>
      <c r="AF206" s="4214"/>
      <c r="AG206" s="4270"/>
      <c r="AH206" s="2496"/>
      <c r="AI206" s="4328"/>
      <c r="AJ206" s="2785" t="s">
        <v>9613</v>
      </c>
      <c r="AK206" s="2785"/>
      <c r="AL206" s="2785"/>
      <c r="AM206" s="278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5"/>
      <c r="AO206" s="2785"/>
      <c r="AP206" s="2785"/>
      <c r="AQ206" s="2786"/>
      <c r="AR206" s="2785"/>
      <c r="AS206" s="2785"/>
      <c r="AT206" s="2785"/>
      <c r="AU206" s="2787"/>
      <c r="AV206" s="2787"/>
      <c r="AW206" s="2787"/>
      <c r="AX206" s="2787"/>
      <c r="AY206" s="2785"/>
    </row>
    <row r="207" spans="1:51" ht="12.75" customHeight="1" x14ac:dyDescent="0.2">
      <c r="A207" s="2487"/>
      <c r="B207" s="2368">
        <f t="shared" si="44"/>
        <v>6</v>
      </c>
      <c r="C207" s="4325"/>
      <c r="D207" s="4271"/>
      <c r="E207" s="4272"/>
      <c r="F207" s="4272"/>
      <c r="G207" s="4272"/>
      <c r="H207" s="4272"/>
      <c r="I207" s="4272"/>
      <c r="J207" s="4272"/>
      <c r="K207" s="4272"/>
      <c r="L207" s="4272"/>
      <c r="M207" s="4272"/>
      <c r="N207" s="4272"/>
      <c r="O207" s="4272"/>
      <c r="P207" s="4272"/>
      <c r="Q207" s="4272"/>
      <c r="R207" s="4272"/>
      <c r="S207" s="4272"/>
      <c r="T207" s="4272"/>
      <c r="U207" s="4272"/>
      <c r="V207" s="4272"/>
      <c r="W207" s="4272"/>
      <c r="X207" s="4272"/>
      <c r="Y207" s="4272"/>
      <c r="Z207" s="4272"/>
      <c r="AA207" s="4272"/>
      <c r="AB207" s="4272"/>
      <c r="AC207" s="4272"/>
      <c r="AD207" s="4272"/>
      <c r="AE207" s="4272"/>
      <c r="AF207" s="4272"/>
      <c r="AG207" s="4273"/>
      <c r="AH207" s="2496"/>
      <c r="AI207" s="4328"/>
      <c r="AJ207" s="2785" t="s">
        <v>9621</v>
      </c>
      <c r="AK207" s="2785"/>
      <c r="AL207" s="2785"/>
      <c r="AM207" s="278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5"/>
      <c r="AO207" s="2785"/>
      <c r="AP207" s="2785"/>
      <c r="AQ207" s="2786"/>
      <c r="AR207" s="2785"/>
      <c r="AS207" s="2785"/>
      <c r="AT207" s="2785"/>
      <c r="AU207" s="2787"/>
      <c r="AV207" s="2787"/>
      <c r="AW207" s="2787"/>
      <c r="AX207" s="2787"/>
      <c r="AY207" s="2785"/>
    </row>
    <row r="208" spans="1:51" ht="12.75" customHeight="1" x14ac:dyDescent="0.2">
      <c r="A208" s="2487"/>
      <c r="B208" s="2368">
        <f t="shared" si="44"/>
        <v>6</v>
      </c>
      <c r="C208" s="4325"/>
      <c r="D208" s="4271"/>
      <c r="E208" s="4272"/>
      <c r="F208" s="4272"/>
      <c r="G208" s="4272"/>
      <c r="H208" s="4272"/>
      <c r="I208" s="4272"/>
      <c r="J208" s="4272"/>
      <c r="K208" s="4272"/>
      <c r="L208" s="4272"/>
      <c r="M208" s="4272"/>
      <c r="N208" s="4272"/>
      <c r="O208" s="4272"/>
      <c r="P208" s="4272"/>
      <c r="Q208" s="4272"/>
      <c r="R208" s="4272"/>
      <c r="S208" s="4272"/>
      <c r="T208" s="4272"/>
      <c r="U208" s="4272"/>
      <c r="V208" s="4272"/>
      <c r="W208" s="4272"/>
      <c r="X208" s="4272"/>
      <c r="Y208" s="4272"/>
      <c r="Z208" s="4272"/>
      <c r="AA208" s="4272"/>
      <c r="AB208" s="4272"/>
      <c r="AC208" s="4272"/>
      <c r="AD208" s="4272"/>
      <c r="AE208" s="4272"/>
      <c r="AF208" s="4272"/>
      <c r="AG208" s="4273"/>
      <c r="AH208" s="2496"/>
      <c r="AI208" s="4328"/>
      <c r="AJ208" s="2785" t="s">
        <v>9600</v>
      </c>
      <c r="AK208" s="2785"/>
      <c r="AL208" s="2785"/>
      <c r="AM208" s="2785" t="b">
        <f>AND((IF(SUM(V186:V190)&gt;0,1,0)+IF(SUM(X186:X190)&gt;0,1,0)+IF(SUM(Z186:Z190)&gt;0,1,0)+IF(SUM(AB186:AB190)&gt;0,1,0)+IF(SUM(AD186:AD190,)&gt;0,1,0)+IF(SUM(AF186:AF190)&gt;0,1,0))&lt;3,OR(V193&lt;0,X193&lt;0,Z193&lt;0,AB193&lt;0,AD193&lt;0,AF193&lt;0,Y191&lt;0))</f>
        <v>0</v>
      </c>
      <c r="AN208" s="2785"/>
      <c r="AO208" s="2785"/>
      <c r="AP208" s="2785"/>
      <c r="AQ208" s="2786"/>
      <c r="AR208" s="2785"/>
      <c r="AS208" s="2785"/>
      <c r="AT208" s="2785"/>
      <c r="AU208" s="2787"/>
      <c r="AV208" s="2787"/>
      <c r="AW208" s="2787"/>
      <c r="AX208" s="2787"/>
      <c r="AY208" s="2785"/>
    </row>
    <row r="209" spans="1:51" ht="12.75" customHeight="1" x14ac:dyDescent="0.2">
      <c r="A209" s="2487"/>
      <c r="B209" s="2368">
        <f t="shared" si="44"/>
        <v>6</v>
      </c>
      <c r="C209" s="4325"/>
      <c r="D209" s="4271"/>
      <c r="E209" s="4272"/>
      <c r="F209" s="4272"/>
      <c r="G209" s="4272"/>
      <c r="H209" s="4272"/>
      <c r="I209" s="4272"/>
      <c r="J209" s="4272"/>
      <c r="K209" s="4272"/>
      <c r="L209" s="4272"/>
      <c r="M209" s="4272"/>
      <c r="N209" s="4272"/>
      <c r="O209" s="4272"/>
      <c r="P209" s="4272"/>
      <c r="Q209" s="4272"/>
      <c r="R209" s="4272"/>
      <c r="S209" s="4272"/>
      <c r="T209" s="4272"/>
      <c r="U209" s="4272"/>
      <c r="V209" s="4272"/>
      <c r="W209" s="4272"/>
      <c r="X209" s="4272"/>
      <c r="Y209" s="4272"/>
      <c r="Z209" s="4272"/>
      <c r="AA209" s="4272"/>
      <c r="AB209" s="4272"/>
      <c r="AC209" s="4272"/>
      <c r="AD209" s="4272"/>
      <c r="AE209" s="4272"/>
      <c r="AF209" s="4272"/>
      <c r="AG209" s="4273"/>
      <c r="AH209" s="2496"/>
      <c r="AI209" s="4328"/>
      <c r="AJ209" s="2785" t="s">
        <v>9615</v>
      </c>
      <c r="AK209" s="2785"/>
      <c r="AL209" s="2785"/>
      <c r="AM209" s="2785" t="b">
        <f>OR(-V193&gt;TRUNC(SUM(V186:V190)/2),-X193&gt;TRUNC(SUM(X186:X190)/2),-Z193&gt;TRUNC(SUM(Z186:Z190)/2),-AB193&gt;TRUNC(SUM(AB186:AB190)/2),-AD193&gt;TRUNC(SUM(AD186:AD190)/2),-AF193&gt;TRUNC(SUM(AF186:AF190)/2))</f>
        <v>0</v>
      </c>
      <c r="AN209" s="2785"/>
      <c r="AO209" s="2785"/>
      <c r="AP209" s="2785"/>
      <c r="AQ209" s="2786"/>
      <c r="AR209" s="2785"/>
      <c r="AS209" s="2785"/>
      <c r="AT209" s="2785"/>
      <c r="AU209" s="2787"/>
      <c r="AV209" s="2787"/>
      <c r="AW209" s="2787"/>
      <c r="AX209" s="2787"/>
      <c r="AY209" s="2785"/>
    </row>
    <row r="210" spans="1:51" ht="12.75" customHeight="1" x14ac:dyDescent="0.2">
      <c r="A210" s="2487"/>
      <c r="B210" s="2368">
        <f t="shared" si="44"/>
        <v>6</v>
      </c>
      <c r="C210" s="4325"/>
      <c r="D210" s="4271"/>
      <c r="E210" s="4272"/>
      <c r="F210" s="4272"/>
      <c r="G210" s="4272"/>
      <c r="H210" s="4272"/>
      <c r="I210" s="4272"/>
      <c r="J210" s="4272"/>
      <c r="K210" s="4272"/>
      <c r="L210" s="4272"/>
      <c r="M210" s="4272"/>
      <c r="N210" s="4272"/>
      <c r="O210" s="4272"/>
      <c r="P210" s="4272"/>
      <c r="Q210" s="4272"/>
      <c r="R210" s="4272"/>
      <c r="S210" s="4272"/>
      <c r="T210" s="4272"/>
      <c r="U210" s="4272"/>
      <c r="V210" s="4272"/>
      <c r="W210" s="4272"/>
      <c r="X210" s="4272"/>
      <c r="Y210" s="4272"/>
      <c r="Z210" s="4272"/>
      <c r="AA210" s="4272"/>
      <c r="AB210" s="4272"/>
      <c r="AC210" s="4272"/>
      <c r="AD210" s="4272"/>
      <c r="AE210" s="4272"/>
      <c r="AF210" s="4272"/>
      <c r="AG210" s="4273"/>
      <c r="AH210" s="2496"/>
      <c r="AI210" s="4328"/>
      <c r="AJ210" s="2785" t="s">
        <v>9616</v>
      </c>
      <c r="AK210" s="2785"/>
      <c r="AL210" s="2785"/>
      <c r="AM210" s="2785" t="b">
        <f>COUNTIF(D186:E190,"Primario")&gt;1</f>
        <v>0</v>
      </c>
      <c r="AN210" s="2785"/>
      <c r="AO210" s="2785"/>
      <c r="AP210" s="2785"/>
      <c r="AQ210" s="2786"/>
      <c r="AR210" s="2786"/>
      <c r="AS210" s="2786"/>
      <c r="AT210" s="2786"/>
      <c r="AU210" s="2787"/>
      <c r="AV210" s="2787"/>
      <c r="AW210" s="2787"/>
      <c r="AX210" s="2785"/>
      <c r="AY210" s="2785"/>
    </row>
    <row r="211" spans="1:51" ht="12.75" customHeight="1" x14ac:dyDescent="0.2">
      <c r="A211" s="2487"/>
      <c r="B211" s="2368">
        <f t="shared" si="44"/>
        <v>6</v>
      </c>
      <c r="C211" s="4325"/>
      <c r="D211" s="4271"/>
      <c r="E211" s="4272"/>
      <c r="F211" s="4272"/>
      <c r="G211" s="4272"/>
      <c r="H211" s="4272"/>
      <c r="I211" s="4272"/>
      <c r="J211" s="4272"/>
      <c r="K211" s="4272"/>
      <c r="L211" s="4272"/>
      <c r="M211" s="4272"/>
      <c r="N211" s="4272"/>
      <c r="O211" s="4272"/>
      <c r="P211" s="4272"/>
      <c r="Q211" s="4272"/>
      <c r="R211" s="4272"/>
      <c r="S211" s="4272"/>
      <c r="T211" s="4272"/>
      <c r="U211" s="4272"/>
      <c r="V211" s="4272"/>
      <c r="W211" s="4272"/>
      <c r="X211" s="4272"/>
      <c r="Y211" s="4272"/>
      <c r="Z211" s="4272"/>
      <c r="AA211" s="4272"/>
      <c r="AB211" s="4272"/>
      <c r="AC211" s="4272"/>
      <c r="AD211" s="4272"/>
      <c r="AE211" s="4272"/>
      <c r="AF211" s="4272"/>
      <c r="AG211" s="4273"/>
      <c r="AH211" s="2496"/>
      <c r="AI211" s="4328"/>
      <c r="AJ211" s="2785" t="s">
        <v>9599</v>
      </c>
      <c r="AK211" s="2785"/>
      <c r="AL211" s="2785"/>
      <c r="AM211" s="2785" t="b">
        <f>SUM(V193:AG193)&lt;&gt;Y191+ABS(AC191)*2/5+IF(S182="Si",3*P182,0)</f>
        <v>0</v>
      </c>
      <c r="AN211" s="2785"/>
      <c r="AO211" s="2785"/>
      <c r="AP211" s="2785"/>
      <c r="AQ211" s="2786"/>
      <c r="AR211" s="2786"/>
      <c r="AS211" s="2786"/>
      <c r="AT211" s="2786"/>
      <c r="AU211" s="2787"/>
      <c r="AV211" s="2787"/>
      <c r="AW211" s="2787"/>
      <c r="AX211" s="2785"/>
      <c r="AY211" s="2785"/>
    </row>
    <row r="212" spans="1:51" ht="13.5" customHeight="1" x14ac:dyDescent="0.2">
      <c r="A212" s="2487"/>
      <c r="B212" s="2368">
        <f t="shared" si="44"/>
        <v>6</v>
      </c>
      <c r="C212" s="4325"/>
      <c r="D212" s="4271"/>
      <c r="E212" s="4272"/>
      <c r="F212" s="4272"/>
      <c r="G212" s="4272"/>
      <c r="H212" s="4272"/>
      <c r="I212" s="4272"/>
      <c r="J212" s="4272"/>
      <c r="K212" s="4272"/>
      <c r="L212" s="4272"/>
      <c r="M212" s="4272"/>
      <c r="N212" s="4272"/>
      <c r="O212" s="4272"/>
      <c r="P212" s="4272"/>
      <c r="Q212" s="4272"/>
      <c r="R212" s="4272"/>
      <c r="S212" s="4272"/>
      <c r="T212" s="4272"/>
      <c r="U212" s="4272"/>
      <c r="V212" s="4272"/>
      <c r="W212" s="4272"/>
      <c r="X212" s="4272"/>
      <c r="Y212" s="4272"/>
      <c r="Z212" s="4272"/>
      <c r="AA212" s="4272"/>
      <c r="AB212" s="4272"/>
      <c r="AC212" s="4272"/>
      <c r="AD212" s="4272"/>
      <c r="AE212" s="4272"/>
      <c r="AF212" s="4272"/>
      <c r="AG212" s="4273"/>
      <c r="AH212" s="2496"/>
      <c r="AI212" s="4328"/>
      <c r="AJ212" s="2785" t="s">
        <v>9598</v>
      </c>
      <c r="AK212" s="2785"/>
      <c r="AL212" s="2785"/>
      <c r="AM212" s="2785" t="b">
        <f>AL199-AL200+AM199-AM200&lt;&gt;0</f>
        <v>0</v>
      </c>
      <c r="AN212" s="2787"/>
      <c r="AO212" s="2787"/>
      <c r="AP212" s="2787"/>
      <c r="AQ212" s="2787"/>
      <c r="AR212" s="2786"/>
      <c r="AS212" s="2786"/>
      <c r="AT212" s="2786"/>
      <c r="AU212" s="2787"/>
      <c r="AV212" s="2787"/>
      <c r="AW212" s="2787"/>
      <c r="AX212" s="2785"/>
      <c r="AY212" s="2785"/>
    </row>
    <row r="213" spans="1:51" ht="12.75" customHeight="1" thickBot="1" x14ac:dyDescent="0.25">
      <c r="A213" s="2487"/>
      <c r="B213" s="2368"/>
      <c r="C213" s="4326"/>
      <c r="D213" s="432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330"/>
      <c r="F213" s="4330"/>
      <c r="G213" s="4330"/>
      <c r="H213" s="4330"/>
      <c r="I213" s="4330"/>
      <c r="J213" s="4330"/>
      <c r="K213" s="4330"/>
      <c r="L213" s="4330"/>
      <c r="M213" s="4330"/>
      <c r="N213" s="4330"/>
      <c r="O213" s="4330"/>
      <c r="P213" s="4330"/>
      <c r="Q213" s="4330"/>
      <c r="R213" s="4330"/>
      <c r="S213" s="4330"/>
      <c r="T213" s="4330"/>
      <c r="U213" s="4330"/>
      <c r="V213" s="4330"/>
      <c r="W213" s="4330"/>
      <c r="X213" s="4330"/>
      <c r="Y213" s="4330"/>
      <c r="Z213" s="4330"/>
      <c r="AA213" s="4330"/>
      <c r="AB213" s="4330"/>
      <c r="AC213" s="4330"/>
      <c r="AD213" s="4330"/>
      <c r="AE213" s="4330"/>
      <c r="AF213" s="4330"/>
      <c r="AG213" s="4331"/>
      <c r="AH213" s="2496"/>
      <c r="AI213" s="4328"/>
      <c r="AJ213" s="2785" t="s">
        <v>9635</v>
      </c>
      <c r="AK213" s="2787"/>
      <c r="AL213" s="2787"/>
      <c r="AM213" s="2787" t="b">
        <f>ABS(SUM(N191:N193))&gt;(SUM(N186:N190)-10*Y191+AC191+IF(S182="Si",10*P182,0)+IF(COUNTIF(K186:M190,"Mantenido")&gt;0,P182*10)+MAX(IF(COUNTIF(K186:M190,"Sostenimiento Menor")&gt;0,P182*20)+IF(COUNTIF(K186:M190,"Sostenimiento Mayor")&gt;0,P182*30)))/2</f>
        <v>0</v>
      </c>
      <c r="AN213" s="2785"/>
      <c r="AO213" s="2785"/>
      <c r="AP213" s="2785"/>
      <c r="AQ213" s="2785"/>
      <c r="AR213" s="2786"/>
      <c r="AS213" s="2786"/>
      <c r="AT213" s="2786"/>
      <c r="AU213" s="2787"/>
      <c r="AV213" s="2787"/>
      <c r="AW213" s="2787"/>
      <c r="AX213" s="2785"/>
      <c r="AY213" s="2785"/>
    </row>
    <row r="214" spans="1:51" x14ac:dyDescent="0.2">
      <c r="A214" s="2487"/>
      <c r="B214" s="2368"/>
      <c r="C214" s="4232"/>
      <c r="D214" s="4232" t="str">
        <f>IFERROR(VLOOKUP(D195,'Tablas Técnicas'!$O$9:$T$88,2,FALSE),"")</f>
        <v/>
      </c>
      <c r="E214" s="4232"/>
      <c r="F214" s="4232"/>
      <c r="G214" s="4232"/>
      <c r="H214" s="4232"/>
      <c r="I214" s="4232"/>
      <c r="J214" s="4232" t="str">
        <f>IFERROR(VLOOKUP(J195,'Tablas Técnicas'!$O$9:$T$88,2,FALSE),"")</f>
        <v/>
      </c>
      <c r="K214" s="4232"/>
      <c r="L214" s="4232"/>
      <c r="M214" s="4232"/>
      <c r="N214" s="4232"/>
      <c r="O214" s="4232"/>
      <c r="P214" s="4232" t="str">
        <f>IFERROR(VLOOKUP(P195,'Tablas Técnicas'!$O$9:$T$88,2,FALSE),"")</f>
        <v/>
      </c>
      <c r="Q214" s="4232"/>
      <c r="R214" s="4232"/>
      <c r="S214" s="4232"/>
      <c r="T214" s="4232"/>
      <c r="U214" s="4232"/>
      <c r="V214" s="4232" t="str">
        <f>IFERROR(VLOOKUP(V195,'Tablas Técnicas'!$O$9:$T$88,2,FALSE),"")</f>
        <v/>
      </c>
      <c r="W214" s="4232"/>
      <c r="X214" s="4232"/>
      <c r="Y214" s="4232"/>
      <c r="Z214" s="4232"/>
      <c r="AA214" s="4232"/>
      <c r="AB214" s="4232" t="str">
        <f>IFERROR(VLOOKUP(AB195,'Tablas Técnicas'!$O$9:$T$88,2,FALSE),"")</f>
        <v/>
      </c>
      <c r="AC214" s="4232"/>
      <c r="AD214" s="4232"/>
      <c r="AE214" s="4232"/>
      <c r="AF214" s="4232"/>
      <c r="AG214" s="4232"/>
      <c r="AH214" s="2496"/>
      <c r="AI214" s="2188"/>
      <c r="AJ214" s="2785"/>
      <c r="AK214" s="2785"/>
      <c r="AL214" s="2785"/>
      <c r="AM214" s="2785"/>
      <c r="AN214" s="2785"/>
      <c r="AO214" s="2785"/>
      <c r="AP214" s="2785"/>
      <c r="AQ214" s="2785"/>
      <c r="AR214" s="2786"/>
      <c r="AS214" s="2786"/>
      <c r="AT214" s="2786"/>
      <c r="AU214" s="2787"/>
      <c r="AV214" s="2787"/>
      <c r="AW214" s="2787"/>
      <c r="AX214" s="2787"/>
      <c r="AY214" s="2785"/>
    </row>
    <row r="215" spans="1:51" ht="12" thickBot="1" x14ac:dyDescent="0.25">
      <c r="A215" s="2487"/>
      <c r="B215" s="2368"/>
      <c r="C215" s="4232"/>
      <c r="D215" s="2635"/>
      <c r="E215" s="2370"/>
      <c r="F215" s="2370"/>
      <c r="G215" s="2370"/>
      <c r="H215" s="2370"/>
      <c r="I215" s="2370"/>
      <c r="J215" s="2370"/>
      <c r="K215" s="2370"/>
      <c r="L215" s="2370"/>
      <c r="M215" s="2370"/>
      <c r="N215" s="2370"/>
      <c r="O215" s="2370"/>
      <c r="P215" s="2370"/>
      <c r="Q215" s="2370"/>
      <c r="R215" s="2370"/>
      <c r="S215" s="2370"/>
      <c r="T215" s="2370"/>
      <c r="U215" s="2370"/>
      <c r="V215" s="2636"/>
      <c r="W215" s="2636"/>
      <c r="X215" s="2636"/>
      <c r="Y215" s="2636"/>
      <c r="Z215" s="2636"/>
      <c r="AA215" s="2636"/>
      <c r="AB215" s="2636"/>
      <c r="AC215" s="2636"/>
      <c r="AD215" s="2636"/>
      <c r="AE215" s="2636"/>
      <c r="AF215" s="2370"/>
      <c r="AG215" s="2370"/>
      <c r="AH215" s="2496"/>
      <c r="AI215" s="2188"/>
      <c r="AJ215" s="2793"/>
      <c r="AK215" s="2793"/>
      <c r="AL215" s="2793"/>
      <c r="AM215" s="2793"/>
      <c r="AN215" s="2793"/>
      <c r="AO215" s="2793"/>
      <c r="AP215" s="2785"/>
      <c r="AQ215" s="2786"/>
      <c r="AR215" s="2787"/>
      <c r="AS215" s="2787"/>
      <c r="AT215" s="2787"/>
      <c r="AU215" s="2787"/>
      <c r="AV215" s="2787"/>
      <c r="AW215" s="2787"/>
      <c r="AX215" s="2787"/>
      <c r="AY215" s="2794"/>
    </row>
    <row r="216" spans="1:51" ht="11.25" customHeight="1" x14ac:dyDescent="0.2">
      <c r="A216" s="2487"/>
      <c r="B216" s="2368">
        <f t="shared" ref="B216:B246" si="53">1+B182</f>
        <v>7</v>
      </c>
      <c r="C216" s="4324" t="str">
        <f>"Técnica "&amp;B216</f>
        <v>Técnica 7</v>
      </c>
      <c r="D216" s="4318" t="s">
        <v>8999</v>
      </c>
      <c r="E216" s="4319"/>
      <c r="F216" s="4319"/>
      <c r="G216" s="4319"/>
      <c r="H216" s="4319"/>
      <c r="I216" s="4319"/>
      <c r="J216" s="4319"/>
      <c r="K216" s="4319"/>
      <c r="L216" s="4319"/>
      <c r="M216" s="4319"/>
      <c r="N216" s="4320"/>
      <c r="O216" s="4284" t="s">
        <v>1333</v>
      </c>
      <c r="P216" s="4286">
        <v>1</v>
      </c>
      <c r="Q216" s="4203" t="s">
        <v>9083</v>
      </c>
      <c r="R216" s="4280"/>
      <c r="S216" s="4282" t="s">
        <v>1389</v>
      </c>
      <c r="T216" s="4204" t="s">
        <v>1514</v>
      </c>
      <c r="U216" s="4268">
        <f>MAX(IF(P216=3,60,IF(P216=2,40,20)),MIN(IF(P216=3,200,IF(P216=2,100,50)),SUM(N220:N227)-10*Y225+AC225+IF(S216="Si",10*P216,0)+IF(COUNTIF(K220:M224,"Mantenido")&gt;0,P216*10)+MAX(IF(COUNTIF(K220:M224,"Sostenimiento Menor")&gt;0,P216*20)+IF(COUNTIF(K220:M224,"Sostenimiento Mayor")&gt;0,P216*30))))</f>
        <v>20</v>
      </c>
      <c r="V216" s="4203" t="s">
        <v>9084</v>
      </c>
      <c r="W216" s="4204"/>
      <c r="X216" s="4207" t="str">
        <f>IFERROR(LEFT(AK232&amp;AL232&amp;AM232&amp;AN232&amp;AO232&amp;AP232,LEN(AK232&amp;AL232&amp;AM232&amp;AN232&amp;AO232&amp;AP232)-2),"")</f>
        <v/>
      </c>
      <c r="Y216" s="4207"/>
      <c r="Z216" s="4207"/>
      <c r="AA216" s="4207"/>
      <c r="AB216" s="4207"/>
      <c r="AC216" s="4207"/>
      <c r="AD216" s="4207"/>
      <c r="AE216" s="4207"/>
      <c r="AF216" s="4207"/>
      <c r="AG216" s="4208"/>
      <c r="AH216" s="2496"/>
      <c r="AI216" s="4328"/>
      <c r="AJ216" s="2790" t="s">
        <v>9632</v>
      </c>
      <c r="AK216" s="2790"/>
      <c r="AL216" s="2790"/>
      <c r="AM216" s="2790"/>
      <c r="AN216" s="2790"/>
      <c r="AO216" s="2790"/>
      <c r="AP216" s="2790"/>
      <c r="AQ216" s="2790"/>
      <c r="AR216" s="2790"/>
      <c r="AS216" s="2785"/>
      <c r="AT216" s="2785"/>
      <c r="AU216" s="2785"/>
      <c r="AV216" s="2785"/>
      <c r="AW216" s="2787"/>
      <c r="AX216" s="2787"/>
      <c r="AY216" s="2785"/>
    </row>
    <row r="217" spans="1:51" ht="11.25" customHeight="1" x14ac:dyDescent="0.2">
      <c r="A217" s="2487"/>
      <c r="B217" s="2368">
        <f t="shared" si="53"/>
        <v>7</v>
      </c>
      <c r="C217" s="4325"/>
      <c r="D217" s="4321"/>
      <c r="E217" s="4322"/>
      <c r="F217" s="4322"/>
      <c r="G217" s="4322"/>
      <c r="H217" s="4322"/>
      <c r="I217" s="4322"/>
      <c r="J217" s="4322"/>
      <c r="K217" s="4322"/>
      <c r="L217" s="4322"/>
      <c r="M217" s="4322"/>
      <c r="N217" s="4323"/>
      <c r="O217" s="4285"/>
      <c r="P217" s="4283"/>
      <c r="Q217" s="4205"/>
      <c r="R217" s="4281"/>
      <c r="S217" s="4283"/>
      <c r="T217" s="4206"/>
      <c r="U217" s="4269"/>
      <c r="V217" s="4205"/>
      <c r="W217" s="4206"/>
      <c r="X217" s="4209"/>
      <c r="Y217" s="4209"/>
      <c r="Z217" s="4209"/>
      <c r="AA217" s="4209"/>
      <c r="AB217" s="4209"/>
      <c r="AC217" s="4209"/>
      <c r="AD217" s="4209"/>
      <c r="AE217" s="4209"/>
      <c r="AF217" s="4209"/>
      <c r="AG217" s="4210"/>
      <c r="AH217" s="2496"/>
      <c r="AI217" s="4328"/>
      <c r="AJ217" s="2790"/>
      <c r="AK217" s="2790" t="s">
        <v>9633</v>
      </c>
      <c r="AL217" s="2790" t="s">
        <v>10237</v>
      </c>
      <c r="AM217" s="2791"/>
      <c r="AN217" s="2791"/>
      <c r="AO217" s="2791"/>
      <c r="AP217" s="2791"/>
      <c r="AQ217" s="2791"/>
      <c r="AR217" s="2790"/>
      <c r="AS217" s="2785"/>
      <c r="AT217" s="2785"/>
      <c r="AU217" s="2785"/>
      <c r="AV217" s="2785"/>
      <c r="AW217" s="2787"/>
      <c r="AX217" s="4327" t="s">
        <v>9602</v>
      </c>
      <c r="AY217" s="4327"/>
    </row>
    <row r="218" spans="1:51" ht="12" customHeight="1" x14ac:dyDescent="0.2">
      <c r="A218" s="2487"/>
      <c r="B218" s="2368">
        <f t="shared" si="53"/>
        <v>7</v>
      </c>
      <c r="C218" s="4325"/>
      <c r="D218" s="4213" t="s">
        <v>2910</v>
      </c>
      <c r="E218" s="4214"/>
      <c r="F218" s="4214"/>
      <c r="G218" s="4214"/>
      <c r="H218" s="4214"/>
      <c r="I218" s="4214"/>
      <c r="J218" s="4214"/>
      <c r="K218" s="4290" t="s">
        <v>9935</v>
      </c>
      <c r="L218" s="4290"/>
      <c r="M218" s="4290"/>
      <c r="N218" s="4214" t="s">
        <v>1508</v>
      </c>
      <c r="O218" s="4290" t="s">
        <v>2908</v>
      </c>
      <c r="P218" s="4290" t="s">
        <v>9085</v>
      </c>
      <c r="Q218" s="4214" t="s">
        <v>1372</v>
      </c>
      <c r="R218" s="4214"/>
      <c r="S218" s="4214"/>
      <c r="T218" s="4214"/>
      <c r="U218" s="4214"/>
      <c r="V218" s="4202" t="s">
        <v>1381</v>
      </c>
      <c r="W218" s="4185"/>
      <c r="X218" s="4202" t="s">
        <v>1506</v>
      </c>
      <c r="Y218" s="4287"/>
      <c r="Z218" s="4185" t="s">
        <v>1386</v>
      </c>
      <c r="AA218" s="4185"/>
      <c r="AB218" s="4202" t="s">
        <v>1391</v>
      </c>
      <c r="AC218" s="4287"/>
      <c r="AD218" s="4185" t="s">
        <v>1399</v>
      </c>
      <c r="AE218" s="4185"/>
      <c r="AF218" s="4202" t="s">
        <v>1400</v>
      </c>
      <c r="AG218" s="4186"/>
      <c r="AH218" s="2496"/>
      <c r="AI218" s="4328"/>
      <c r="AJ218" s="2785"/>
      <c r="AK218" s="2785"/>
      <c r="AL218" s="2785" t="s">
        <v>9910</v>
      </c>
      <c r="AM218" s="2785"/>
      <c r="AN218" s="2785"/>
      <c r="AO218" s="2785"/>
      <c r="AP218" s="2785"/>
      <c r="AQ218" s="2785"/>
      <c r="AR218" s="2787"/>
      <c r="AS218" s="2787" t="s">
        <v>9622</v>
      </c>
      <c r="AT218" s="2787" t="s">
        <v>9623</v>
      </c>
      <c r="AU218" s="2785" t="s">
        <v>9611</v>
      </c>
      <c r="AV218" s="2785" t="s">
        <v>9612</v>
      </c>
      <c r="AW218" s="2787" t="s">
        <v>1508</v>
      </c>
      <c r="AX218" s="2787" t="s">
        <v>9087</v>
      </c>
      <c r="AY218" s="2785" t="s">
        <v>9088</v>
      </c>
    </row>
    <row r="219" spans="1:51" ht="12.75" customHeight="1" x14ac:dyDescent="0.2">
      <c r="A219" s="2487"/>
      <c r="B219" s="2368">
        <f t="shared" si="53"/>
        <v>7</v>
      </c>
      <c r="C219" s="4325"/>
      <c r="D219" s="4288"/>
      <c r="E219" s="4289"/>
      <c r="F219" s="4289"/>
      <c r="G219" s="4289"/>
      <c r="H219" s="4289"/>
      <c r="I219" s="4289"/>
      <c r="J219" s="4289"/>
      <c r="K219" s="4291"/>
      <c r="L219" s="4291"/>
      <c r="M219" s="4291"/>
      <c r="N219" s="4215"/>
      <c r="O219" s="4291"/>
      <c r="P219" s="4292"/>
      <c r="Q219" s="4215"/>
      <c r="R219" s="4215"/>
      <c r="S219" s="4215"/>
      <c r="T219" s="4215"/>
      <c r="U219" s="4215"/>
      <c r="V219" s="2373" t="s">
        <v>9601</v>
      </c>
      <c r="W219" s="2488" t="s">
        <v>2914</v>
      </c>
      <c r="X219" s="2373" t="s">
        <v>9601</v>
      </c>
      <c r="Y219" s="2488" t="s">
        <v>2914</v>
      </c>
      <c r="Z219" s="2373" t="s">
        <v>9601</v>
      </c>
      <c r="AA219" s="2488" t="s">
        <v>2914</v>
      </c>
      <c r="AB219" s="2373" t="s">
        <v>9601</v>
      </c>
      <c r="AC219" s="2488" t="s">
        <v>2914</v>
      </c>
      <c r="AD219" s="2373" t="s">
        <v>9601</v>
      </c>
      <c r="AE219" s="2488" t="s">
        <v>2914</v>
      </c>
      <c r="AF219" s="2373" t="s">
        <v>9601</v>
      </c>
      <c r="AG219" s="2195" t="s">
        <v>2914</v>
      </c>
      <c r="AH219" s="2496"/>
      <c r="AI219" s="4328"/>
      <c r="AJ219" s="2785"/>
      <c r="AK219" s="2785" t="s">
        <v>9603</v>
      </c>
      <c r="AL219" s="2785">
        <v>1</v>
      </c>
      <c r="AM219" s="2785">
        <v>2</v>
      </c>
      <c r="AN219" s="2785">
        <v>3</v>
      </c>
      <c r="AO219" s="2785">
        <v>4</v>
      </c>
      <c r="AP219" s="2785">
        <v>5</v>
      </c>
      <c r="AQ219" s="2785">
        <v>6</v>
      </c>
      <c r="AR219" s="2785">
        <v>7</v>
      </c>
      <c r="AS219" s="2787"/>
      <c r="AT219" s="2785" t="s">
        <v>9634</v>
      </c>
      <c r="AU219" s="2787"/>
      <c r="AV219" s="2787"/>
      <c r="AW219" s="2787" t="s">
        <v>9634</v>
      </c>
      <c r="AX219" s="2787"/>
      <c r="AY219" s="2785"/>
    </row>
    <row r="220" spans="1:51" ht="12.75" customHeight="1" x14ac:dyDescent="0.2">
      <c r="A220" s="2487"/>
      <c r="B220" s="2368">
        <f t="shared" si="53"/>
        <v>7</v>
      </c>
      <c r="C220" s="4325"/>
      <c r="D220" s="4293" t="s">
        <v>9089</v>
      </c>
      <c r="E220" s="4294"/>
      <c r="F220" s="4295"/>
      <c r="G220" s="4296"/>
      <c r="H220" s="4296"/>
      <c r="I220" s="4296"/>
      <c r="J220" s="4240"/>
      <c r="K220" s="4297" t="s">
        <v>1464</v>
      </c>
      <c r="L220" s="4298"/>
      <c r="M220" s="4299"/>
      <c r="N220" s="2374">
        <f>IF(AW220&gt;0,IF(VLOOKUP(F220,'Tablas Técnicas'!$O$9:$X$88,10,0),MAX(5,AW220-5),AW220),0)</f>
        <v>0</v>
      </c>
      <c r="O220" s="2374" t="str">
        <f>AS220&amp;" / "&amp;AT220</f>
        <v>0 / 0</v>
      </c>
      <c r="P220" s="2374" t="str">
        <f t="array" ref="P220">W220+Y220+AA220+AC220+AE220+AG220&amp;" / "&amp;IF(K220&lt;&gt;"Mantenido",0,SUM(IF($AL220:$AR220='Tablas Técnicas'!$L$10:$L$643,'Tablas Técnicas'!$H$10:$H$643,0)))</f>
        <v>0 / 0</v>
      </c>
      <c r="Q220" s="4300" t="str">
        <f>IFERROR(VLOOKUP(F220,'Tablas Técnicas'!$O$9:$T$88,5,FALSE),"")</f>
        <v/>
      </c>
      <c r="R220" s="4300"/>
      <c r="S220" s="4300"/>
      <c r="T220" s="4300"/>
      <c r="U220" s="4300"/>
      <c r="V220" s="2324"/>
      <c r="W220" s="2325"/>
      <c r="X220" s="2324"/>
      <c r="Y220" s="2326"/>
      <c r="Z220" s="2327"/>
      <c r="AA220" s="2325"/>
      <c r="AB220" s="2324"/>
      <c r="AC220" s="2326"/>
      <c r="AD220" s="2327"/>
      <c r="AE220" s="2325"/>
      <c r="AF220" s="2324"/>
      <c r="AG220" s="2328"/>
      <c r="AH220" s="2496"/>
      <c r="AI220" s="4328"/>
      <c r="AJ220" s="2785">
        <v>1</v>
      </c>
      <c r="AK220" s="2785">
        <f>P216</f>
        <v>1</v>
      </c>
      <c r="AL220" s="2785" t="str">
        <f>IF(AND(ISNUMBER(MATCH($F220,'Tablas Técnicas'!$L$10:$L$643,0)),INDEX($D233:$D239,Tablas!A$1)="",COUNTIF(AM220:$AS220,$F220)=0),$F220,IF(INDEX($D233:$D239,Tablas!A$1)="","",$F220&amp;INDEX($D233:$D239,Tablas!A$1)))</f>
        <v/>
      </c>
      <c r="AM220" s="2785" t="str">
        <f>IF(AND(ISNUMBER(MATCH($F220,'Tablas Técnicas'!$L$10:$L$643,0)),INDEX($D233:$D239,Tablas!B$1)="",COUNTIF(AN220:$AS220,$F220)=0),$F220,IF(INDEX($D233:$D239,Tablas!B$1)="","",$F220&amp;INDEX($D233:$D239,Tablas!B$1)))</f>
        <v/>
      </c>
      <c r="AN220" s="2785" t="str">
        <f>IF(AND(ISNUMBER(MATCH($F220,'Tablas Técnicas'!$L$10:$L$643,0)),INDEX($D233:$D239,Tablas!C$1)="",COUNTIF(AO220:$AS220,$F220)=0),$F220,IF(INDEX($D233:$D239,Tablas!C$1)="","",$F220&amp;INDEX($D233:$D239,Tablas!C$1)))</f>
        <v/>
      </c>
      <c r="AO220" s="2785" t="str">
        <f>IF(AND(ISNUMBER(MATCH($F220,'Tablas Técnicas'!$L$10:$L$643,0)),INDEX($D233:$D239,Tablas!D$1)="",COUNTIF(AP220:$AS220,$F220)=0),$F220,IF(INDEX($D233:$D239,Tablas!D$1)="","",$F220&amp;INDEX($D233:$D239,Tablas!D$1)))</f>
        <v/>
      </c>
      <c r="AP220" s="2785" t="str">
        <f>IF(AND(ISNUMBER(MATCH($F220,'Tablas Técnicas'!$L$10:$L$643,0)),INDEX($D233:$D239,Tablas!E$1)="",COUNTIF(AQ220:$AS220,$F220)=0),$F220,IF(INDEX($D233:$D239,Tablas!E$1)="","",$F220&amp;INDEX($D233:$D239,Tablas!E$1)))</f>
        <v/>
      </c>
      <c r="AQ220" s="2785" t="str">
        <f>IF(AND(ISNUMBER(MATCH($F220,'Tablas Técnicas'!$L$10:$L$643,0)),INDEX($D233:$D239,Tablas!F$1)="",COUNTIF(AR220:$AS220,$F220)=0),$F220,IF(INDEX($D233:$D239,Tablas!F$1)="","",$F220&amp;INDEX($D233:$D239,Tablas!F$1)))</f>
        <v/>
      </c>
      <c r="AR220" s="2785" t="str">
        <f>IF(AND(ISNUMBER(MATCH($F220,'Tablas Técnicas'!$L$10:$L$643,0)),INDEX($D233:$D239,Tablas!G$1)="",COUNTIF(AS220:$AS220,$F220)=0),$F220,IF(INDEX($D233:$D239,Tablas!G$1)="","",$F220&amp;INDEX($D233:$D239,Tablas!G$1)))</f>
        <v/>
      </c>
      <c r="AS220" s="2787">
        <f>V220+X220+Z220+AB220+AD220+AF220</f>
        <v>0</v>
      </c>
      <c r="AT220" s="2787">
        <f t="array" ref="AT220">SUM(IF($AL220:$AR220='Tablas Técnicas'!$L$10:$L$643,IF(D220="Primario",'Tablas Técnicas'!$E$10:$E$643,'Tablas Técnicas'!$F$10:$F$643)+IF(K220="Sostenimiento menor",'Tablas Técnicas'!$I$10:$I$643,IF(K220="sostenimiento mayor",'Tablas Técnicas'!$J$10:$J$643,0)),0),0)+VALUE(RIGHT(P220,2))+AU220+AV220</f>
        <v>0</v>
      </c>
      <c r="AU220" s="278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7">
        <f>(COUNTIF(AL220:AR220,"*Estado añadido:*")-1)*COUNTIF(AL220:AR220,"*Estado añadido:*")</f>
        <v>0</v>
      </c>
      <c r="AW220" s="2787">
        <f t="array" ref="AW220">SUM(IF($AL220:$AR220='Tablas Técnicas'!$L$10:$L$643,'Tablas Técnicas'!$G$10:$G$643,0))</f>
        <v>0</v>
      </c>
      <c r="AX220" s="2785"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5" t="str">
        <f t="shared" ref="AY220:AY222" si="54">IFERROR(LEFT(AX220,LEN(AX220)-2)&amp;"), ","")</f>
        <v/>
      </c>
    </row>
    <row r="221" spans="1:51" ht="12.75" customHeight="1" x14ac:dyDescent="0.2">
      <c r="A221" s="2487"/>
      <c r="B221" s="2368">
        <f t="shared" si="53"/>
        <v>7</v>
      </c>
      <c r="C221" s="4325"/>
      <c r="D221" s="4221" t="s">
        <v>526</v>
      </c>
      <c r="E221" s="4222"/>
      <c r="F221" s="4304"/>
      <c r="G221" s="4305"/>
      <c r="H221" s="4305"/>
      <c r="I221" s="4305"/>
      <c r="J221" s="4249"/>
      <c r="K221" s="4306" t="s">
        <v>1464</v>
      </c>
      <c r="L221" s="4307"/>
      <c r="M221" s="4308"/>
      <c r="N221" s="2192">
        <f>IF(AW221&gt;0,IF(VLOOKUP(F221,'Tablas Técnicas'!$O$9:$X$88,10,0),MAX(5,AW221-5),AW221),0)</f>
        <v>0</v>
      </c>
      <c r="O221" s="2192" t="str">
        <f>AS221&amp;" / "&amp;AT221</f>
        <v>0 / 0</v>
      </c>
      <c r="P221" s="2192" t="str">
        <f t="array" ref="P221">W221+Y221+AA221+AC221+AE221+AG221&amp;" / "&amp;IF(K221&lt;&gt;"Mantenido",0,SUM(IF($AL221:$AR221='Tablas Técnicas'!$L$10:$L$643,'Tablas Técnicas'!$H$10:$H$643,0)))</f>
        <v>0 / 0</v>
      </c>
      <c r="Q221" s="4223" t="str">
        <f>IFERROR(VLOOKUP(F221,'Tablas Técnicas'!$O$9:$T$88,5,FALSE),"")</f>
        <v/>
      </c>
      <c r="R221" s="4223"/>
      <c r="S221" s="4223"/>
      <c r="T221" s="4223"/>
      <c r="U221" s="4223"/>
      <c r="V221" s="2329"/>
      <c r="W221" s="2330"/>
      <c r="X221" s="2329"/>
      <c r="Y221" s="2331"/>
      <c r="Z221" s="2332"/>
      <c r="AA221" s="2330"/>
      <c r="AB221" s="2329"/>
      <c r="AC221" s="2331"/>
      <c r="AD221" s="2332"/>
      <c r="AE221" s="2330"/>
      <c r="AF221" s="2329"/>
      <c r="AG221" s="2333"/>
      <c r="AH221" s="2496"/>
      <c r="AI221" s="4328"/>
      <c r="AJ221" s="2785">
        <v>2</v>
      </c>
      <c r="AK221" s="2785">
        <f>P216</f>
        <v>1</v>
      </c>
      <c r="AL221" s="2785" t="str">
        <f>IF(AND(ISNUMBER(MATCH($F221,'Tablas Técnicas'!$L$10:$L$643,0)),INDEX($J233:$J239,Tablas!A$1)="",COUNTIF(AM221:$AS221,$F221)=0),$F221,IF(INDEX($J233:$J239,Tablas!A$1)="","",$F221&amp;INDEX($J233:$J239,Tablas!A$1)))</f>
        <v/>
      </c>
      <c r="AM221" s="2785" t="str">
        <f>IF(AND(ISNUMBER(MATCH($F221,'Tablas Técnicas'!$L$10:$L$643,0)),INDEX($J233:$J239,Tablas!B$1)="",COUNTIF(AN221:$AS221,$F221)=0),$F221,IF(INDEX($J233:$J239,Tablas!B$1)="","",$F221&amp;INDEX($J233:$J239,Tablas!B$1)))</f>
        <v/>
      </c>
      <c r="AN221" s="2785" t="str">
        <f>IF(AND(ISNUMBER(MATCH($F221,'Tablas Técnicas'!$L$10:$L$643,0)),INDEX($J233:$J239,Tablas!C$1)="",COUNTIF(AO221:$AS221,$F221)=0),$F221,IF(INDEX($J233:$J239,Tablas!C$1)="","",$F221&amp;INDEX($J233:$J239,Tablas!C$1)))</f>
        <v/>
      </c>
      <c r="AO221" s="2785" t="str">
        <f>IF(AND(ISNUMBER(MATCH($F221,'Tablas Técnicas'!$L$10:$L$643,0)),INDEX($J233:$J239,Tablas!D$1)="",COUNTIF(AP221:$AS221,$F221)=0),$F221,IF(INDEX($J233:$J239,Tablas!D$1)="","",$F221&amp;INDEX($J233:$J239,Tablas!D$1)))</f>
        <v/>
      </c>
      <c r="AP221" s="2785" t="str">
        <f>IF(AND(ISNUMBER(MATCH($F221,'Tablas Técnicas'!$L$10:$L$643,0)),INDEX($J233:$J239,Tablas!E$1)="",COUNTIF(AQ221:$AS221,$F221)=0),$F221,IF(INDEX($J233:$J239,Tablas!E$1)="","",$F221&amp;INDEX($J233:$J239,Tablas!E$1)))</f>
        <v/>
      </c>
      <c r="AQ221" s="2785" t="str">
        <f>IF(AND(ISNUMBER(MATCH($F221,'Tablas Técnicas'!$L$10:$L$643,0)),INDEX($J233:$J239,Tablas!F$1)="",COUNTIF(AR221:$AS221,$F221)=0),$F221,IF(INDEX($J233:$J239,Tablas!F$1)="","",$F221&amp;INDEX($J233:$J239,Tablas!F$1)))</f>
        <v/>
      </c>
      <c r="AR221" s="2785" t="str">
        <f>IF(AND(ISNUMBER(MATCH($F221,'Tablas Técnicas'!$L$10:$L$643,0)),INDEX($J233:$J239,Tablas!G$1)="",COUNTIF(AS221:$AS221,$F221)=0),$F221,IF(INDEX($J233:$J239,Tablas!G$1)="","",$F221&amp;INDEX($J233:$J239,Tablas!G$1)))</f>
        <v/>
      </c>
      <c r="AS221" s="2787">
        <f>V221+X221+Z221+AB221+AD221+AF221</f>
        <v>0</v>
      </c>
      <c r="AT221" s="2787">
        <f t="array" ref="AT221">SUM(IF($AL221:$AR221='Tablas Técnicas'!$L$10:$L$643,IF(D221="Primario",'Tablas Técnicas'!$E$10:$E$643,'Tablas Técnicas'!$F$10:$F$643)+IF(K221="Sostenimiento menor",'Tablas Técnicas'!$I$10:$I$643,IF(K221="sostenimiento mayor",'Tablas Técnicas'!$J$10:$J$643,0)),0),0)+VALUE(RIGHT(P221,2))+AU221+AV221</f>
        <v>0</v>
      </c>
      <c r="AU221" s="278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7">
        <f>(COUNTIF(AL221:AR221,"*Estado añadido:*")-1)*COUNTIF(AL221:AR221,"*Estado añadido:*")</f>
        <v>0</v>
      </c>
      <c r="AW221" s="2787">
        <f t="array" ref="AW221">SUM(IF($AL221:$AR221='Tablas Técnicas'!$L$10:$L$643,'Tablas Técnicas'!$G$10:$G$643,0))</f>
        <v>0</v>
      </c>
      <c r="AX221" s="2785"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5" t="str">
        <f t="shared" si="54"/>
        <v/>
      </c>
    </row>
    <row r="222" spans="1:51" ht="12.75" customHeight="1" x14ac:dyDescent="0.2">
      <c r="A222" s="2487"/>
      <c r="B222" s="2368">
        <f t="shared" si="53"/>
        <v>7</v>
      </c>
      <c r="C222" s="4325"/>
      <c r="D222" s="4312" t="s">
        <v>526</v>
      </c>
      <c r="E222" s="4313"/>
      <c r="F222" s="4227"/>
      <c r="G222" s="4228"/>
      <c r="H222" s="4228"/>
      <c r="I222" s="4228"/>
      <c r="J222" s="4229"/>
      <c r="K222" s="4309" t="s">
        <v>1464</v>
      </c>
      <c r="L222" s="4310"/>
      <c r="M222" s="4311"/>
      <c r="N222" s="2188">
        <f>IF(AW222&gt;0,IF(VLOOKUP(F222,'Tablas Técnicas'!$O$9:$X$88,10,0),MAX(5,AW222-5),AW222),0)</f>
        <v>0</v>
      </c>
      <c r="O222" s="2188" t="str">
        <f>AS222&amp;" / "&amp;AT222</f>
        <v>0 / 0</v>
      </c>
      <c r="P222" s="2188" t="str">
        <f t="array" ref="P222">W222+Y222+AA222+AC222+AE222+AG222&amp;" / "&amp;IF(K222&lt;&gt;"Mantenido",0,SUM(IF($AL222:$AR222='Tablas Técnicas'!$L$10:$L$643,'Tablas Técnicas'!$H$10:$H$643,0)))</f>
        <v>0 / 0</v>
      </c>
      <c r="Q222" s="4314" t="str">
        <f>IFERROR(VLOOKUP(F222,'Tablas Técnicas'!$O$9:$T$88,5,FALSE),"")</f>
        <v/>
      </c>
      <c r="R222" s="4314"/>
      <c r="S222" s="4314"/>
      <c r="T222" s="4314"/>
      <c r="U222" s="4314"/>
      <c r="V222" s="2334"/>
      <c r="W222" s="2335"/>
      <c r="X222" s="2334"/>
      <c r="Y222" s="2336"/>
      <c r="Z222" s="2337"/>
      <c r="AA222" s="2335"/>
      <c r="AB222" s="2334"/>
      <c r="AC222" s="2336"/>
      <c r="AD222" s="2337"/>
      <c r="AE222" s="2335"/>
      <c r="AF222" s="2334"/>
      <c r="AG222" s="2338"/>
      <c r="AH222" s="2496"/>
      <c r="AI222" s="4328"/>
      <c r="AJ222" s="2785">
        <v>3</v>
      </c>
      <c r="AK222" s="2785">
        <f>P216</f>
        <v>1</v>
      </c>
      <c r="AL222" s="2785" t="str">
        <f>IF(AND(ISNUMBER(MATCH($F222,'Tablas Técnicas'!$L$10:$L$643,0)),INDEX($P233:$P239,Tablas!A$1)="",COUNTIF(AM222:$AS222,$F222)=0),$F222,IF(INDEX($P233:$P239,Tablas!A$1)="","",$F222&amp;INDEX($P233:$P239,Tablas!A$1)))</f>
        <v/>
      </c>
      <c r="AM222" s="2785" t="str">
        <f>IF(AND(ISNUMBER(MATCH($F222,'Tablas Técnicas'!$L$10:$L$643,0)),INDEX($P233:$P239,Tablas!B$1)="",COUNTIF(AN222:$AS222,$F222)=0),$F222,IF(INDEX($P233:$P239,Tablas!B$1)="","",$F222&amp;INDEX($P233:$P239,Tablas!B$1)))</f>
        <v/>
      </c>
      <c r="AN222" s="2785" t="str">
        <f>IF(AND(ISNUMBER(MATCH($F222,'Tablas Técnicas'!$L$10:$L$643,0)),INDEX($P233:$P239,Tablas!C$1)="",COUNTIF(AO222:$AS222,$F222)=0),$F222,IF(INDEX($P233:$P239,Tablas!C$1)="","",$F222&amp;INDEX($P233:$P239,Tablas!C$1)))</f>
        <v/>
      </c>
      <c r="AO222" s="2785" t="str">
        <f>IF(AND(ISNUMBER(MATCH($F222,'Tablas Técnicas'!$L$10:$L$643,0)),INDEX($P233:$P239,Tablas!D$1)="",COUNTIF(AP222:$AS222,$F222)=0),$F222,IF(INDEX($P233:$P239,Tablas!D$1)="","",$F222&amp;INDEX($P233:$P239,Tablas!D$1)))</f>
        <v/>
      </c>
      <c r="AP222" s="2785" t="str">
        <f>IF(AND(ISNUMBER(MATCH($F222,'Tablas Técnicas'!$L$10:$L$643,0)),INDEX($P233:$P239,Tablas!E$1)="",COUNTIF(AQ222:$AS222,$F222)=0),$F222,IF(INDEX($P233:$P239,Tablas!E$1)="","",$F222&amp;INDEX($P233:$P239,Tablas!E$1)))</f>
        <v/>
      </c>
      <c r="AQ222" s="2785" t="str">
        <f>IF(AND(ISNUMBER(MATCH($F222,'Tablas Técnicas'!$L$10:$L$643,0)),INDEX($P233:$P239,Tablas!F$1)="",COUNTIF(AR222:$AS222,$F222)=0),$F222,IF(INDEX($P233:$P239,Tablas!F$1)="","",$F222&amp;INDEX($P233:$P239,Tablas!F$1)))</f>
        <v/>
      </c>
      <c r="AR222" s="2785" t="str">
        <f>IF(AND(ISNUMBER(MATCH($F222,'Tablas Técnicas'!$L$10:$L$643,0)),INDEX($P233:$P239,Tablas!G$1)="",COUNTIF(AS222:$AS222,$F222)=0),$F222,IF(INDEX($P233:$P239,Tablas!G$1)="","",$F222&amp;INDEX($P233:$P239,Tablas!G$1)))</f>
        <v/>
      </c>
      <c r="AS222" s="2787">
        <f>V222+X222+Z222+AB222+AD222+AF222</f>
        <v>0</v>
      </c>
      <c r="AT222" s="2787">
        <f t="array" ref="AT222">SUM(IF($AL222:$AR222='Tablas Técnicas'!$L$10:$L$643,IF(D222="Primario",'Tablas Técnicas'!$E$10:$E$643,'Tablas Técnicas'!$F$10:$F$643)+IF(K222="Sostenimiento menor",'Tablas Técnicas'!$I$10:$I$643,IF(K222="sostenimiento mayor",'Tablas Técnicas'!$J$10:$J$643,0)),0),0)+VALUE(RIGHT(P222,2))+AU222+AV222</f>
        <v>0</v>
      </c>
      <c r="AU222" s="278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7">
        <f>(COUNTIF(AL222:AR222,"*Estado añadido:*")-1)*COUNTIF(AL222:AR222,"*Estado añadido:*")</f>
        <v>0</v>
      </c>
      <c r="AW222" s="2787">
        <f t="array" ref="AW222">SUM(IF($AL222:$AR222='Tablas Técnicas'!$L$10:$L$643,'Tablas Técnicas'!$G$10:$G$643,0))</f>
        <v>0</v>
      </c>
      <c r="AX222" s="2785" t="str">
        <f t="shared" si="55"/>
        <v/>
      </c>
      <c r="AY222" s="2785" t="str">
        <f t="shared" si="54"/>
        <v/>
      </c>
    </row>
    <row r="223" spans="1:51" ht="12.75" customHeight="1" x14ac:dyDescent="0.2">
      <c r="A223" s="2487"/>
      <c r="B223" s="2368">
        <f t="shared" si="53"/>
        <v>7</v>
      </c>
      <c r="C223" s="4325"/>
      <c r="D223" s="4221" t="s">
        <v>526</v>
      </c>
      <c r="E223" s="4222"/>
      <c r="F223" s="4304"/>
      <c r="G223" s="4305"/>
      <c r="H223" s="4305"/>
      <c r="I223" s="4305"/>
      <c r="J223" s="4249"/>
      <c r="K223" s="4306" t="s">
        <v>1464</v>
      </c>
      <c r="L223" s="4307"/>
      <c r="M223" s="4308"/>
      <c r="N223" s="2192">
        <f>IF(AW223&gt;0,IF(VLOOKUP(F223,'Tablas Técnicas'!$O$9:$X$88,10,0),MAX(5,AW223-5),AW223),0)</f>
        <v>0</v>
      </c>
      <c r="O223" s="2192" t="str">
        <f>AS223&amp;" / "&amp;AT223</f>
        <v>0 / 0</v>
      </c>
      <c r="P223" s="2192" t="str">
        <f t="array" ref="P223">W223+Y223+AA223+AC223+AE223+AG223&amp;" / "&amp;IF(K223&lt;&gt;"Mantenido",0,SUM(IF($AL223:$AR223='Tablas Técnicas'!$L$10:$L$643,'Tablas Técnicas'!$H$10:$H$643,0)))</f>
        <v>0 / 0</v>
      </c>
      <c r="Q223" s="4223" t="str">
        <f>IFERROR(VLOOKUP(F223,'Tablas Técnicas'!$O$9:$T$88,5,FALSE),"")</f>
        <v/>
      </c>
      <c r="R223" s="4223"/>
      <c r="S223" s="4223"/>
      <c r="T223" s="4223"/>
      <c r="U223" s="4223"/>
      <c r="V223" s="2329"/>
      <c r="W223" s="2330"/>
      <c r="X223" s="2329"/>
      <c r="Y223" s="2331"/>
      <c r="Z223" s="2332"/>
      <c r="AA223" s="2330"/>
      <c r="AB223" s="2329"/>
      <c r="AC223" s="2331"/>
      <c r="AD223" s="2332"/>
      <c r="AE223" s="2330"/>
      <c r="AF223" s="2329"/>
      <c r="AG223" s="2333"/>
      <c r="AH223" s="2496"/>
      <c r="AI223" s="4328"/>
      <c r="AJ223" s="2785">
        <v>4</v>
      </c>
      <c r="AK223" s="2785">
        <f>P216</f>
        <v>1</v>
      </c>
      <c r="AL223" s="2785" t="str">
        <f>IF(AND(ISNUMBER(MATCH($F223,'Tablas Técnicas'!$L$10:$L$643,0)),INDEX($V233:$V239,Tablas!A$1)="",COUNTIF(AM223:$AS223,$F223)=0),$F223,IF(INDEX($V233:$V239,Tablas!A$1)="","",$F223&amp;INDEX($V233:$V239,Tablas!A$1)))</f>
        <v/>
      </c>
      <c r="AM223" s="2785" t="str">
        <f>IF(AND(ISNUMBER(MATCH($F223,'Tablas Técnicas'!$L$10:$L$643,0)),INDEX($V233:$V239,Tablas!B$1)="",COUNTIF(AN223:$AS223,$F223)=0),$F223,IF(INDEX($V233:$V239,Tablas!B$1)="","",$F223&amp;INDEX($V233:$V239,Tablas!B$1)))</f>
        <v/>
      </c>
      <c r="AN223" s="2785" t="str">
        <f>IF(AND(ISNUMBER(MATCH($F223,'Tablas Técnicas'!$L$10:$L$643,0)),INDEX($V233:$V239,Tablas!C$1)="",COUNTIF(AO223:$AS223,$F223)=0),$F223,IF(INDEX($V233:$V239,Tablas!C$1)="","",$F223&amp;INDEX($V233:$V239,Tablas!C$1)))</f>
        <v/>
      </c>
      <c r="AO223" s="2785" t="str">
        <f>IF(AND(ISNUMBER(MATCH($F223,'Tablas Técnicas'!$L$10:$L$643,0)),INDEX($V233:$V239,Tablas!D$1)="",COUNTIF(AP223:$AS223,$F223)=0),$F223,IF(INDEX($V233:$V239,Tablas!D$1)="","",$F223&amp;INDEX($V233:$V239,Tablas!D$1)))</f>
        <v/>
      </c>
      <c r="AP223" s="2785" t="str">
        <f>IF(AND(ISNUMBER(MATCH($F223,'Tablas Técnicas'!$L$10:$L$643,0)),INDEX($V233:$V239,Tablas!E$1)="",COUNTIF(AQ223:$AS223,$F223)=0),$F223,IF(INDEX($V233:$V239,Tablas!E$1)="","",$F223&amp;INDEX($V233:$V239,Tablas!E$1)))</f>
        <v/>
      </c>
      <c r="AQ223" s="2785" t="str">
        <f>IF(AND(ISNUMBER(MATCH($F223,'Tablas Técnicas'!$L$10:$L$643,0)),INDEX($V233:$V239,Tablas!F$1)="",COUNTIF(AR223:$AS223,$F223)=0),$F223,IF(INDEX($V233:$V239,Tablas!F$1)="","",$F223&amp;INDEX($V233:$V239,Tablas!F$1)))</f>
        <v/>
      </c>
      <c r="AR223" s="2785" t="str">
        <f>IF(AND(ISNUMBER(MATCH($F223,'Tablas Técnicas'!$L$10:$L$643,0)),INDEX($V233:$V239,Tablas!G$1)="",COUNTIF(AS223:$AS223,$F223)=0),$F223,IF(INDEX($V233:$V239,Tablas!G$1)="","",$F223&amp;INDEX($V233:$V239,Tablas!G$1)))</f>
        <v/>
      </c>
      <c r="AS223" s="2787">
        <f>V223+X223+Z223+AB223+AD223+AF223</f>
        <v>0</v>
      </c>
      <c r="AT223" s="2787">
        <f t="array" ref="AT223">SUM(IF($AL223:$AR223='Tablas Técnicas'!$L$10:$L$643,IF(D223="Primario",'Tablas Técnicas'!$E$10:$E$643,'Tablas Técnicas'!$F$10:$F$643)+IF(K223="Sostenimiento menor",'Tablas Técnicas'!$I$10:$I$643,IF(K223="sostenimiento mayor",'Tablas Técnicas'!$J$10:$J$643,0)),0),0)+VALUE(RIGHT(P223,2))+AU223+AV223</f>
        <v>0</v>
      </c>
      <c r="AU223" s="278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7">
        <f>(COUNTIF(AL223:AR223,"*Estado añadido:*")-1)*COUNTIF(AL223:AR223,"*Estado añadido:*")</f>
        <v>0</v>
      </c>
      <c r="AW223" s="2787">
        <f t="array" ref="AW223">SUM(IF($AL223:$AR223='Tablas Técnicas'!$L$10:$L$643,'Tablas Técnicas'!$G$10:$G$643,0))</f>
        <v>0</v>
      </c>
      <c r="AX223" s="2785" t="str">
        <f t="shared" si="55"/>
        <v/>
      </c>
      <c r="AY223" s="2785" t="str">
        <f>IFERROR(LEFT(AX223,LEN(AX223)-2)&amp;"), ","")</f>
        <v/>
      </c>
    </row>
    <row r="224" spans="1:51" ht="12.75" customHeight="1" thickBot="1" x14ac:dyDescent="0.25">
      <c r="A224" s="2487"/>
      <c r="B224" s="2368">
        <f t="shared" si="53"/>
        <v>7</v>
      </c>
      <c r="C224" s="4325"/>
      <c r="D224" s="4224" t="s">
        <v>526</v>
      </c>
      <c r="E224" s="4225"/>
      <c r="F224" s="4315"/>
      <c r="G224" s="4316"/>
      <c r="H224" s="4316"/>
      <c r="I224" s="4316"/>
      <c r="J224" s="4317"/>
      <c r="K224" s="4301" t="s">
        <v>1464</v>
      </c>
      <c r="L224" s="4302"/>
      <c r="M224" s="4303"/>
      <c r="N224" s="2489">
        <f>IF(AW224&gt;0,IF(VLOOKUP(F224,'Tablas Técnicas'!$O$9:$X$88,10,0),MAX(5,AW224-5),AW224),0)</f>
        <v>0</v>
      </c>
      <c r="O224" s="2489" t="str">
        <f>AS224&amp;" / "&amp;AT224</f>
        <v>0 / 0</v>
      </c>
      <c r="P224" s="2489" t="str">
        <f t="array" ref="P224">W224+Y224+AA224+AC224+AE224+AG224&amp;" / "&amp;IF(K224&lt;&gt;"Mantenido",0,SUM(IF($AL224:$AR224='Tablas Técnicas'!$L$10:$L$643,'Tablas Técnicas'!$H$10:$H$643,0)))</f>
        <v>0 / 0</v>
      </c>
      <c r="Q224" s="4226" t="str">
        <f>IFERROR(VLOOKUP(F224,'Tablas Técnicas'!$O$9:$T$88,5,FALSE),"")</f>
        <v/>
      </c>
      <c r="R224" s="4226"/>
      <c r="S224" s="4226"/>
      <c r="T224" s="4226"/>
      <c r="U224" s="4226"/>
      <c r="V224" s="2339"/>
      <c r="W224" s="2340"/>
      <c r="X224" s="2339"/>
      <c r="Y224" s="2341"/>
      <c r="Z224" s="2342"/>
      <c r="AA224" s="2340"/>
      <c r="AB224" s="2339"/>
      <c r="AC224" s="2341"/>
      <c r="AD224" s="2342"/>
      <c r="AE224" s="2340"/>
      <c r="AF224" s="2339"/>
      <c r="AG224" s="2343"/>
      <c r="AH224" s="2496"/>
      <c r="AI224" s="4328"/>
      <c r="AJ224" s="2785">
        <v>5</v>
      </c>
      <c r="AK224" s="2785">
        <f>P216</f>
        <v>1</v>
      </c>
      <c r="AL224" s="2785" t="str">
        <f>IF(AND(ISNUMBER(MATCH($F224,'Tablas Técnicas'!$L$10:$L$643,0)),INDEX($AB233:$AB239,Tablas!A$1)="",COUNTIF(AM224:$AS224,$F224)=0),$F224,IF(INDEX($AB233:$AB239,Tablas!A$1)="","",$F224&amp;INDEX($AB233:$AB239,Tablas!A$1)))</f>
        <v/>
      </c>
      <c r="AM224" s="2785" t="str">
        <f>IF(AND(ISNUMBER(MATCH($F224,'Tablas Técnicas'!$L$10:$L$643,0)),INDEX($AB233:$AB239,Tablas!B$1)="",COUNTIF(AN224:$AS224,$F224)=0),$F224,IF(INDEX($AB233:$AB239,Tablas!B$1)="","",$F224&amp;INDEX($AB233:$AB239,Tablas!B$1)))</f>
        <v/>
      </c>
      <c r="AN224" s="2785" t="str">
        <f>IF(AND(ISNUMBER(MATCH($F224,'Tablas Técnicas'!$L$10:$L$643,0)),INDEX($AB233:$AB239,Tablas!C$1)="",COUNTIF(AO224:$AS224,$F224)=0),$F224,IF(INDEX($AB233:$AB239,Tablas!C$1)="","",$F224&amp;INDEX($AB233:$AB239,Tablas!C$1)))</f>
        <v/>
      </c>
      <c r="AO224" s="2785" t="str">
        <f>IF(AND(ISNUMBER(MATCH($F224,'Tablas Técnicas'!$L$10:$L$643,0)),INDEX($AB233:$AB239,Tablas!D$1)="",COUNTIF(AP224:$AS224,$F224)=0),$F224,IF(INDEX($AB233:$AB239,Tablas!D$1)="","",$F224&amp;INDEX($AB233:$AB239,Tablas!D$1)))</f>
        <v/>
      </c>
      <c r="AP224" s="2785" t="str">
        <f>IF(AND(ISNUMBER(MATCH($F224,'Tablas Técnicas'!$L$10:$L$643,0)),INDEX($AB233:$AB239,Tablas!E$1)="",COUNTIF(AQ224:$AS224,$F224)=0),$F224,IF(INDEX($AB233:$AB239,Tablas!E$1)="","",$F224&amp;INDEX($AB233:$AB239,Tablas!E$1)))</f>
        <v/>
      </c>
      <c r="AQ224" s="2785" t="str">
        <f>IF(AND(ISNUMBER(MATCH($F224,'Tablas Técnicas'!$L$10:$L$643,0)),INDEX($AB233:$AB239,Tablas!F$1)="",COUNTIF(AR224:$AS224,$F224)=0),$F224,IF(INDEX($AB233:$AB239,Tablas!F$1)="","",$F224&amp;INDEX($AB233:$AB239,Tablas!F$1)))</f>
        <v/>
      </c>
      <c r="AR224" s="2785" t="str">
        <f>IF(AND(ISNUMBER(MATCH($F224,'Tablas Técnicas'!$L$10:$L$643,0)),INDEX($AB233:$AB239,Tablas!G$1)="",COUNTIF(AS224:$AS224,$F224)=0),$F224,IF(INDEX($AB233:$AB239,Tablas!G$1)="","",$F224&amp;INDEX($AB233:$AB239,Tablas!G$1)))</f>
        <v/>
      </c>
      <c r="AS224" s="2787">
        <f>V224+X224+Z224+AB224+AD224+AF224</f>
        <v>0</v>
      </c>
      <c r="AT224" s="2787">
        <f t="array" ref="AT224">SUM(IF($AL224:$AR224='Tablas Técnicas'!$L$10:$L$643,IF(D224="Primario",'Tablas Técnicas'!$E$10:$E$643,'Tablas Técnicas'!$F$10:$F$643)+IF(K224="Sostenimiento menor",'Tablas Técnicas'!$I$10:$I$643,IF(K224="sostenimiento mayor",'Tablas Técnicas'!$J$10:$J$643,0)),0),0)+VALUE(RIGHT(P224,2))+AU224+AV224</f>
        <v>0</v>
      </c>
      <c r="AU224" s="278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7">
        <f>(COUNTIF(AL224:AR224,"*Estado añadido:*")-1)*COUNTIF(AL224:AR224,"*Estado añadido:*")</f>
        <v>0</v>
      </c>
      <c r="AW224" s="2787">
        <f t="array" ref="AW224">SUM(IF($AL224:$AR224='Tablas Técnicas'!$L$10:$L$643,'Tablas Técnicas'!$G$10:$G$643,0))</f>
        <v>0</v>
      </c>
      <c r="AX224" s="2785" t="str">
        <f t="shared" si="55"/>
        <v/>
      </c>
      <c r="AY224" s="2785" t="str">
        <f t="shared" ref="AY224" si="56">IFERROR(LEFT(AX224,LEN(AX224)-2)&amp;"), ","")</f>
        <v/>
      </c>
    </row>
    <row r="225" spans="1:51" ht="12.75" customHeight="1" x14ac:dyDescent="0.2">
      <c r="A225" s="2487"/>
      <c r="B225" s="2368">
        <f t="shared" si="53"/>
        <v>7</v>
      </c>
      <c r="C225" s="4325"/>
      <c r="D225" s="4274" t="s">
        <v>2905</v>
      </c>
      <c r="E225" s="4275"/>
      <c r="F225" s="4264"/>
      <c r="G225" s="4265"/>
      <c r="H225" s="4265"/>
      <c r="I225" s="4265"/>
      <c r="J225" s="4266"/>
      <c r="K225" s="4240"/>
      <c r="L225" s="4241"/>
      <c r="M225" s="4242"/>
      <c r="N225" s="2196" t="str">
        <f>IFERROR(INDEX('Tablas Técnicas'!$Q$200:$Q$299,MATCH(F225&amp;K225,'Tablas Técnicas'!$S$200:$S$299,0)),"")</f>
        <v/>
      </c>
      <c r="O225" s="4243"/>
      <c r="P225" s="4244"/>
      <c r="Q225" s="4245"/>
      <c r="R225" s="4244"/>
      <c r="S225" s="2374" t="str">
        <f>IFERROR("Nivel: "&amp;MAX(1,INDEX('Tablas Técnicas'!$R$200:$R$299,MATCH(F225&amp;K225,'Tablas Técnicas'!$S$200:$S$299,0))),"")</f>
        <v/>
      </c>
      <c r="T225" s="2197"/>
      <c r="U225" s="2198" t="str">
        <f>IFERROR("("&amp;VLOOKUP(F225,'Tablas Técnicas'!$V$199:$X$225,3,FALSE)&amp;")","")</f>
        <v/>
      </c>
      <c r="V225" s="4187" t="s">
        <v>9924</v>
      </c>
      <c r="W225" s="4188"/>
      <c r="X225" s="4189"/>
      <c r="Y225" s="2666">
        <v>0</v>
      </c>
      <c r="Z225" s="4190" t="s">
        <v>9094</v>
      </c>
      <c r="AA225" s="4191"/>
      <c r="AB225" s="4192"/>
      <c r="AC225" s="2666">
        <v>0</v>
      </c>
      <c r="AD225" s="4193" t="str">
        <f>"Ki sin repartir: "&amp;AL233-AL234&amp;IF(AM233=0,""," ("&amp;AM233-AM234&amp;")")</f>
        <v>Ki sin repartir: 0</v>
      </c>
      <c r="AE225" s="4194"/>
      <c r="AF225" s="4194"/>
      <c r="AG225" s="4195"/>
      <c r="AH225" s="2496"/>
      <c r="AI225" s="4328"/>
      <c r="AJ225" s="2785">
        <v>1</v>
      </c>
      <c r="AK225" s="2785">
        <f>P216</f>
        <v>1</v>
      </c>
      <c r="AL225" s="2785" t="e">
        <f>VLOOKUP(F225,'Tablas Técnicas'!$V$199:$X$221,2,FALSE)</f>
        <v>#N/A</v>
      </c>
      <c r="AM225" s="2785"/>
      <c r="AN225" s="2786"/>
      <c r="AO225" s="2785"/>
      <c r="AP225" s="2785"/>
      <c r="AQ225" s="2786"/>
      <c r="AR225" s="2785"/>
      <c r="AS225" s="2785"/>
      <c r="AT225" s="2785"/>
      <c r="AU225" s="2785"/>
      <c r="AV225" s="2785"/>
      <c r="AW225" s="2787"/>
      <c r="AX225" s="2787"/>
      <c r="AY225" s="2785" t="str">
        <f>IF(F225="","",F225&amp;IF(K225="",""," ("&amp;IF(F225="Atadura Elemental",O225&amp;IF(Q225="","",", "&amp;Q225),K225)&amp;")")&amp;", ")</f>
        <v/>
      </c>
    </row>
    <row r="226" spans="1:51" ht="11.25" customHeight="1" x14ac:dyDescent="0.2">
      <c r="A226" s="2487"/>
      <c r="B226" s="2368">
        <f t="shared" si="53"/>
        <v>7</v>
      </c>
      <c r="C226" s="4325"/>
      <c r="D226" s="4276"/>
      <c r="E226" s="4277"/>
      <c r="F226" s="4246"/>
      <c r="G226" s="4247"/>
      <c r="H226" s="4247"/>
      <c r="I226" s="4247"/>
      <c r="J226" s="4248"/>
      <c r="K226" s="4249"/>
      <c r="L226" s="4250"/>
      <c r="M226" s="4251"/>
      <c r="N226" s="2199" t="str">
        <f>IFERROR(INDEX('Tablas Técnicas'!$Q$200:$Q$299,MATCH(F226&amp;K226,'Tablas Técnicas'!$S$200:$S$299,0)),"")</f>
        <v/>
      </c>
      <c r="O226" s="4252"/>
      <c r="P226" s="4253"/>
      <c r="Q226" s="4254"/>
      <c r="R226" s="4253"/>
      <c r="S226" s="2192" t="str">
        <f>IFERROR("Nivel: "&amp;MAX(1,INDEX('Tablas Técnicas'!$R$200:$R$299,MATCH(F226&amp;K226,'Tablas Técnicas'!$S$200:$S$299,0))),"")</f>
        <v/>
      </c>
      <c r="T226" s="2302"/>
      <c r="U226" s="2191" t="str">
        <f>IFERROR("("&amp;VLOOKUP(F226,'Tablas Técnicas'!$V$199:$X$225,3,FALSE)&amp;")","")</f>
        <v/>
      </c>
      <c r="V226" s="4184" t="str">
        <f>"Mod. "&amp;V218</f>
        <v>Mod. AGI</v>
      </c>
      <c r="W226" s="4185"/>
      <c r="X226" s="4184" t="str">
        <f t="shared" ref="X226" si="57">"Mod. "&amp;X218</f>
        <v>Mod. CON</v>
      </c>
      <c r="Y226" s="4185"/>
      <c r="Z226" s="4184" t="str">
        <f t="shared" ref="Z226" si="58">"Mod. "&amp;Z218</f>
        <v>Mod. DES</v>
      </c>
      <c r="AA226" s="4185"/>
      <c r="AB226" s="4184" t="str">
        <f t="shared" ref="AB226" si="59">"Mod. "&amp;AB218</f>
        <v>Mod. FUE</v>
      </c>
      <c r="AC226" s="4185"/>
      <c r="AD226" s="4184" t="str">
        <f t="shared" ref="AD226" si="60">"Mod. "&amp;AD218</f>
        <v>Mod. POD</v>
      </c>
      <c r="AE226" s="4185"/>
      <c r="AF226" s="4184" t="str">
        <f t="shared" ref="AF226" si="61">"Mod. "&amp;AF218</f>
        <v>Mod. VOL</v>
      </c>
      <c r="AG226" s="4186"/>
      <c r="AH226" s="2496"/>
      <c r="AI226" s="4328"/>
      <c r="AJ226" s="2785">
        <v>2</v>
      </c>
      <c r="AK226" s="2785">
        <f>P216</f>
        <v>1</v>
      </c>
      <c r="AL226" s="2785" t="e">
        <f>VLOOKUP(F226,'Tablas Técnicas'!$V$199:$X$221,2,FALSE)</f>
        <v>#N/A</v>
      </c>
      <c r="AM226" s="2785"/>
      <c r="AN226" s="2786"/>
      <c r="AO226" s="2785"/>
      <c r="AP226" s="2785"/>
      <c r="AQ226" s="2786"/>
      <c r="AR226" s="2785"/>
      <c r="AS226" s="2785"/>
      <c r="AT226" s="2785"/>
      <c r="AU226" s="2785"/>
      <c r="AV226" s="2785"/>
      <c r="AW226" s="2787"/>
      <c r="AX226" s="2787"/>
      <c r="AY226" s="2785" t="str">
        <f>IF(F226="","",F226&amp;IF(K226="",""," ("&amp;IF(F226="Atadura Elemental",O226&amp;IF(Q226="","",", "&amp;Q226),K226)&amp;")")&amp;", ")</f>
        <v/>
      </c>
    </row>
    <row r="227" spans="1:51" ht="12.75" customHeight="1" thickBot="1" x14ac:dyDescent="0.25">
      <c r="A227" s="2487"/>
      <c r="B227" s="2368">
        <f t="shared" si="53"/>
        <v>7</v>
      </c>
      <c r="C227" s="4325"/>
      <c r="D227" s="4278"/>
      <c r="E227" s="4279"/>
      <c r="F227" s="4255"/>
      <c r="G227" s="4256"/>
      <c r="H227" s="4256"/>
      <c r="I227" s="4256"/>
      <c r="J227" s="4257"/>
      <c r="K227" s="4258"/>
      <c r="L227" s="4259"/>
      <c r="M227" s="4260"/>
      <c r="N227" s="2200" t="str">
        <f>IFERROR(INDEX('Tablas Técnicas'!$Q$200:$Q$299,MATCH(F227&amp;K227,'Tablas Técnicas'!$S$200:$S$299,0)),"")</f>
        <v/>
      </c>
      <c r="O227" s="4261"/>
      <c r="P227" s="4262"/>
      <c r="Q227" s="4263"/>
      <c r="R227" s="4262"/>
      <c r="S227" s="2489" t="str">
        <f>IFERROR("Nivel: "&amp;MAX(1,INDEX('Tablas Técnicas'!$R$200:$R$299,MATCH(F227&amp;K227,'Tablas Técnicas'!$S$200:$S$299,0))),"")</f>
        <v/>
      </c>
      <c r="T227" s="2490"/>
      <c r="U227" s="2303" t="str">
        <f>IFERROR("("&amp;VLOOKUP(F227,'Tablas Técnicas'!$V$199:$X$225,3,FALSE)&amp;")","")</f>
        <v/>
      </c>
      <c r="V227" s="4199"/>
      <c r="W227" s="4198"/>
      <c r="X227" s="4198"/>
      <c r="Y227" s="4198"/>
      <c r="Z227" s="4198"/>
      <c r="AA227" s="4198"/>
      <c r="AB227" s="4198"/>
      <c r="AC227" s="4198"/>
      <c r="AD227" s="4198"/>
      <c r="AE227" s="4198"/>
      <c r="AF227" s="4198"/>
      <c r="AG227" s="4267"/>
      <c r="AH227" s="2496"/>
      <c r="AI227" s="4328"/>
      <c r="AJ227" s="2785">
        <v>3</v>
      </c>
      <c r="AK227" s="2785">
        <f>P216</f>
        <v>1</v>
      </c>
      <c r="AL227" s="2785" t="e">
        <f>VLOOKUP(F227,'Tablas Técnicas'!$V$199:$X$221,2,FALSE)</f>
        <v>#N/A</v>
      </c>
      <c r="AM227" s="2785"/>
      <c r="AN227" s="2786"/>
      <c r="AO227" s="2785"/>
      <c r="AP227" s="2785"/>
      <c r="AQ227" s="2786"/>
      <c r="AR227" s="2787"/>
      <c r="AS227" s="2787"/>
      <c r="AT227" s="2787"/>
      <c r="AU227" s="2787"/>
      <c r="AV227" s="2787"/>
      <c r="AW227" s="2787"/>
      <c r="AX227" s="2787"/>
      <c r="AY227" s="2785" t="str">
        <f>IF(F227="","",F227&amp;IF(K227="",""," ("&amp;IF(F227="Atadura Elemental",O227&amp;IF(Q227="","",", "&amp;Q227),K227)&amp;")")&amp;", ")</f>
        <v/>
      </c>
    </row>
    <row r="228" spans="1:51" ht="12.75" customHeight="1" x14ac:dyDescent="0.2">
      <c r="A228" s="2487"/>
      <c r="B228" s="2368">
        <f t="shared" si="53"/>
        <v>7</v>
      </c>
      <c r="C228" s="4325"/>
      <c r="D228" s="4213" t="s">
        <v>9596</v>
      </c>
      <c r="E228" s="4214"/>
      <c r="F228" s="4214"/>
      <c r="G228" s="4214"/>
      <c r="H228" s="4214"/>
      <c r="I228" s="4214"/>
      <c r="J228" s="4214"/>
      <c r="K228" s="4214"/>
      <c r="L228" s="4214"/>
      <c r="M228" s="4214"/>
      <c r="N228" s="4214"/>
      <c r="O228" s="4214"/>
      <c r="P228" s="4214"/>
      <c r="Q228" s="4214"/>
      <c r="R228" s="4214"/>
      <c r="S228" s="4214"/>
      <c r="T228" s="4214"/>
      <c r="U228" s="4214"/>
      <c r="V228" s="4215"/>
      <c r="W228" s="4215"/>
      <c r="X228" s="4215"/>
      <c r="Y228" s="4215"/>
      <c r="Z228" s="4215"/>
      <c r="AA228" s="4215"/>
      <c r="AB228" s="4215"/>
      <c r="AC228" s="4215"/>
      <c r="AD228" s="4215"/>
      <c r="AE228" s="4215"/>
      <c r="AF228" s="4215"/>
      <c r="AG228" s="4216"/>
      <c r="AH228" s="2496"/>
      <c r="AI228" s="4328"/>
      <c r="AJ228" s="2785"/>
      <c r="AK228" s="2785"/>
      <c r="AL228" s="2785"/>
      <c r="AM228" s="2785"/>
      <c r="AN228" s="2786" t="s">
        <v>9095</v>
      </c>
      <c r="AO228" s="2785" t="e">
        <f>LEFT(AY220&amp;AY221&amp;AY222&amp;AY223&amp;AY224,LEN(AY220&amp;AY221&amp;AY222&amp;AY223&amp;AY224)-2)</f>
        <v>#VALUE!</v>
      </c>
      <c r="AP228" s="2785"/>
      <c r="AQ228" s="2786"/>
      <c r="AR228" s="2787"/>
      <c r="AS228" s="2787"/>
      <c r="AT228" s="2787"/>
      <c r="AU228" s="2786"/>
      <c r="AV228" s="2786"/>
      <c r="AW228" s="2787"/>
      <c r="AX228" s="2787"/>
      <c r="AY228" s="2785"/>
    </row>
    <row r="229" spans="1:51" ht="12.75" customHeight="1" x14ac:dyDescent="0.2">
      <c r="A229" s="2487"/>
      <c r="B229" s="2368">
        <f t="shared" si="53"/>
        <v>7</v>
      </c>
      <c r="C229" s="4325"/>
      <c r="D229" s="4217" t="str">
        <f>IF(F220="","",F220)</f>
        <v/>
      </c>
      <c r="E229" s="4211"/>
      <c r="F229" s="4211"/>
      <c r="G229" s="4211"/>
      <c r="H229" s="4211"/>
      <c r="I229" s="4218"/>
      <c r="J229" s="4217" t="str">
        <f>IF(F221="","",F221)</f>
        <v/>
      </c>
      <c r="K229" s="4211"/>
      <c r="L229" s="4211"/>
      <c r="M229" s="4211"/>
      <c r="N229" s="4211"/>
      <c r="O229" s="4218"/>
      <c r="P229" s="4211" t="str">
        <f>IF(F222="","",F222)</f>
        <v/>
      </c>
      <c r="Q229" s="4211"/>
      <c r="R229" s="4211"/>
      <c r="S229" s="4211"/>
      <c r="T229" s="4211"/>
      <c r="U229" s="4218"/>
      <c r="V229" s="4217" t="str">
        <f>IF(F223="","",F223)</f>
        <v/>
      </c>
      <c r="W229" s="4211"/>
      <c r="X229" s="4211"/>
      <c r="Y229" s="4211"/>
      <c r="Z229" s="4211"/>
      <c r="AA229" s="4218"/>
      <c r="AB229" s="4211" t="str">
        <f>IF(F224="","",F224)</f>
        <v/>
      </c>
      <c r="AC229" s="4211"/>
      <c r="AD229" s="4211"/>
      <c r="AE229" s="4211"/>
      <c r="AF229" s="4211"/>
      <c r="AG229" s="4212"/>
      <c r="AH229" s="2496"/>
      <c r="AI229" s="4328"/>
      <c r="AJ229" s="2785"/>
      <c r="AK229" s="2785"/>
      <c r="AL229" s="2785"/>
      <c r="AM229" s="2785"/>
      <c r="AN229" s="2786" t="s">
        <v>9096</v>
      </c>
      <c r="AO229" s="2785" t="e">
        <f>LEFT(AY225&amp;AY226&amp;AY227,LEN(AY225&amp;AY226&amp;AY227)-2)</f>
        <v>#VALUE!</v>
      </c>
      <c r="AP229" s="2785"/>
      <c r="AQ229" s="2786"/>
      <c r="AR229" s="2787"/>
      <c r="AS229" s="2787"/>
      <c r="AT229" s="2787"/>
      <c r="AU229" s="2786"/>
      <c r="AV229" s="2786"/>
      <c r="AW229" s="2787"/>
      <c r="AX229" s="2787"/>
      <c r="AY229" s="2785"/>
    </row>
    <row r="230" spans="1:51" ht="12.75" customHeight="1" x14ac:dyDescent="0.2">
      <c r="A230" s="2487"/>
      <c r="B230" s="2368">
        <f t="shared" si="53"/>
        <v>7</v>
      </c>
      <c r="C230" s="4325"/>
      <c r="D230" s="2312" t="s">
        <v>1845</v>
      </c>
      <c r="E230" s="2188" t="str">
        <f>IFERROR(VLOOKUP(D229,'Tablas Técnicas'!$O$9:$T$88,3,FALSE),"")</f>
        <v/>
      </c>
      <c r="F230" s="2305"/>
      <c r="G230" s="2304"/>
      <c r="H230" s="2304" t="s">
        <v>1371</v>
      </c>
      <c r="I230" s="2188" t="str">
        <f>IFERROR(VLOOKUP(D229,'Tablas Técnicas'!$O$9:$T$88,4,FALSE),"")</f>
        <v/>
      </c>
      <c r="J230" s="2312" t="s">
        <v>1845</v>
      </c>
      <c r="K230" s="2188" t="str">
        <f>IFERROR(VLOOKUP(J229,'Tablas Técnicas'!$O$9:$T$88,3,FALSE),"")</f>
        <v/>
      </c>
      <c r="L230" s="2305"/>
      <c r="M230" s="2304"/>
      <c r="N230" s="2304" t="s">
        <v>1371</v>
      </c>
      <c r="O230" s="2201" t="str">
        <f>IFERROR(VLOOKUP(J229,'Tablas Técnicas'!$O$9:$T$88,4,FALSE),"")</f>
        <v/>
      </c>
      <c r="P230" s="2304" t="s">
        <v>1845</v>
      </c>
      <c r="Q230" s="2188" t="str">
        <f>IFERROR(VLOOKUP(P229,'Tablas Técnicas'!$O$9:$T$88,3,FALSE),"")</f>
        <v/>
      </c>
      <c r="R230" s="2305"/>
      <c r="S230" s="2304"/>
      <c r="T230" s="2304" t="s">
        <v>1371</v>
      </c>
      <c r="U230" s="2188" t="str">
        <f>IFERROR(VLOOKUP(P229,'Tablas Técnicas'!$O$9:$T$88,4,FALSE),"")</f>
        <v/>
      </c>
      <c r="V230" s="2312" t="s">
        <v>1845</v>
      </c>
      <c r="W230" s="2188" t="str">
        <f>IFERROR(VLOOKUP(V229,'Tablas Técnicas'!$O$9:$T$88,3,FALSE),"")</f>
        <v/>
      </c>
      <c r="X230" s="2305"/>
      <c r="Y230" s="2304"/>
      <c r="Z230" s="2304" t="s">
        <v>1371</v>
      </c>
      <c r="AA230" s="2201" t="str">
        <f>IFERROR(VLOOKUP(V229,'Tablas Técnicas'!$O$9:$T$88,4,FALSE),"")</f>
        <v/>
      </c>
      <c r="AB230" s="2304" t="s">
        <v>1845</v>
      </c>
      <c r="AC230" s="2188" t="str">
        <f>IFERROR(VLOOKUP(AB229,'Tablas Técnicas'!$O$9:$T$88,3,FALSE),"")</f>
        <v/>
      </c>
      <c r="AD230" s="2305"/>
      <c r="AE230" s="2304"/>
      <c r="AF230" s="2304" t="s">
        <v>1371</v>
      </c>
      <c r="AG230" s="2202" t="str">
        <f>IFERROR(VLOOKUP(AB229,'Tablas Técnicas'!$O$9:$T$88,4,FALSE),"")</f>
        <v/>
      </c>
      <c r="AH230" s="2496"/>
      <c r="AI230" s="4328"/>
      <c r="AJ230" s="2785"/>
      <c r="AK230" s="2785"/>
      <c r="AL230" s="2785"/>
      <c r="AM230" s="2785"/>
      <c r="AN230" s="2786"/>
      <c r="AO230" s="2785"/>
      <c r="AP230" s="2785"/>
      <c r="AQ230" s="2786"/>
      <c r="AR230" s="2787"/>
      <c r="AS230" s="2787"/>
      <c r="AT230" s="2787"/>
      <c r="AU230" s="2787"/>
      <c r="AV230" s="2787"/>
      <c r="AW230" s="2787"/>
      <c r="AX230" s="2787"/>
      <c r="AY230" s="2785"/>
    </row>
    <row r="231" spans="1:51" ht="12.75" customHeight="1" x14ac:dyDescent="0.2">
      <c r="A231" s="2487"/>
      <c r="B231" s="2368">
        <f t="shared" si="53"/>
        <v>7</v>
      </c>
      <c r="C231" s="4325"/>
      <c r="D231" s="2313" t="s">
        <v>9097</v>
      </c>
      <c r="E231" s="2304"/>
      <c r="F231" s="2305"/>
      <c r="G231" s="2306"/>
      <c r="H231" s="2306"/>
      <c r="I231" s="2303" t="str">
        <f>IFERROR(IF(D229="Ataque Elemental",IF(NOT(ISNA(VLOOKUP(D233,'Tablas Técnicas'!$Z$25:$Z$30,1,0))),D233,"Variable"),VLOOKUP(D229,'Tablas Técnicas'!$O$9:$W$88,9,FALSE)),"")</f>
        <v/>
      </c>
      <c r="J231" s="2203" t="s">
        <v>9097</v>
      </c>
      <c r="K231" s="2491"/>
      <c r="L231" s="2492"/>
      <c r="M231" s="2493"/>
      <c r="N231" s="2493"/>
      <c r="O231" s="2204" t="str">
        <f>IFERROR(IF(J229="Ataque Elemental",IF(NOT(ISNA(VLOOKUP(J233,'Tablas Técnicas'!$Z$25:$Z$30,1,0))),J233,"Variable"),VLOOKUP(J229,'Tablas Técnicas'!$O$9:$W$88,9,FALSE)),"")</f>
        <v/>
      </c>
      <c r="P231" s="2494" t="s">
        <v>9097</v>
      </c>
      <c r="Q231" s="2491"/>
      <c r="R231" s="2492"/>
      <c r="S231" s="2493"/>
      <c r="T231" s="2493"/>
      <c r="U231" s="2303" t="str">
        <f>IFERROR(IF(P229="Ataque Elemental",IF(NOT(ISNA(VLOOKUP(P233,'Tablas Técnicas'!$Z$25:$Z$30,1,0))),P233,"Variable"),VLOOKUP(P229,'Tablas Técnicas'!$O$9:$W$88,9,FALSE)),"")</f>
        <v/>
      </c>
      <c r="V231" s="2203" t="s">
        <v>9097</v>
      </c>
      <c r="W231" s="2491"/>
      <c r="X231" s="2492"/>
      <c r="Y231" s="2493"/>
      <c r="Z231" s="2493"/>
      <c r="AA231" s="2204" t="str">
        <f>IFERROR(IF(V229="Ataque Elemental",IF(NOT(ISNA(VLOOKUP(V233,'Tablas Técnicas'!$Z$25:$Z$30,1,0))),V233,"Variable"),VLOOKUP(V229,'Tablas Técnicas'!$O$9:$W$88,9,FALSE)),"")</f>
        <v/>
      </c>
      <c r="AB231" s="2494" t="s">
        <v>9097</v>
      </c>
      <c r="AC231" s="2491"/>
      <c r="AD231" s="2492"/>
      <c r="AE231" s="2493"/>
      <c r="AF231" s="2493"/>
      <c r="AG231" s="2319" t="str">
        <f>IFERROR(IF(AB229="Ataque Elemental",IF(NOT(ISNA(VLOOKUP(AB233,'Tablas Técnicas'!$Z$25:$Z$30,1,0))),AB233,"Variable"),VLOOKUP(AB229,'Tablas Técnicas'!$O$9:$W$88,9,FALSE)),"")</f>
        <v/>
      </c>
      <c r="AH231" s="2496"/>
      <c r="AI231" s="4328"/>
      <c r="AJ231" s="2785"/>
      <c r="AK231" s="2787" t="s">
        <v>1381</v>
      </c>
      <c r="AL231" s="2787" t="s">
        <v>1506</v>
      </c>
      <c r="AM231" s="2787" t="s">
        <v>1386</v>
      </c>
      <c r="AN231" s="2787" t="s">
        <v>1391</v>
      </c>
      <c r="AO231" s="2787" t="s">
        <v>1399</v>
      </c>
      <c r="AP231" s="2787" t="s">
        <v>1400</v>
      </c>
      <c r="AQ231" s="2786"/>
      <c r="AR231" s="2787"/>
      <c r="AS231" s="2787"/>
      <c r="AT231" s="2787"/>
      <c r="AU231" s="2787"/>
      <c r="AV231" s="2787"/>
      <c r="AW231" s="2787"/>
      <c r="AX231" s="2787"/>
      <c r="AY231" s="2785"/>
    </row>
    <row r="232" spans="1:51" ht="12.75" customHeight="1" x14ac:dyDescent="0.2">
      <c r="A232" s="2487"/>
      <c r="B232" s="2368">
        <f t="shared" si="53"/>
        <v>7</v>
      </c>
      <c r="C232" s="4325"/>
      <c r="D232" s="4217" t="s">
        <v>2913</v>
      </c>
      <c r="E232" s="4211"/>
      <c r="F232" s="4211"/>
      <c r="G232" s="4211"/>
      <c r="H232" s="4218"/>
      <c r="I232" s="2205" t="s">
        <v>1411</v>
      </c>
      <c r="J232" s="4217" t="s">
        <v>2913</v>
      </c>
      <c r="K232" s="4211"/>
      <c r="L232" s="4211"/>
      <c r="M232" s="4211"/>
      <c r="N232" s="4218"/>
      <c r="O232" s="2206" t="s">
        <v>1411</v>
      </c>
      <c r="P232" s="4217" t="s">
        <v>2913</v>
      </c>
      <c r="Q232" s="4211"/>
      <c r="R232" s="4211"/>
      <c r="S232" s="4211"/>
      <c r="T232" s="4218"/>
      <c r="U232" s="2206" t="s">
        <v>1411</v>
      </c>
      <c r="V232" s="4217"/>
      <c r="W232" s="4211"/>
      <c r="X232" s="4211"/>
      <c r="Y232" s="4211"/>
      <c r="Z232" s="4218"/>
      <c r="AA232" s="2206" t="s">
        <v>1411</v>
      </c>
      <c r="AB232" s="4217" t="s">
        <v>2913</v>
      </c>
      <c r="AC232" s="4211"/>
      <c r="AD232" s="4211"/>
      <c r="AE232" s="4211"/>
      <c r="AF232" s="4218"/>
      <c r="AG232" s="2207" t="s">
        <v>1411</v>
      </c>
      <c r="AH232" s="2496"/>
      <c r="AI232" s="4328"/>
      <c r="AJ232" s="2790" t="s">
        <v>9633</v>
      </c>
      <c r="AK232" s="2785" t="str">
        <f>IF(V218="","",IF(SUM(V220:V224)=0,"",V218&amp;" "&amp;SUM(V220:V224)+V227&amp;IF(SUM(W220:W224)=0,""," ("&amp;SUM(W220:W224)&amp;")")&amp;", "))</f>
        <v/>
      </c>
      <c r="AL232" s="2785" t="str">
        <f>IF(X218="","",IF(SUM(X220:X224)=0,"",X218&amp;" "&amp;SUM(X220:X224)+X227&amp;IF(SUM(Y220:Y224)=0,""," ("&amp;SUM(Y220:Y224)&amp;")")&amp;", "))</f>
        <v/>
      </c>
      <c r="AM232" s="2785" t="str">
        <f>IF(Z218="","",IF(SUM(Z220:Z224)=0,"",Z218&amp;" "&amp;SUM(Z220:Z224)+Z227&amp;IF(SUM(AA220:AA224)=0,""," ("&amp;SUM(AA220:AA224)&amp;")")&amp;", "))</f>
        <v/>
      </c>
      <c r="AN232" s="2785" t="str">
        <f>IF(AB218="","",IF(SUM(AB220:AB224)=0,"",AB218&amp;" "&amp;SUM(AB220:AB224)+AB227&amp;IF(SUM(AC220:AC224)=0,""," ("&amp;SUM(AC220:AC224)&amp;")")&amp;", "))</f>
        <v/>
      </c>
      <c r="AO232" s="2785" t="str">
        <f>IF(AD218="","",IF(SUM(AD220:AD224)=0,"",AD218&amp;" "&amp;SUM(AD220:AD224)+AD227&amp;IF(SUM(AE220:AE224)=0,""," ("&amp;SUM(AE220:AE224)&amp;")")&amp;", "))</f>
        <v/>
      </c>
      <c r="AP232" s="2785" t="str">
        <f>IF(AF218="","",IF(SUM(AF220:AF224)=0,"",AF218&amp;" "&amp;SUM(AF220:AF224)+AF227&amp;IF(SUM(AG220:AG224)=0,""," ("&amp;SUM(AG220:AG224)&amp;")")&amp;", "))</f>
        <v/>
      </c>
      <c r="AQ232" s="2785"/>
      <c r="AR232" s="2785"/>
      <c r="AS232" s="2785"/>
      <c r="AT232" s="2785"/>
      <c r="AU232" s="2785"/>
      <c r="AV232" s="2785"/>
      <c r="AW232" s="2785"/>
      <c r="AX232" s="2785"/>
      <c r="AY232" s="2785"/>
    </row>
    <row r="233" spans="1:51" ht="12.75" customHeight="1" x14ac:dyDescent="0.2">
      <c r="A233" s="2487"/>
      <c r="B233" s="2368">
        <f t="shared" si="53"/>
        <v>7</v>
      </c>
      <c r="C233" s="4325"/>
      <c r="D233" s="4219"/>
      <c r="E233" s="4197"/>
      <c r="F233" s="4197"/>
      <c r="G233" s="4197"/>
      <c r="H233" s="4197"/>
      <c r="I233" s="2208" t="str">
        <f>IF(OR(D229="",D233=""),"",MAX(1,SUMPRODUCT(--(INDEX('Tablas Técnicas'!$C$10:$L$643,,1)=D229),--(INDEX('Tablas Técnicas'!$C$10:$L$643,,2)=D233),INDEX('Tablas Técnicas'!$C$10:$L$643,,9))))</f>
        <v/>
      </c>
      <c r="J233" s="4196"/>
      <c r="K233" s="4197"/>
      <c r="L233" s="4197"/>
      <c r="M233" s="4197"/>
      <c r="N233" s="4197"/>
      <c r="O233" s="2208" t="str">
        <f>IF(OR(J229="",J233=""),"",MAX(1,SUMPRODUCT(--(INDEX('Tablas Técnicas'!$C$10:$L$643,,1)=J229),--(INDEX('Tablas Técnicas'!$C$10:$L$643,,2)=J233),INDEX('Tablas Técnicas'!$C$10:$L$643,,9))))</f>
        <v/>
      </c>
      <c r="P233" s="4196"/>
      <c r="Q233" s="4197"/>
      <c r="R233" s="4197"/>
      <c r="S233" s="4197"/>
      <c r="T233" s="4197"/>
      <c r="U233" s="2208" t="str">
        <f>IF(OR(P229="",P233=""),"",MAX(1,SUMPRODUCT(--(INDEX('Tablas Técnicas'!$C$10:$L$643,,1)=P229),--(INDEX('Tablas Técnicas'!$C$10:$L$643,,2)=P233),INDEX('Tablas Técnicas'!$C$10:$L$643,,9))))</f>
        <v/>
      </c>
      <c r="V233" s="4196"/>
      <c r="W233" s="4197"/>
      <c r="X233" s="4197"/>
      <c r="Y233" s="4197"/>
      <c r="Z233" s="4197"/>
      <c r="AA233" s="2208" t="str">
        <f>IF(OR(V229="",V233=""),"",MAX(1,SUMPRODUCT(--(INDEX('Tablas Técnicas'!$C$10:$L$643,,1)=V229),--(INDEX('Tablas Técnicas'!$C$10:$L$643,,2)=V233),INDEX('Tablas Técnicas'!$C$10:$L$643,,9))))</f>
        <v/>
      </c>
      <c r="AB233" s="4196"/>
      <c r="AC233" s="4197"/>
      <c r="AD233" s="4197"/>
      <c r="AE233" s="4197"/>
      <c r="AF233" s="4197"/>
      <c r="AG233" s="2209" t="str">
        <f>IF(OR(AB229="",AB233=""),"",MAX(1,SUMPRODUCT(--(INDEX('Tablas Técnicas'!$C$10:$L$643,,1)=AB229),--(INDEX('Tablas Técnicas'!$C$10:$L$643,,2)=AB233),INDEX('Tablas Técnicas'!$C$10:$L$643,,9))))</f>
        <v/>
      </c>
      <c r="AH233" s="2496">
        <f>P216</f>
        <v>1</v>
      </c>
      <c r="AI233" s="4328"/>
      <c r="AJ233" s="2785" t="s">
        <v>9597</v>
      </c>
      <c r="AK233" s="2785"/>
      <c r="AL233" s="2785">
        <f>MAX(0,SUM(AT220:AT224)+ABS($AC225*2/5))+IF(AM242,0,Y225)+IF(S216="Si",3*P216,0)</f>
        <v>0</v>
      </c>
      <c r="AM233" s="2785">
        <f t="array" ref="AM233">IF(ISNUMBER(SEARCH("Mantenido",K220&amp;K221&amp;K222&amp;K223&amp;K224)),MAX(0,SUM(VALUE(RIGHT($P220:$P224,2)))),0)</f>
        <v>0</v>
      </c>
      <c r="AN233" s="2787"/>
      <c r="AO233" s="2787"/>
      <c r="AP233" s="2792"/>
      <c r="AQ233" s="2792"/>
      <c r="AR233" s="2792"/>
      <c r="AS233" s="2792"/>
      <c r="AT233" s="2792"/>
      <c r="AU233" s="2792"/>
      <c r="AV233" s="2792"/>
      <c r="AW233" s="2792"/>
      <c r="AX233" s="2792"/>
      <c r="AY233" s="2785"/>
    </row>
    <row r="234" spans="1:51" ht="12.75" customHeight="1" x14ac:dyDescent="0.2">
      <c r="A234" s="2487"/>
      <c r="B234" s="2368">
        <f t="shared" si="53"/>
        <v>7</v>
      </c>
      <c r="C234" s="4325"/>
      <c r="D234" s="4200"/>
      <c r="E234" s="4201"/>
      <c r="F234" s="4201"/>
      <c r="G234" s="4201"/>
      <c r="H234" s="4201"/>
      <c r="I234" s="2210" t="str">
        <f>IF(OR(D229="",D234=""),"",MAX(1,SUMPRODUCT(--(INDEX('Tablas Técnicas'!$C$10:$L$643,,1)=D229),--(INDEX('Tablas Técnicas'!$C$10:$L$643,,2)=D234),INDEX('Tablas Técnicas'!$C$10:$L$643,,9))))</f>
        <v/>
      </c>
      <c r="J234" s="4200"/>
      <c r="K234" s="4201"/>
      <c r="L234" s="4201"/>
      <c r="M234" s="4201"/>
      <c r="N234" s="4201"/>
      <c r="O234" s="2210" t="str">
        <f>IF(OR(J229="",J234=""),"",MAX(1,SUMPRODUCT(--(INDEX('Tablas Técnicas'!$C$10:$L$643,,1)=J229),--(INDEX('Tablas Técnicas'!$C$10:$L$643,,2)=J234),INDEX('Tablas Técnicas'!$C$10:$L$643,,9))))</f>
        <v/>
      </c>
      <c r="P234" s="4200"/>
      <c r="Q234" s="4201"/>
      <c r="R234" s="4201"/>
      <c r="S234" s="4201"/>
      <c r="T234" s="4201"/>
      <c r="U234" s="2210" t="str">
        <f>IF(OR(P229="",P234=""),"",MAX(1,SUMPRODUCT(--(INDEX('Tablas Técnicas'!$C$10:$L$643,,1)=P229),--(INDEX('Tablas Técnicas'!$C$10:$L$643,,2)=P234),INDEX('Tablas Técnicas'!$C$10:$L$643,,9))))</f>
        <v/>
      </c>
      <c r="V234" s="4200"/>
      <c r="W234" s="4201"/>
      <c r="X234" s="4201"/>
      <c r="Y234" s="4201"/>
      <c r="Z234" s="4201"/>
      <c r="AA234" s="2210" t="str">
        <f>IF(OR(V229="",V234=""),"",MAX(1,SUMPRODUCT(--(INDEX('Tablas Técnicas'!$C$10:$L$643,,1)=V229),--(INDEX('Tablas Técnicas'!$C$10:$L$643,,2)=V234),INDEX('Tablas Técnicas'!$C$10:$L$643,,9))))</f>
        <v/>
      </c>
      <c r="AB234" s="4200"/>
      <c r="AC234" s="4201"/>
      <c r="AD234" s="4201"/>
      <c r="AE234" s="4201"/>
      <c r="AF234" s="4201"/>
      <c r="AG234" s="2211" t="str">
        <f>IF(OR(AB229="",AB234=""),"",MAX(1,SUMPRODUCT(--(INDEX('Tablas Técnicas'!$C$10:$L$643,,1)=AB229),--(INDEX('Tablas Técnicas'!$C$10:$L$643,,2)=AB234),INDEX('Tablas Técnicas'!$C$10:$L$643,,9))))</f>
        <v/>
      </c>
      <c r="AH234" s="2496">
        <f>P216</f>
        <v>1</v>
      </c>
      <c r="AI234" s="4328"/>
      <c r="AJ234" s="2785" t="s">
        <v>9099</v>
      </c>
      <c r="AK234" s="2785"/>
      <c r="AL234" s="2785">
        <f>SUM(V220:V224,X220:X224,Z220:Z224,AB220:AB224,AD220:AD224,AF220:AF224)+SUM(V227:AG227)</f>
        <v>0</v>
      </c>
      <c r="AM234" s="2785">
        <f>SUM(W220:W224,Y220:Y224,AA220:AA224,AC220:AC224,AE220:AE224,AG220:AG224)</f>
        <v>0</v>
      </c>
      <c r="AN234" s="2785"/>
      <c r="AO234" s="2785"/>
      <c r="AP234" s="2785"/>
      <c r="AQ234" s="2785"/>
      <c r="AR234" s="2785"/>
      <c r="AS234" s="2785"/>
      <c r="AT234" s="2785"/>
      <c r="AU234" s="2785"/>
      <c r="AV234" s="2785"/>
      <c r="AW234" s="2787"/>
      <c r="AX234" s="2785"/>
      <c r="AY234" s="2785"/>
    </row>
    <row r="235" spans="1:51" ht="12.75" customHeight="1" x14ac:dyDescent="0.2">
      <c r="A235" s="2487"/>
      <c r="B235" s="2368">
        <f t="shared" si="53"/>
        <v>7</v>
      </c>
      <c r="C235" s="4325"/>
      <c r="D235" s="4200"/>
      <c r="E235" s="4201"/>
      <c r="F235" s="4201"/>
      <c r="G235" s="4201"/>
      <c r="H235" s="4201"/>
      <c r="I235" s="2210" t="str">
        <f>IF(OR(D229="",D235=""),"",MAX(1,SUMPRODUCT(--(INDEX('Tablas Técnicas'!$C$10:$L$643,,1)=D229),--(INDEX('Tablas Técnicas'!$C$10:$L$643,,2)=D235),INDEX('Tablas Técnicas'!$C$10:$L$643,,9))))</f>
        <v/>
      </c>
      <c r="J235" s="4200"/>
      <c r="K235" s="4201"/>
      <c r="L235" s="4201"/>
      <c r="M235" s="4201"/>
      <c r="N235" s="4201"/>
      <c r="O235" s="2210" t="str">
        <f>IF(OR(J229="",J235=""),"",MAX(1,SUMPRODUCT(--(INDEX('Tablas Técnicas'!$C$10:$L$643,,1)=J229),--(INDEX('Tablas Técnicas'!$C$10:$L$643,,2)=J235),INDEX('Tablas Técnicas'!$C$10:$L$643,,9))))</f>
        <v/>
      </c>
      <c r="P235" s="4200"/>
      <c r="Q235" s="4201"/>
      <c r="R235" s="4201"/>
      <c r="S235" s="4201"/>
      <c r="T235" s="4201"/>
      <c r="U235" s="2210" t="str">
        <f>IF(OR(P229="",P235=""),"",MAX(1,SUMPRODUCT(--(INDEX('Tablas Técnicas'!$C$10:$L$643,,1)=P229),--(INDEX('Tablas Técnicas'!$C$10:$L$643,,2)=P235),INDEX('Tablas Técnicas'!$C$10:$L$643,,9))))</f>
        <v/>
      </c>
      <c r="V235" s="4200"/>
      <c r="W235" s="4201"/>
      <c r="X235" s="4201"/>
      <c r="Y235" s="4201"/>
      <c r="Z235" s="4201"/>
      <c r="AA235" s="2210" t="str">
        <f>IF(OR(V229="",V235=""),"",MAX(1,SUMPRODUCT(--(INDEX('Tablas Técnicas'!$C$10:$L$643,,1)=V229),--(INDEX('Tablas Técnicas'!$C$10:$L$643,,2)=V235),INDEX('Tablas Técnicas'!$C$10:$L$643,,9))))</f>
        <v/>
      </c>
      <c r="AB235" s="4200"/>
      <c r="AC235" s="4201"/>
      <c r="AD235" s="4201"/>
      <c r="AE235" s="4201"/>
      <c r="AF235" s="4201"/>
      <c r="AG235" s="2211" t="str">
        <f>IF(OR(AB229="",AB235=""),"",MAX(1,SUMPRODUCT(--(INDEX('Tablas Técnicas'!$C$10:$L$643,,1)=AB229),--(INDEX('Tablas Técnicas'!$C$10:$L$643,,2)=AB235),INDEX('Tablas Técnicas'!$C$10:$L$643,,9))))</f>
        <v/>
      </c>
      <c r="AH235" s="2496">
        <f>P216</f>
        <v>1</v>
      </c>
      <c r="AI235" s="4328"/>
      <c r="AJ235" s="2785"/>
      <c r="AK235" s="2785"/>
      <c r="AL235" s="2785"/>
      <c r="AM235" s="2785"/>
      <c r="AN235" s="2785"/>
      <c r="AO235" s="2785"/>
      <c r="AP235" s="2785"/>
      <c r="AQ235" s="2785"/>
      <c r="AR235" s="2785"/>
      <c r="AS235" s="2785"/>
      <c r="AT235" s="2785"/>
      <c r="AU235" s="2785"/>
      <c r="AV235" s="2785"/>
      <c r="AW235" s="2787"/>
      <c r="AX235" s="2787"/>
      <c r="AY235" s="2785"/>
    </row>
    <row r="236" spans="1:51" ht="12.75" customHeight="1" x14ac:dyDescent="0.2">
      <c r="A236" s="2487"/>
      <c r="B236" s="2368">
        <f t="shared" si="53"/>
        <v>7</v>
      </c>
      <c r="C236" s="4325"/>
      <c r="D236" s="4200"/>
      <c r="E236" s="4201"/>
      <c r="F236" s="4201"/>
      <c r="G236" s="4201"/>
      <c r="H236" s="4201"/>
      <c r="I236" s="2210" t="str">
        <f>IF(OR(D229="",D236=""),"",MAX(1,SUMPRODUCT(--(INDEX('Tablas Técnicas'!$C$10:$L$643,,1)=D229),--(INDEX('Tablas Técnicas'!$C$10:$L$643,,2)=D236),INDEX('Tablas Técnicas'!$C$10:$L$643,,9))))</f>
        <v/>
      </c>
      <c r="J236" s="4200"/>
      <c r="K236" s="4201"/>
      <c r="L236" s="4201"/>
      <c r="M236" s="4201"/>
      <c r="N236" s="4201"/>
      <c r="O236" s="2210" t="str">
        <f>IF(OR(J229="",J236=""),"",MAX(1,SUMPRODUCT(--(INDEX('Tablas Técnicas'!$C$10:$L$643,,1)=J229),--(INDEX('Tablas Técnicas'!$C$10:$L$643,,2)=J236),INDEX('Tablas Técnicas'!$C$10:$L$643,,9))))</f>
        <v/>
      </c>
      <c r="P236" s="4200"/>
      <c r="Q236" s="4201"/>
      <c r="R236" s="4201"/>
      <c r="S236" s="4201"/>
      <c r="T236" s="4201"/>
      <c r="U236" s="2210" t="str">
        <f>IF(OR(P229="",P236=""),"",MAX(1,SUMPRODUCT(--(INDEX('Tablas Técnicas'!$C$10:$L$643,,1)=P229),--(INDEX('Tablas Técnicas'!$C$10:$L$643,,2)=P236),INDEX('Tablas Técnicas'!$C$10:$L$643,,9))))</f>
        <v/>
      </c>
      <c r="V236" s="4200"/>
      <c r="W236" s="4201"/>
      <c r="X236" s="4201"/>
      <c r="Y236" s="4201"/>
      <c r="Z236" s="4201"/>
      <c r="AA236" s="2210" t="str">
        <f>IF(OR(V229="",V236=""),"",MAX(1,SUMPRODUCT(--(INDEX('Tablas Técnicas'!$C$10:$L$643,,1)=V229),--(INDEX('Tablas Técnicas'!$C$10:$L$643,,2)=V236),INDEX('Tablas Técnicas'!$C$10:$L$643,,9))))</f>
        <v/>
      </c>
      <c r="AB236" s="4200"/>
      <c r="AC236" s="4201"/>
      <c r="AD236" s="4201"/>
      <c r="AE236" s="4201"/>
      <c r="AF236" s="4201"/>
      <c r="AG236" s="2211" t="str">
        <f>IF(OR(AB229="",AB236=""),"",MAX(1,SUMPRODUCT(--(INDEX('Tablas Técnicas'!$C$10:$L$643,,1)=AB229),--(INDEX('Tablas Técnicas'!$C$10:$L$643,,2)=AB236),INDEX('Tablas Técnicas'!$C$10:$L$643,,9))))</f>
        <v/>
      </c>
      <c r="AH236" s="2496">
        <f>P216</f>
        <v>1</v>
      </c>
      <c r="AI236" s="4328"/>
      <c r="AJ236" s="2785"/>
      <c r="AK236" s="2785"/>
      <c r="AL236" s="2785"/>
      <c r="AM236" s="2785"/>
      <c r="AN236" s="2785"/>
      <c r="AO236" s="2785"/>
      <c r="AP236" s="2785"/>
      <c r="AQ236" s="2786"/>
      <c r="AR236" s="2787"/>
      <c r="AS236" s="2787"/>
      <c r="AT236" s="2787"/>
      <c r="AU236" s="2787"/>
      <c r="AV236" s="2787"/>
      <c r="AW236" s="2787"/>
      <c r="AX236" s="2787"/>
      <c r="AY236" s="2785"/>
    </row>
    <row r="237" spans="1:51" ht="12.75" customHeight="1" x14ac:dyDescent="0.2">
      <c r="A237" s="2487"/>
      <c r="B237" s="2368">
        <f t="shared" si="53"/>
        <v>7</v>
      </c>
      <c r="C237" s="4325"/>
      <c r="D237" s="4200"/>
      <c r="E237" s="4201"/>
      <c r="F237" s="4201"/>
      <c r="G237" s="4201"/>
      <c r="H237" s="4201"/>
      <c r="I237" s="2210" t="str">
        <f>IF(OR(D229="",D237=""),"",MAX(1,SUMPRODUCT(--(INDEX('Tablas Técnicas'!$C$10:$L$643,,1)=D229),--(INDEX('Tablas Técnicas'!$C$10:$L$643,,2)=D237),INDEX('Tablas Técnicas'!$C$10:$L$643,,9))))</f>
        <v/>
      </c>
      <c r="J237" s="4200"/>
      <c r="K237" s="4201"/>
      <c r="L237" s="4201"/>
      <c r="M237" s="4201"/>
      <c r="N237" s="4201"/>
      <c r="O237" s="2210" t="str">
        <f>IF(OR(J229="",J237=""),"",MAX(1,SUMPRODUCT(--(INDEX('Tablas Técnicas'!$C$10:$L$643,,1)=J229),--(INDEX('Tablas Técnicas'!$C$10:$L$643,,2)=J237),INDEX('Tablas Técnicas'!$C$10:$L$643,,9))))</f>
        <v/>
      </c>
      <c r="P237" s="4200"/>
      <c r="Q237" s="4201"/>
      <c r="R237" s="4201"/>
      <c r="S237" s="4201"/>
      <c r="T237" s="4201"/>
      <c r="U237" s="2210" t="str">
        <f>IF(OR(P229="",P237=""),"",MAX(1,SUMPRODUCT(--(INDEX('Tablas Técnicas'!$C$10:$L$643,,1)=P229),--(INDEX('Tablas Técnicas'!$C$10:$L$643,,2)=P237),INDEX('Tablas Técnicas'!$C$10:$L$643,,9))))</f>
        <v/>
      </c>
      <c r="V237" s="4200"/>
      <c r="W237" s="4201"/>
      <c r="X237" s="4201"/>
      <c r="Y237" s="4201"/>
      <c r="Z237" s="4201"/>
      <c r="AA237" s="2210" t="str">
        <f>IF(OR(V229="",V237=""),"",MAX(1,SUMPRODUCT(--(INDEX('Tablas Técnicas'!$C$10:$L$643,,1)=V229),--(INDEX('Tablas Técnicas'!$C$10:$L$643,,2)=V237),INDEX('Tablas Técnicas'!$C$10:$L$643,,9))))</f>
        <v/>
      </c>
      <c r="AB237" s="4200"/>
      <c r="AC237" s="4201"/>
      <c r="AD237" s="4201"/>
      <c r="AE237" s="4201"/>
      <c r="AF237" s="4201"/>
      <c r="AG237" s="2211" t="str">
        <f>IF(OR(AB229="",AB237=""),"",MAX(1,SUMPRODUCT(--(INDEX('Tablas Técnicas'!$C$10:$L$643,,1)=AB229),--(INDEX('Tablas Técnicas'!$C$10:$L$643,,2)=AB237),INDEX('Tablas Técnicas'!$C$10:$L$643,,9))))</f>
        <v/>
      </c>
      <c r="AH237" s="2496">
        <f>P216</f>
        <v>1</v>
      </c>
      <c r="AI237" s="4328"/>
      <c r="AJ237" s="2785" t="s">
        <v>9100</v>
      </c>
      <c r="AK237" s="2785"/>
      <c r="AL237" s="2785"/>
      <c r="AM237" s="2785"/>
      <c r="AN237" s="2785"/>
      <c r="AO237" s="2785"/>
      <c r="AP237" s="2785"/>
      <c r="AQ237" s="2785"/>
      <c r="AR237" s="2787"/>
      <c r="AS237" s="2787"/>
      <c r="AT237" s="2787"/>
      <c r="AU237" s="2787"/>
      <c r="AV237" s="2787"/>
      <c r="AW237" s="2787"/>
      <c r="AX237" s="2787"/>
      <c r="AY237" s="2785"/>
    </row>
    <row r="238" spans="1:51" ht="12.75" customHeight="1" x14ac:dyDescent="0.2">
      <c r="A238" s="2487"/>
      <c r="B238" s="2368">
        <f t="shared" si="53"/>
        <v>7</v>
      </c>
      <c r="C238" s="4325"/>
      <c r="D238" s="4200"/>
      <c r="E238" s="4201"/>
      <c r="F238" s="4201"/>
      <c r="G238" s="4201"/>
      <c r="H238" s="4201"/>
      <c r="I238" s="2210" t="str">
        <f>IF(OR(D229="",D238=""),"",MAX(1,SUMPRODUCT(--(INDEX('Tablas Técnicas'!$C$10:$L$643,,1)=D229),--(INDEX('Tablas Técnicas'!$C$10:$L$643,,2)=D238),INDEX('Tablas Técnicas'!$C$10:$L$643,,9))))</f>
        <v/>
      </c>
      <c r="J238" s="4200"/>
      <c r="K238" s="4201"/>
      <c r="L238" s="4201"/>
      <c r="M238" s="4201"/>
      <c r="N238" s="4201"/>
      <c r="O238" s="2210" t="str">
        <f>IF(OR(J229="",J238=""),"",MAX(1,SUMPRODUCT(--(INDEX('Tablas Técnicas'!$C$10:$L$643,,1)=J229),--(INDEX('Tablas Técnicas'!$C$10:$L$643,,2)=J238),INDEX('Tablas Técnicas'!$C$10:$L$643,,9))))</f>
        <v/>
      </c>
      <c r="P238" s="4200"/>
      <c r="Q238" s="4201"/>
      <c r="R238" s="4201"/>
      <c r="S238" s="4201"/>
      <c r="T238" s="4201"/>
      <c r="U238" s="2210" t="str">
        <f>IF(OR(P229="",P238=""),"",MAX(1,SUMPRODUCT(--(INDEX('Tablas Técnicas'!$C$10:$L$643,,1)=P229),--(INDEX('Tablas Técnicas'!$C$10:$L$643,,2)=P238),INDEX('Tablas Técnicas'!$C$10:$L$643,,9))))</f>
        <v/>
      </c>
      <c r="V238" s="4200"/>
      <c r="W238" s="4201"/>
      <c r="X238" s="4201"/>
      <c r="Y238" s="4201"/>
      <c r="Z238" s="4201"/>
      <c r="AA238" s="2210" t="str">
        <f>IF(OR(V229="",V238=""),"",MAX(1,SUMPRODUCT(--(INDEX('Tablas Técnicas'!$C$10:$L$643,,1)=V229),--(INDEX('Tablas Técnicas'!$C$10:$L$643,,2)=V238),INDEX('Tablas Técnicas'!$C$10:$L$643,,9))))</f>
        <v/>
      </c>
      <c r="AB238" s="4200"/>
      <c r="AC238" s="4201"/>
      <c r="AD238" s="4201"/>
      <c r="AE238" s="4201"/>
      <c r="AF238" s="4201"/>
      <c r="AG238" s="2211" t="str">
        <f>IF(OR(AB229="",AB238=""),"",MAX(1,SUMPRODUCT(--(INDEX('Tablas Técnicas'!$C$10:$L$643,,1)=AB229),--(INDEX('Tablas Técnicas'!$C$10:$L$643,,2)=AB238),INDEX('Tablas Técnicas'!$C$10:$L$643,,9))))</f>
        <v/>
      </c>
      <c r="AH238" s="2496">
        <f>P216</f>
        <v>1</v>
      </c>
      <c r="AI238" s="4328"/>
      <c r="AJ238" s="2785" t="s">
        <v>9101</v>
      </c>
      <c r="AK238" s="2785"/>
      <c r="AL238" s="2785"/>
      <c r="AM238" s="2785" t="b">
        <f t="array" ref="AM238">MAX(I233:I239,O233:O239,U233:U239,AA233:AA239,AG233:AG239,RIGHT(S225:S227,1))&gt;P216</f>
        <v>0</v>
      </c>
      <c r="AN238" s="2785"/>
      <c r="AO238" s="2785"/>
      <c r="AP238" s="2785"/>
      <c r="AQ238" s="2786"/>
      <c r="AR238" s="2787"/>
      <c r="AS238" s="2787"/>
      <c r="AT238" s="2787"/>
      <c r="AU238" s="2787"/>
      <c r="AV238" s="2787"/>
      <c r="AW238" s="2787"/>
      <c r="AX238" s="2787"/>
      <c r="AY238" s="2785"/>
    </row>
    <row r="239" spans="1:51" ht="12.75" customHeight="1" x14ac:dyDescent="0.2">
      <c r="A239" s="2487"/>
      <c r="B239" s="2368">
        <f t="shared" si="53"/>
        <v>7</v>
      </c>
      <c r="C239" s="4325"/>
      <c r="D239" s="4230"/>
      <c r="E239" s="4231"/>
      <c r="F239" s="4231"/>
      <c r="G239" s="4231"/>
      <c r="H239" s="4231"/>
      <c r="I239" s="2212" t="str">
        <f>IF(OR(D229="",D239=""),"",MAX(1,SUMPRODUCT(--(INDEX('Tablas Técnicas'!$C$10:$L$643,,1)=D229),--(INDEX('Tablas Técnicas'!$C$10:$L$643,,2)=D239),INDEX('Tablas Técnicas'!$C$10:$L$643,,9))))</f>
        <v/>
      </c>
      <c r="J239" s="4230"/>
      <c r="K239" s="4231"/>
      <c r="L239" s="4231"/>
      <c r="M239" s="4231"/>
      <c r="N239" s="4231"/>
      <c r="O239" s="2212" t="str">
        <f>IF(OR(J229="",J239=""),"",MAX(1,SUMPRODUCT(--(INDEX('Tablas Técnicas'!$C$10:$L$643,,1)=J229),--(INDEX('Tablas Técnicas'!$C$10:$L$643,,2)=J239),INDEX('Tablas Técnicas'!$C$10:$L$643,,9))))</f>
        <v/>
      </c>
      <c r="P239" s="4230"/>
      <c r="Q239" s="4231"/>
      <c r="R239" s="4231"/>
      <c r="S239" s="4231"/>
      <c r="T239" s="4231"/>
      <c r="U239" s="2212" t="str">
        <f>IF(OR(P229="",P239=""),"",MAX(1,SUMPRODUCT(--(INDEX('Tablas Técnicas'!$C$10:$L$643,,1)=P229),--(INDEX('Tablas Técnicas'!$C$10:$L$643,,2)=P239),INDEX('Tablas Técnicas'!$C$10:$L$643,,9))))</f>
        <v/>
      </c>
      <c r="V239" s="4230"/>
      <c r="W239" s="4231"/>
      <c r="X239" s="4231"/>
      <c r="Y239" s="4231"/>
      <c r="Z239" s="4231"/>
      <c r="AA239" s="2212" t="str">
        <f>IF(OR(V229="",V239=""),"",MAX(1,SUMPRODUCT(--(INDEX('Tablas Técnicas'!$C$10:$L$643,,1)=V229),--(INDEX('Tablas Técnicas'!$C$10:$L$643,,2)=V239),INDEX('Tablas Técnicas'!$C$10:$L$643,,9))))</f>
        <v/>
      </c>
      <c r="AB239" s="4230"/>
      <c r="AC239" s="4231"/>
      <c r="AD239" s="4231"/>
      <c r="AE239" s="4231"/>
      <c r="AF239" s="4231"/>
      <c r="AG239" s="2213" t="str">
        <f>IF(OR(AB229="",AB239=""),"",MAX(1,SUMPRODUCT(--(INDEX('Tablas Técnicas'!$C$10:$L$643,,1)=AB229),--(INDEX('Tablas Técnicas'!$C$10:$L$643,,2)=AB239),INDEX('Tablas Técnicas'!$C$10:$L$643,,9))))</f>
        <v/>
      </c>
      <c r="AH239" s="2496">
        <f>P216</f>
        <v>1</v>
      </c>
      <c r="AI239" s="4328"/>
      <c r="AJ239" s="2785" t="s">
        <v>9614</v>
      </c>
      <c r="AK239" s="2785"/>
      <c r="AL239" s="2785"/>
      <c r="AM239" s="2785" t="b">
        <f>AND(COUNTIF(K220:M224,"Mantenido"),OR(COUNTIF(K220:M224,"Sostenimiento Menor"),COUNTIF(K220:M224,"Sostenimiento Mayor")))</f>
        <v>0</v>
      </c>
      <c r="AN239" s="2786"/>
      <c r="AO239" s="2785"/>
      <c r="AP239" s="2785"/>
      <c r="AQ239" s="2785"/>
      <c r="AR239" s="2785"/>
      <c r="AS239" s="2785"/>
      <c r="AT239" s="2785"/>
      <c r="AU239" s="2787"/>
      <c r="AV239" s="2787"/>
      <c r="AW239" s="2787"/>
      <c r="AX239" s="2787"/>
      <c r="AY239" s="2785"/>
    </row>
    <row r="240" spans="1:51" ht="12.75" customHeight="1" x14ac:dyDescent="0.2">
      <c r="A240" s="2487"/>
      <c r="B240" s="2368">
        <f t="shared" si="53"/>
        <v>7</v>
      </c>
      <c r="C240" s="4325"/>
      <c r="D240" s="4213" t="s">
        <v>1558</v>
      </c>
      <c r="E240" s="4214"/>
      <c r="F240" s="4214"/>
      <c r="G240" s="4214"/>
      <c r="H240" s="4214"/>
      <c r="I240" s="4214"/>
      <c r="J240" s="4214"/>
      <c r="K240" s="4214"/>
      <c r="L240" s="4214"/>
      <c r="M240" s="4214"/>
      <c r="N240" s="4214"/>
      <c r="O240" s="4214"/>
      <c r="P240" s="4214"/>
      <c r="Q240" s="4214"/>
      <c r="R240" s="4214"/>
      <c r="S240" s="4214"/>
      <c r="T240" s="4214"/>
      <c r="U240" s="4214"/>
      <c r="V240" s="4214"/>
      <c r="W240" s="4214"/>
      <c r="X240" s="4214"/>
      <c r="Y240" s="4214"/>
      <c r="Z240" s="4214"/>
      <c r="AA240" s="4214"/>
      <c r="AB240" s="4214"/>
      <c r="AC240" s="4214"/>
      <c r="AD240" s="4214"/>
      <c r="AE240" s="4214"/>
      <c r="AF240" s="4214"/>
      <c r="AG240" s="4270"/>
      <c r="AH240" s="2496"/>
      <c r="AI240" s="4328"/>
      <c r="AJ240" s="2785" t="s">
        <v>9613</v>
      </c>
      <c r="AK240" s="2785"/>
      <c r="AL240" s="2785"/>
      <c r="AM240" s="278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5"/>
      <c r="AO240" s="2785"/>
      <c r="AP240" s="2785"/>
      <c r="AQ240" s="2786"/>
      <c r="AR240" s="2785"/>
      <c r="AS240" s="2785"/>
      <c r="AT240" s="2785"/>
      <c r="AU240" s="2787"/>
      <c r="AV240" s="2787"/>
      <c r="AW240" s="2787"/>
      <c r="AX240" s="2787"/>
      <c r="AY240" s="2785"/>
    </row>
    <row r="241" spans="1:51" ht="12.75" customHeight="1" x14ac:dyDescent="0.2">
      <c r="A241" s="2487"/>
      <c r="B241" s="2368">
        <f t="shared" si="53"/>
        <v>7</v>
      </c>
      <c r="C241" s="4325"/>
      <c r="D241" s="4271"/>
      <c r="E241" s="4272"/>
      <c r="F241" s="4272"/>
      <c r="G241" s="4272"/>
      <c r="H241" s="4272"/>
      <c r="I241" s="4272"/>
      <c r="J241" s="4272"/>
      <c r="K241" s="4272"/>
      <c r="L241" s="4272"/>
      <c r="M241" s="4272"/>
      <c r="N241" s="4272"/>
      <c r="O241" s="4272"/>
      <c r="P241" s="4272"/>
      <c r="Q241" s="4272"/>
      <c r="R241" s="4272"/>
      <c r="S241" s="4272"/>
      <c r="T241" s="4272"/>
      <c r="U241" s="4272"/>
      <c r="V241" s="4272"/>
      <c r="W241" s="4272"/>
      <c r="X241" s="4272"/>
      <c r="Y241" s="4272"/>
      <c r="Z241" s="4272"/>
      <c r="AA241" s="4272"/>
      <c r="AB241" s="4272"/>
      <c r="AC241" s="4272"/>
      <c r="AD241" s="4272"/>
      <c r="AE241" s="4272"/>
      <c r="AF241" s="4272"/>
      <c r="AG241" s="4273"/>
      <c r="AH241" s="2496"/>
      <c r="AI241" s="4328"/>
      <c r="AJ241" s="2785" t="s">
        <v>9621</v>
      </c>
      <c r="AK241" s="2785"/>
      <c r="AL241" s="2785"/>
      <c r="AM241" s="278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5"/>
      <c r="AO241" s="2785"/>
      <c r="AP241" s="2785"/>
      <c r="AQ241" s="2786"/>
      <c r="AR241" s="2785"/>
      <c r="AS241" s="2785"/>
      <c r="AT241" s="2785"/>
      <c r="AU241" s="2787"/>
      <c r="AV241" s="2787"/>
      <c r="AW241" s="2787"/>
      <c r="AX241" s="2787"/>
      <c r="AY241" s="2785"/>
    </row>
    <row r="242" spans="1:51" ht="12.75" customHeight="1" x14ac:dyDescent="0.2">
      <c r="A242" s="2487"/>
      <c r="B242" s="2368">
        <f t="shared" si="53"/>
        <v>7</v>
      </c>
      <c r="C242" s="4325"/>
      <c r="D242" s="4271"/>
      <c r="E242" s="4272"/>
      <c r="F242" s="4272"/>
      <c r="G242" s="4272"/>
      <c r="H242" s="4272"/>
      <c r="I242" s="4272"/>
      <c r="J242" s="4272"/>
      <c r="K242" s="4272"/>
      <c r="L242" s="4272"/>
      <c r="M242" s="4272"/>
      <c r="N242" s="4272"/>
      <c r="O242" s="4272"/>
      <c r="P242" s="4272"/>
      <c r="Q242" s="4272"/>
      <c r="R242" s="4272"/>
      <c r="S242" s="4272"/>
      <c r="T242" s="4272"/>
      <c r="U242" s="4272"/>
      <c r="V242" s="4272"/>
      <c r="W242" s="4272"/>
      <c r="X242" s="4272"/>
      <c r="Y242" s="4272"/>
      <c r="Z242" s="4272"/>
      <c r="AA242" s="4272"/>
      <c r="AB242" s="4272"/>
      <c r="AC242" s="4272"/>
      <c r="AD242" s="4272"/>
      <c r="AE242" s="4272"/>
      <c r="AF242" s="4272"/>
      <c r="AG242" s="4273"/>
      <c r="AH242" s="2496"/>
      <c r="AI242" s="4328"/>
      <c r="AJ242" s="2785" t="s">
        <v>9600</v>
      </c>
      <c r="AK242" s="2785"/>
      <c r="AL242" s="2785"/>
      <c r="AM242" s="2785" t="b">
        <f>AND((IF(SUM(V220:V224)&gt;0,1,0)+IF(SUM(X220:X224)&gt;0,1,0)+IF(SUM(Z220:Z224)&gt;0,1,0)+IF(SUM(AB220:AB224)&gt;0,1,0)+IF(SUM(AD220:AD224,)&gt;0,1,0)+IF(SUM(AF220:AF224)&gt;0,1,0))&lt;3,OR(V227&lt;0,X227&lt;0,Z227&lt;0,AB227&lt;0,AD227&lt;0,AF227&lt;0,Y225&lt;0))</f>
        <v>0</v>
      </c>
      <c r="AN242" s="2785"/>
      <c r="AO242" s="2785"/>
      <c r="AP242" s="2785"/>
      <c r="AQ242" s="2786"/>
      <c r="AR242" s="2785"/>
      <c r="AS242" s="2785"/>
      <c r="AT242" s="2785"/>
      <c r="AU242" s="2787"/>
      <c r="AV242" s="2787"/>
      <c r="AW242" s="2787"/>
      <c r="AX242" s="2787"/>
      <c r="AY242" s="2785"/>
    </row>
    <row r="243" spans="1:51" ht="12.75" customHeight="1" x14ac:dyDescent="0.2">
      <c r="A243" s="2487"/>
      <c r="B243" s="2368">
        <f t="shared" si="53"/>
        <v>7</v>
      </c>
      <c r="C243" s="4325"/>
      <c r="D243" s="4271"/>
      <c r="E243" s="4272"/>
      <c r="F243" s="4272"/>
      <c r="G243" s="4272"/>
      <c r="H243" s="4272"/>
      <c r="I243" s="4272"/>
      <c r="J243" s="4272"/>
      <c r="K243" s="4272"/>
      <c r="L243" s="4272"/>
      <c r="M243" s="4272"/>
      <c r="N243" s="4272"/>
      <c r="O243" s="4272"/>
      <c r="P243" s="4272"/>
      <c r="Q243" s="4272"/>
      <c r="R243" s="4272"/>
      <c r="S243" s="4272"/>
      <c r="T243" s="4272"/>
      <c r="U243" s="4272"/>
      <c r="V243" s="4272"/>
      <c r="W243" s="4272"/>
      <c r="X243" s="4272"/>
      <c r="Y243" s="4272"/>
      <c r="Z243" s="4272"/>
      <c r="AA243" s="4272"/>
      <c r="AB243" s="4272"/>
      <c r="AC243" s="4272"/>
      <c r="AD243" s="4272"/>
      <c r="AE243" s="4272"/>
      <c r="AF243" s="4272"/>
      <c r="AG243" s="4273"/>
      <c r="AH243" s="2496"/>
      <c r="AI243" s="4328"/>
      <c r="AJ243" s="2785" t="s">
        <v>9615</v>
      </c>
      <c r="AK243" s="2785"/>
      <c r="AL243" s="2785"/>
      <c r="AM243" s="2785" t="b">
        <f>OR(-V227&gt;TRUNC(SUM(V220:V224)/2),-X227&gt;TRUNC(SUM(X220:X224)/2),-Z227&gt;TRUNC(SUM(Z220:Z224)/2),-AB227&gt;TRUNC(SUM(AB220:AB224)/2),-AD227&gt;TRUNC(SUM(AD220:AD224)/2),-AF227&gt;TRUNC(SUM(AF220:AF224)/2))</f>
        <v>0</v>
      </c>
      <c r="AN243" s="2785"/>
      <c r="AO243" s="2785"/>
      <c r="AP243" s="2785"/>
      <c r="AQ243" s="2786"/>
      <c r="AR243" s="2785"/>
      <c r="AS243" s="2785"/>
      <c r="AT243" s="2785"/>
      <c r="AU243" s="2787"/>
      <c r="AV243" s="2787"/>
      <c r="AW243" s="2787"/>
      <c r="AX243" s="2787"/>
      <c r="AY243" s="2785"/>
    </row>
    <row r="244" spans="1:51" ht="12.75" customHeight="1" x14ac:dyDescent="0.2">
      <c r="A244" s="2487"/>
      <c r="B244" s="2368">
        <f t="shared" si="53"/>
        <v>7</v>
      </c>
      <c r="C244" s="4325"/>
      <c r="D244" s="4271"/>
      <c r="E244" s="4272"/>
      <c r="F244" s="4272"/>
      <c r="G244" s="4272"/>
      <c r="H244" s="4272"/>
      <c r="I244" s="4272"/>
      <c r="J244" s="4272"/>
      <c r="K244" s="4272"/>
      <c r="L244" s="4272"/>
      <c r="M244" s="4272"/>
      <c r="N244" s="4272"/>
      <c r="O244" s="4272"/>
      <c r="P244" s="4272"/>
      <c r="Q244" s="4272"/>
      <c r="R244" s="4272"/>
      <c r="S244" s="4272"/>
      <c r="T244" s="4272"/>
      <c r="U244" s="4272"/>
      <c r="V244" s="4272"/>
      <c r="W244" s="4272"/>
      <c r="X244" s="4272"/>
      <c r="Y244" s="4272"/>
      <c r="Z244" s="4272"/>
      <c r="AA244" s="4272"/>
      <c r="AB244" s="4272"/>
      <c r="AC244" s="4272"/>
      <c r="AD244" s="4272"/>
      <c r="AE244" s="4272"/>
      <c r="AF244" s="4272"/>
      <c r="AG244" s="4273"/>
      <c r="AH244" s="2496"/>
      <c r="AI244" s="4328"/>
      <c r="AJ244" s="2785" t="s">
        <v>9616</v>
      </c>
      <c r="AK244" s="2785"/>
      <c r="AL244" s="2785"/>
      <c r="AM244" s="2785" t="b">
        <f>COUNTIF(D220:E224,"Primario")&gt;1</f>
        <v>0</v>
      </c>
      <c r="AN244" s="2785"/>
      <c r="AO244" s="2785"/>
      <c r="AP244" s="2785"/>
      <c r="AQ244" s="2786"/>
      <c r="AR244" s="2786"/>
      <c r="AS244" s="2786"/>
      <c r="AT244" s="2786"/>
      <c r="AU244" s="2787"/>
      <c r="AV244" s="2787"/>
      <c r="AW244" s="2787"/>
      <c r="AX244" s="2785"/>
      <c r="AY244" s="2785"/>
    </row>
    <row r="245" spans="1:51" ht="12.75" customHeight="1" x14ac:dyDescent="0.2">
      <c r="A245" s="2487"/>
      <c r="B245" s="2368">
        <f t="shared" si="53"/>
        <v>7</v>
      </c>
      <c r="C245" s="4325"/>
      <c r="D245" s="4271"/>
      <c r="E245" s="4272"/>
      <c r="F245" s="4272"/>
      <c r="G245" s="4272"/>
      <c r="H245" s="4272"/>
      <c r="I245" s="4272"/>
      <c r="J245" s="4272"/>
      <c r="K245" s="4272"/>
      <c r="L245" s="4272"/>
      <c r="M245" s="4272"/>
      <c r="N245" s="4272"/>
      <c r="O245" s="4272"/>
      <c r="P245" s="4272"/>
      <c r="Q245" s="4272"/>
      <c r="R245" s="4272"/>
      <c r="S245" s="4272"/>
      <c r="T245" s="4272"/>
      <c r="U245" s="4272"/>
      <c r="V245" s="4272"/>
      <c r="W245" s="4272"/>
      <c r="X245" s="4272"/>
      <c r="Y245" s="4272"/>
      <c r="Z245" s="4272"/>
      <c r="AA245" s="4272"/>
      <c r="AB245" s="4272"/>
      <c r="AC245" s="4272"/>
      <c r="AD245" s="4272"/>
      <c r="AE245" s="4272"/>
      <c r="AF245" s="4272"/>
      <c r="AG245" s="4273"/>
      <c r="AH245" s="2496"/>
      <c r="AI245" s="4328"/>
      <c r="AJ245" s="2785" t="s">
        <v>9599</v>
      </c>
      <c r="AK245" s="2785"/>
      <c r="AL245" s="2785"/>
      <c r="AM245" s="2785" t="b">
        <f>SUM(V227:AG227)&lt;&gt;Y225+ABS(AC225)*2/5+IF(S216="Si",3*P216,0)</f>
        <v>0</v>
      </c>
      <c r="AN245" s="2785"/>
      <c r="AO245" s="2785"/>
      <c r="AP245" s="2785"/>
      <c r="AQ245" s="2786"/>
      <c r="AR245" s="2786"/>
      <c r="AS245" s="2786"/>
      <c r="AT245" s="2786"/>
      <c r="AU245" s="2787"/>
      <c r="AV245" s="2787"/>
      <c r="AW245" s="2787"/>
      <c r="AX245" s="2785"/>
      <c r="AY245" s="2785"/>
    </row>
    <row r="246" spans="1:51" ht="13.5" customHeight="1" x14ac:dyDescent="0.2">
      <c r="A246" s="2487"/>
      <c r="B246" s="2368">
        <f t="shared" si="53"/>
        <v>7</v>
      </c>
      <c r="C246" s="4325"/>
      <c r="D246" s="4271"/>
      <c r="E246" s="4272"/>
      <c r="F246" s="4272"/>
      <c r="G246" s="4272"/>
      <c r="H246" s="4272"/>
      <c r="I246" s="4272"/>
      <c r="J246" s="4272"/>
      <c r="K246" s="4272"/>
      <c r="L246" s="4272"/>
      <c r="M246" s="4272"/>
      <c r="N246" s="4272"/>
      <c r="O246" s="4272"/>
      <c r="P246" s="4272"/>
      <c r="Q246" s="4272"/>
      <c r="R246" s="4272"/>
      <c r="S246" s="4272"/>
      <c r="T246" s="4272"/>
      <c r="U246" s="4272"/>
      <c r="V246" s="4272"/>
      <c r="W246" s="4272"/>
      <c r="X246" s="4272"/>
      <c r="Y246" s="4272"/>
      <c r="Z246" s="4272"/>
      <c r="AA246" s="4272"/>
      <c r="AB246" s="4272"/>
      <c r="AC246" s="4272"/>
      <c r="AD246" s="4272"/>
      <c r="AE246" s="4272"/>
      <c r="AF246" s="4272"/>
      <c r="AG246" s="4273"/>
      <c r="AH246" s="2496"/>
      <c r="AI246" s="4328"/>
      <c r="AJ246" s="2785" t="s">
        <v>9598</v>
      </c>
      <c r="AK246" s="2785"/>
      <c r="AL246" s="2785"/>
      <c r="AM246" s="2785" t="b">
        <f>AL233-AL234+AM233-AM234&lt;&gt;0</f>
        <v>0</v>
      </c>
      <c r="AN246" s="2787"/>
      <c r="AO246" s="2787"/>
      <c r="AP246" s="2787"/>
      <c r="AQ246" s="2787"/>
      <c r="AR246" s="2786"/>
      <c r="AS246" s="2786"/>
      <c r="AT246" s="2786"/>
      <c r="AU246" s="2787"/>
      <c r="AV246" s="2787"/>
      <c r="AW246" s="2787"/>
      <c r="AX246" s="2785"/>
      <c r="AY246" s="2785"/>
    </row>
    <row r="247" spans="1:51" ht="12.75" customHeight="1" thickBot="1" x14ac:dyDescent="0.25">
      <c r="A247" s="2487"/>
      <c r="B247" s="2368"/>
      <c r="C247" s="4326"/>
      <c r="D247" s="432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330"/>
      <c r="F247" s="4330"/>
      <c r="G247" s="4330"/>
      <c r="H247" s="4330"/>
      <c r="I247" s="4330"/>
      <c r="J247" s="4330"/>
      <c r="K247" s="4330"/>
      <c r="L247" s="4330"/>
      <c r="M247" s="4330"/>
      <c r="N247" s="4330"/>
      <c r="O247" s="4330"/>
      <c r="P247" s="4330"/>
      <c r="Q247" s="4330"/>
      <c r="R247" s="4330"/>
      <c r="S247" s="4330"/>
      <c r="T247" s="4330"/>
      <c r="U247" s="4330"/>
      <c r="V247" s="4330"/>
      <c r="W247" s="4330"/>
      <c r="X247" s="4330"/>
      <c r="Y247" s="4330"/>
      <c r="Z247" s="4330"/>
      <c r="AA247" s="4330"/>
      <c r="AB247" s="4330"/>
      <c r="AC247" s="4330"/>
      <c r="AD247" s="4330"/>
      <c r="AE247" s="4330"/>
      <c r="AF247" s="4330"/>
      <c r="AG247" s="4331"/>
      <c r="AH247" s="2496"/>
      <c r="AI247" s="4328"/>
      <c r="AJ247" s="2785" t="s">
        <v>9635</v>
      </c>
      <c r="AK247" s="2787"/>
      <c r="AL247" s="2787"/>
      <c r="AM247" s="2787" t="b">
        <f>ABS(SUM(N225:N227))&gt;(SUM(N220:N224)-10*Y225+AC225+IF(S216="Si",10*P216,0)+IF(COUNTIF(K220:M224,"Mantenido")&gt;0,P216*10)+MAX(IF(COUNTIF(K220:M224,"Sostenimiento Menor")&gt;0,P216*20)+IF(COUNTIF(K220:M224,"Sostenimiento Mayor")&gt;0,P216*30)))/2</f>
        <v>0</v>
      </c>
      <c r="AN247" s="2785"/>
      <c r="AO247" s="2785"/>
      <c r="AP247" s="2785"/>
      <c r="AQ247" s="2785"/>
      <c r="AR247" s="2786"/>
      <c r="AS247" s="2786"/>
      <c r="AT247" s="2786"/>
      <c r="AU247" s="2787"/>
      <c r="AV247" s="2787"/>
      <c r="AW247" s="2787"/>
      <c r="AX247" s="2785"/>
      <c r="AY247" s="2785"/>
    </row>
    <row r="248" spans="1:51" x14ac:dyDescent="0.2">
      <c r="A248" s="2487"/>
      <c r="B248" s="2368"/>
      <c r="C248" s="4232"/>
      <c r="D248" s="4232" t="str">
        <f>IFERROR(VLOOKUP(D229,'Tablas Técnicas'!$O$9:$T$88,2,FALSE),"")</f>
        <v/>
      </c>
      <c r="E248" s="4232"/>
      <c r="F248" s="4232"/>
      <c r="G248" s="4232"/>
      <c r="H248" s="4232"/>
      <c r="I248" s="4232"/>
      <c r="J248" s="4232" t="str">
        <f>IFERROR(VLOOKUP(J229,'Tablas Técnicas'!$O$9:$T$88,2,FALSE),"")</f>
        <v/>
      </c>
      <c r="K248" s="4232"/>
      <c r="L248" s="4232"/>
      <c r="M248" s="4232"/>
      <c r="N248" s="4232"/>
      <c r="O248" s="4232"/>
      <c r="P248" s="4232" t="str">
        <f>IFERROR(VLOOKUP(P229,'Tablas Técnicas'!$O$9:$T$88,2,FALSE),"")</f>
        <v/>
      </c>
      <c r="Q248" s="4232"/>
      <c r="R248" s="4232"/>
      <c r="S248" s="4232"/>
      <c r="T248" s="4232"/>
      <c r="U248" s="4232"/>
      <c r="V248" s="4232" t="str">
        <f>IFERROR(VLOOKUP(V229,'Tablas Técnicas'!$O$9:$T$88,2,FALSE),"")</f>
        <v/>
      </c>
      <c r="W248" s="4232"/>
      <c r="X248" s="4232"/>
      <c r="Y248" s="4232"/>
      <c r="Z248" s="4232"/>
      <c r="AA248" s="4232"/>
      <c r="AB248" s="4232" t="str">
        <f>IFERROR(VLOOKUP(AB229,'Tablas Técnicas'!$O$9:$T$88,2,FALSE),"")</f>
        <v/>
      </c>
      <c r="AC248" s="4232"/>
      <c r="AD248" s="4232"/>
      <c r="AE248" s="4232"/>
      <c r="AF248" s="4232"/>
      <c r="AG248" s="4232"/>
      <c r="AH248" s="2496"/>
      <c r="AI248" s="2188"/>
      <c r="AJ248" s="2785"/>
      <c r="AK248" s="2785"/>
      <c r="AL248" s="2785"/>
      <c r="AM248" s="2785"/>
      <c r="AN248" s="2785"/>
      <c r="AO248" s="2785"/>
      <c r="AP248" s="2785"/>
      <c r="AQ248" s="2785"/>
      <c r="AR248" s="2786"/>
      <c r="AS248" s="2786"/>
      <c r="AT248" s="2786"/>
      <c r="AU248" s="2787"/>
      <c r="AV248" s="2787"/>
      <c r="AW248" s="2787"/>
      <c r="AX248" s="2787"/>
      <c r="AY248" s="2785"/>
    </row>
    <row r="249" spans="1:51" ht="12" thickBot="1" x14ac:dyDescent="0.25">
      <c r="A249" s="2487"/>
      <c r="B249" s="2368"/>
      <c r="C249" s="4232"/>
      <c r="D249" s="2635"/>
      <c r="E249" s="2370"/>
      <c r="F249" s="2370"/>
      <c r="G249" s="2370"/>
      <c r="H249" s="2370"/>
      <c r="I249" s="2370"/>
      <c r="J249" s="2370"/>
      <c r="K249" s="2370"/>
      <c r="L249" s="2370"/>
      <c r="M249" s="2370"/>
      <c r="N249" s="2370"/>
      <c r="O249" s="2370"/>
      <c r="P249" s="2370"/>
      <c r="Q249" s="2370"/>
      <c r="R249" s="2370"/>
      <c r="S249" s="2370"/>
      <c r="T249" s="2370"/>
      <c r="U249" s="2370"/>
      <c r="V249" s="2636"/>
      <c r="W249" s="2636"/>
      <c r="X249" s="2636"/>
      <c r="Y249" s="2636"/>
      <c r="Z249" s="2636"/>
      <c r="AA249" s="2636"/>
      <c r="AB249" s="2636"/>
      <c r="AC249" s="2636"/>
      <c r="AD249" s="2636"/>
      <c r="AE249" s="2636"/>
      <c r="AF249" s="2370"/>
      <c r="AG249" s="2370"/>
      <c r="AH249" s="2496"/>
      <c r="AI249" s="2188"/>
      <c r="AJ249" s="2793"/>
      <c r="AK249" s="2793"/>
      <c r="AL249" s="2793"/>
      <c r="AM249" s="2793"/>
      <c r="AN249" s="2793"/>
      <c r="AO249" s="2793"/>
      <c r="AP249" s="2785"/>
      <c r="AQ249" s="2786"/>
      <c r="AR249" s="2787"/>
      <c r="AS249" s="2787"/>
      <c r="AT249" s="2787"/>
      <c r="AU249" s="2787"/>
      <c r="AV249" s="2787"/>
      <c r="AW249" s="2787"/>
      <c r="AX249" s="2787"/>
      <c r="AY249" s="2794"/>
    </row>
    <row r="250" spans="1:51" ht="11.25" customHeight="1" x14ac:dyDescent="0.2">
      <c r="A250" s="2487"/>
      <c r="B250" s="2368">
        <f t="shared" ref="B250:B280" si="62">1+B216</f>
        <v>8</v>
      </c>
      <c r="C250" s="4324" t="str">
        <f>"Técnica "&amp;B250</f>
        <v>Técnica 8</v>
      </c>
      <c r="D250" s="4318" t="s">
        <v>8999</v>
      </c>
      <c r="E250" s="4319"/>
      <c r="F250" s="4319"/>
      <c r="G250" s="4319"/>
      <c r="H250" s="4319"/>
      <c r="I250" s="4319"/>
      <c r="J250" s="4319"/>
      <c r="K250" s="4319"/>
      <c r="L250" s="4319"/>
      <c r="M250" s="4319"/>
      <c r="N250" s="4320"/>
      <c r="O250" s="4284" t="s">
        <v>1333</v>
      </c>
      <c r="P250" s="4286">
        <v>1</v>
      </c>
      <c r="Q250" s="4203" t="s">
        <v>9083</v>
      </c>
      <c r="R250" s="4280"/>
      <c r="S250" s="4282" t="s">
        <v>1389</v>
      </c>
      <c r="T250" s="4204" t="s">
        <v>1514</v>
      </c>
      <c r="U250" s="4268">
        <f>MAX(IF(P250=3,60,IF(P250=2,40,20)),MIN(IF(P250=3,200,IF(P250=2,100,50)),SUM(N254:N261)-10*Y259+AC259+IF(S250="Si",10*P250,0)+IF(COUNTIF(K254:M258,"Mantenido")&gt;0,P250*10)+MAX(IF(COUNTIF(K254:M258,"Sostenimiento Menor")&gt;0,P250*20)+IF(COUNTIF(K254:M258,"Sostenimiento Mayor")&gt;0,P250*30))))</f>
        <v>20</v>
      </c>
      <c r="V250" s="4203" t="s">
        <v>9084</v>
      </c>
      <c r="W250" s="4204"/>
      <c r="X250" s="4207" t="str">
        <f>IFERROR(LEFT(AK266&amp;AL266&amp;AM266&amp;AN266&amp;AO266&amp;AP266,LEN(AK266&amp;AL266&amp;AM266&amp;AN266&amp;AO266&amp;AP266)-2),"")</f>
        <v/>
      </c>
      <c r="Y250" s="4207"/>
      <c r="Z250" s="4207"/>
      <c r="AA250" s="4207"/>
      <c r="AB250" s="4207"/>
      <c r="AC250" s="4207"/>
      <c r="AD250" s="4207"/>
      <c r="AE250" s="4207"/>
      <c r="AF250" s="4207"/>
      <c r="AG250" s="4208"/>
      <c r="AH250" s="2496"/>
      <c r="AI250" s="4328"/>
      <c r="AJ250" s="2790" t="s">
        <v>9632</v>
      </c>
      <c r="AK250" s="2790"/>
      <c r="AL250" s="2790"/>
      <c r="AM250" s="2790"/>
      <c r="AN250" s="2790"/>
      <c r="AO250" s="2790"/>
      <c r="AP250" s="2790"/>
      <c r="AQ250" s="2790"/>
      <c r="AR250" s="2790"/>
      <c r="AS250" s="2785"/>
      <c r="AT250" s="2785"/>
      <c r="AU250" s="2785"/>
      <c r="AV250" s="2785"/>
      <c r="AW250" s="2787"/>
      <c r="AX250" s="2787"/>
      <c r="AY250" s="2785"/>
    </row>
    <row r="251" spans="1:51" ht="11.25" customHeight="1" x14ac:dyDescent="0.2">
      <c r="A251" s="2487"/>
      <c r="B251" s="2368">
        <f t="shared" si="62"/>
        <v>8</v>
      </c>
      <c r="C251" s="4325"/>
      <c r="D251" s="4321"/>
      <c r="E251" s="4322"/>
      <c r="F251" s="4322"/>
      <c r="G251" s="4322"/>
      <c r="H251" s="4322"/>
      <c r="I251" s="4322"/>
      <c r="J251" s="4322"/>
      <c r="K251" s="4322"/>
      <c r="L251" s="4322"/>
      <c r="M251" s="4322"/>
      <c r="N251" s="4323"/>
      <c r="O251" s="4285"/>
      <c r="P251" s="4283"/>
      <c r="Q251" s="4205"/>
      <c r="R251" s="4281"/>
      <c r="S251" s="4283"/>
      <c r="T251" s="4206"/>
      <c r="U251" s="4269"/>
      <c r="V251" s="4205"/>
      <c r="W251" s="4206"/>
      <c r="X251" s="4209"/>
      <c r="Y251" s="4209"/>
      <c r="Z251" s="4209"/>
      <c r="AA251" s="4209"/>
      <c r="AB251" s="4209"/>
      <c r="AC251" s="4209"/>
      <c r="AD251" s="4209"/>
      <c r="AE251" s="4209"/>
      <c r="AF251" s="4209"/>
      <c r="AG251" s="4210"/>
      <c r="AH251" s="2496"/>
      <c r="AI251" s="4328"/>
      <c r="AJ251" s="2790"/>
      <c r="AK251" s="2790" t="s">
        <v>9633</v>
      </c>
      <c r="AL251" s="2790" t="s">
        <v>10237</v>
      </c>
      <c r="AM251" s="2791"/>
      <c r="AN251" s="2791"/>
      <c r="AO251" s="2791"/>
      <c r="AP251" s="2791"/>
      <c r="AQ251" s="2791"/>
      <c r="AR251" s="2790"/>
      <c r="AS251" s="2785"/>
      <c r="AT251" s="2785"/>
      <c r="AU251" s="2785"/>
      <c r="AV251" s="2785"/>
      <c r="AW251" s="2787"/>
      <c r="AX251" s="4327" t="s">
        <v>9602</v>
      </c>
      <c r="AY251" s="4327"/>
    </row>
    <row r="252" spans="1:51" ht="12" customHeight="1" x14ac:dyDescent="0.2">
      <c r="A252" s="2487"/>
      <c r="B252" s="2368">
        <f t="shared" si="62"/>
        <v>8</v>
      </c>
      <c r="C252" s="4325"/>
      <c r="D252" s="4213" t="s">
        <v>2910</v>
      </c>
      <c r="E252" s="4214"/>
      <c r="F252" s="4214"/>
      <c r="G252" s="4214"/>
      <c r="H252" s="4214"/>
      <c r="I252" s="4214"/>
      <c r="J252" s="4214"/>
      <c r="K252" s="4290" t="s">
        <v>9935</v>
      </c>
      <c r="L252" s="4290"/>
      <c r="M252" s="4290"/>
      <c r="N252" s="4214" t="s">
        <v>1508</v>
      </c>
      <c r="O252" s="4290" t="s">
        <v>2908</v>
      </c>
      <c r="P252" s="4290" t="s">
        <v>9085</v>
      </c>
      <c r="Q252" s="4214" t="s">
        <v>1372</v>
      </c>
      <c r="R252" s="4214"/>
      <c r="S252" s="4214"/>
      <c r="T252" s="4214"/>
      <c r="U252" s="4214"/>
      <c r="V252" s="4202" t="s">
        <v>1381</v>
      </c>
      <c r="W252" s="4185"/>
      <c r="X252" s="4202" t="s">
        <v>1506</v>
      </c>
      <c r="Y252" s="4287"/>
      <c r="Z252" s="4185" t="s">
        <v>1386</v>
      </c>
      <c r="AA252" s="4185"/>
      <c r="AB252" s="4202" t="s">
        <v>1391</v>
      </c>
      <c r="AC252" s="4287"/>
      <c r="AD252" s="4185" t="s">
        <v>1399</v>
      </c>
      <c r="AE252" s="4185"/>
      <c r="AF252" s="4202" t="s">
        <v>1400</v>
      </c>
      <c r="AG252" s="4186"/>
      <c r="AH252" s="2496"/>
      <c r="AI252" s="4328"/>
      <c r="AJ252" s="2785"/>
      <c r="AK252" s="2785"/>
      <c r="AL252" s="2785" t="s">
        <v>9910</v>
      </c>
      <c r="AM252" s="2785"/>
      <c r="AN252" s="2785"/>
      <c r="AO252" s="2785"/>
      <c r="AP252" s="2785"/>
      <c r="AQ252" s="2785"/>
      <c r="AR252" s="2787"/>
      <c r="AS252" s="2787" t="s">
        <v>9622</v>
      </c>
      <c r="AT252" s="2787" t="s">
        <v>9623</v>
      </c>
      <c r="AU252" s="2785" t="s">
        <v>9611</v>
      </c>
      <c r="AV252" s="2785" t="s">
        <v>9612</v>
      </c>
      <c r="AW252" s="2787" t="s">
        <v>1508</v>
      </c>
      <c r="AX252" s="2787" t="s">
        <v>9087</v>
      </c>
      <c r="AY252" s="2785" t="s">
        <v>9088</v>
      </c>
    </row>
    <row r="253" spans="1:51" ht="12.75" customHeight="1" x14ac:dyDescent="0.2">
      <c r="A253" s="2487"/>
      <c r="B253" s="2368">
        <f t="shared" si="62"/>
        <v>8</v>
      </c>
      <c r="C253" s="4325"/>
      <c r="D253" s="4288"/>
      <c r="E253" s="4289"/>
      <c r="F253" s="4289"/>
      <c r="G253" s="4289"/>
      <c r="H253" s="4289"/>
      <c r="I253" s="4289"/>
      <c r="J253" s="4289"/>
      <c r="K253" s="4291"/>
      <c r="L253" s="4291"/>
      <c r="M253" s="4291"/>
      <c r="N253" s="4215"/>
      <c r="O253" s="4291"/>
      <c r="P253" s="4292"/>
      <c r="Q253" s="4215"/>
      <c r="R253" s="4215"/>
      <c r="S253" s="4215"/>
      <c r="T253" s="4215"/>
      <c r="U253" s="4215"/>
      <c r="V253" s="2373" t="s">
        <v>9601</v>
      </c>
      <c r="W253" s="2488" t="s">
        <v>2914</v>
      </c>
      <c r="X253" s="2373" t="s">
        <v>9601</v>
      </c>
      <c r="Y253" s="2488" t="s">
        <v>2914</v>
      </c>
      <c r="Z253" s="2373" t="s">
        <v>9601</v>
      </c>
      <c r="AA253" s="2488" t="s">
        <v>2914</v>
      </c>
      <c r="AB253" s="2373" t="s">
        <v>9601</v>
      </c>
      <c r="AC253" s="2488" t="s">
        <v>2914</v>
      </c>
      <c r="AD253" s="2373" t="s">
        <v>9601</v>
      </c>
      <c r="AE253" s="2488" t="s">
        <v>2914</v>
      </c>
      <c r="AF253" s="2373" t="s">
        <v>9601</v>
      </c>
      <c r="AG253" s="2195" t="s">
        <v>2914</v>
      </c>
      <c r="AH253" s="2496"/>
      <c r="AI253" s="4328"/>
      <c r="AJ253" s="2785"/>
      <c r="AK253" s="2785" t="s">
        <v>9603</v>
      </c>
      <c r="AL253" s="2785">
        <v>1</v>
      </c>
      <c r="AM253" s="2785">
        <v>2</v>
      </c>
      <c r="AN253" s="2785">
        <v>3</v>
      </c>
      <c r="AO253" s="2785">
        <v>4</v>
      </c>
      <c r="AP253" s="2785">
        <v>5</v>
      </c>
      <c r="AQ253" s="2785">
        <v>6</v>
      </c>
      <c r="AR253" s="2785">
        <v>7</v>
      </c>
      <c r="AS253" s="2787"/>
      <c r="AT253" s="2785" t="s">
        <v>9634</v>
      </c>
      <c r="AU253" s="2787"/>
      <c r="AV253" s="2787"/>
      <c r="AW253" s="2787" t="s">
        <v>9634</v>
      </c>
      <c r="AX253" s="2787"/>
      <c r="AY253" s="2785"/>
    </row>
    <row r="254" spans="1:51" ht="12.75" customHeight="1" x14ac:dyDescent="0.2">
      <c r="A254" s="2487"/>
      <c r="B254" s="2368">
        <f t="shared" si="62"/>
        <v>8</v>
      </c>
      <c r="C254" s="4325"/>
      <c r="D254" s="4293" t="s">
        <v>9089</v>
      </c>
      <c r="E254" s="4294"/>
      <c r="F254" s="4295"/>
      <c r="G254" s="4296"/>
      <c r="H254" s="4296"/>
      <c r="I254" s="4296"/>
      <c r="J254" s="4240"/>
      <c r="K254" s="4297" t="s">
        <v>1464</v>
      </c>
      <c r="L254" s="4298"/>
      <c r="M254" s="4299"/>
      <c r="N254" s="2374">
        <f>IF(AW254&gt;0,IF(VLOOKUP(F254,'Tablas Técnicas'!$O$9:$X$88,10,0),MAX(5,AW254-5),AW254),0)</f>
        <v>0</v>
      </c>
      <c r="O254" s="2374" t="str">
        <f>AS254&amp;" / "&amp;AT254</f>
        <v>0 / 0</v>
      </c>
      <c r="P254" s="2374" t="str">
        <f t="array" ref="P254">W254+Y254+AA254+AC254+AE254+AG254&amp;" / "&amp;IF(K254&lt;&gt;"Mantenido",0,SUM(IF($AL254:$AR254='Tablas Técnicas'!$L$10:$L$643,'Tablas Técnicas'!$H$10:$H$643,0)))</f>
        <v>0 / 0</v>
      </c>
      <c r="Q254" s="4300" t="str">
        <f>IFERROR(VLOOKUP(F254,'Tablas Técnicas'!$O$9:$T$88,5,FALSE),"")</f>
        <v/>
      </c>
      <c r="R254" s="4300"/>
      <c r="S254" s="4300"/>
      <c r="T254" s="4300"/>
      <c r="U254" s="4300"/>
      <c r="V254" s="2324"/>
      <c r="W254" s="2325"/>
      <c r="X254" s="2324"/>
      <c r="Y254" s="2326"/>
      <c r="Z254" s="2327"/>
      <c r="AA254" s="2325"/>
      <c r="AB254" s="2324"/>
      <c r="AC254" s="2326"/>
      <c r="AD254" s="2327"/>
      <c r="AE254" s="2325"/>
      <c r="AF254" s="2324"/>
      <c r="AG254" s="2328"/>
      <c r="AH254" s="2496"/>
      <c r="AI254" s="4328"/>
      <c r="AJ254" s="2785">
        <v>1</v>
      </c>
      <c r="AK254" s="2785">
        <f>P250</f>
        <v>1</v>
      </c>
      <c r="AL254" s="2785" t="str">
        <f>IF(AND(ISNUMBER(MATCH($F254,'Tablas Técnicas'!$L$10:$L$643,0)),INDEX($D267:$D273,Tablas!A$1)="",COUNTIF(AM254:$AS254,$F254)=0),$F254,IF(INDEX($D267:$D273,Tablas!A$1)="","",$F254&amp;INDEX($D267:$D273,Tablas!A$1)))</f>
        <v/>
      </c>
      <c r="AM254" s="2785" t="str">
        <f>IF(AND(ISNUMBER(MATCH($F254,'Tablas Técnicas'!$L$10:$L$643,0)),INDEX($D267:$D273,Tablas!B$1)="",COUNTIF(AN254:$AS254,$F254)=0),$F254,IF(INDEX($D267:$D273,Tablas!B$1)="","",$F254&amp;INDEX($D267:$D273,Tablas!B$1)))</f>
        <v/>
      </c>
      <c r="AN254" s="2785" t="str">
        <f>IF(AND(ISNUMBER(MATCH($F254,'Tablas Técnicas'!$L$10:$L$643,0)),INDEX($D267:$D273,Tablas!C$1)="",COUNTIF(AO254:$AS254,$F254)=0),$F254,IF(INDEX($D267:$D273,Tablas!C$1)="","",$F254&amp;INDEX($D267:$D273,Tablas!C$1)))</f>
        <v/>
      </c>
      <c r="AO254" s="2785" t="str">
        <f>IF(AND(ISNUMBER(MATCH($F254,'Tablas Técnicas'!$L$10:$L$643,0)),INDEX($D267:$D273,Tablas!D$1)="",COUNTIF(AP254:$AS254,$F254)=0),$F254,IF(INDEX($D267:$D273,Tablas!D$1)="","",$F254&amp;INDEX($D267:$D273,Tablas!D$1)))</f>
        <v/>
      </c>
      <c r="AP254" s="2785" t="str">
        <f>IF(AND(ISNUMBER(MATCH($F254,'Tablas Técnicas'!$L$10:$L$643,0)),INDEX($D267:$D273,Tablas!E$1)="",COUNTIF(AQ254:$AS254,$F254)=0),$F254,IF(INDEX($D267:$D273,Tablas!E$1)="","",$F254&amp;INDEX($D267:$D273,Tablas!E$1)))</f>
        <v/>
      </c>
      <c r="AQ254" s="2785" t="str">
        <f>IF(AND(ISNUMBER(MATCH($F254,'Tablas Técnicas'!$L$10:$L$643,0)),INDEX($D267:$D273,Tablas!F$1)="",COUNTIF(AR254:$AS254,$F254)=0),$F254,IF(INDEX($D267:$D273,Tablas!F$1)="","",$F254&amp;INDEX($D267:$D273,Tablas!F$1)))</f>
        <v/>
      </c>
      <c r="AR254" s="2785" t="str">
        <f>IF(AND(ISNUMBER(MATCH($F254,'Tablas Técnicas'!$L$10:$L$643,0)),INDEX($D267:$D273,Tablas!G$1)="",COUNTIF(AS254:$AS254,$F254)=0),$F254,IF(INDEX($D267:$D273,Tablas!G$1)="","",$F254&amp;INDEX($D267:$D273,Tablas!G$1)))</f>
        <v/>
      </c>
      <c r="AS254" s="2787">
        <f>V254+X254+Z254+AB254+AD254+AF254</f>
        <v>0</v>
      </c>
      <c r="AT254" s="2787">
        <f t="array" ref="AT254">SUM(IF($AL254:$AR254='Tablas Técnicas'!$L$10:$L$643,IF(D254="Primario",'Tablas Técnicas'!$E$10:$E$643,'Tablas Técnicas'!$F$10:$F$643)+IF(K254="Sostenimiento menor",'Tablas Técnicas'!$I$10:$I$643,IF(K254="sostenimiento mayor",'Tablas Técnicas'!$J$10:$J$643,0)),0),0)+VALUE(RIGHT(P254,2))+AU254+AV254</f>
        <v>0</v>
      </c>
      <c r="AU254" s="278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7">
        <f>(COUNTIF(AL254:AR254,"*Estado añadido:*")-1)*COUNTIF(AL254:AR254,"*Estado añadido:*")</f>
        <v>0</v>
      </c>
      <c r="AW254" s="2787">
        <f t="array" ref="AW254">SUM(IF($AL254:$AR254='Tablas Técnicas'!$L$10:$L$643,'Tablas Técnicas'!$G$10:$G$643,0))</f>
        <v>0</v>
      </c>
      <c r="AX254" s="2785"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5" t="str">
        <f t="shared" ref="AY254:AY256" si="63">IFERROR(LEFT(AX254,LEN(AX254)-2)&amp;"), ","")</f>
        <v/>
      </c>
    </row>
    <row r="255" spans="1:51" ht="12.75" customHeight="1" x14ac:dyDescent="0.2">
      <c r="A255" s="2487"/>
      <c r="B255" s="2368">
        <f t="shared" si="62"/>
        <v>8</v>
      </c>
      <c r="C255" s="4325"/>
      <c r="D255" s="4221" t="s">
        <v>526</v>
      </c>
      <c r="E255" s="4222"/>
      <c r="F255" s="4304"/>
      <c r="G255" s="4305"/>
      <c r="H255" s="4305"/>
      <c r="I255" s="4305"/>
      <c r="J255" s="4249"/>
      <c r="K255" s="4306" t="s">
        <v>1464</v>
      </c>
      <c r="L255" s="4307"/>
      <c r="M255" s="4308"/>
      <c r="N255" s="2192">
        <f>IF(AW255&gt;0,IF(VLOOKUP(F255,'Tablas Técnicas'!$O$9:$X$88,10,0),MAX(5,AW255-5),AW255),0)</f>
        <v>0</v>
      </c>
      <c r="O255" s="2192" t="str">
        <f>AS255&amp;" / "&amp;AT255</f>
        <v>0 / 0</v>
      </c>
      <c r="P255" s="2192" t="str">
        <f t="array" ref="P255">W255+Y255+AA255+AC255+AE255+AG255&amp;" / "&amp;IF(K255&lt;&gt;"Mantenido",0,SUM(IF($AL255:$AR255='Tablas Técnicas'!$L$10:$L$643,'Tablas Técnicas'!$H$10:$H$643,0)))</f>
        <v>0 / 0</v>
      </c>
      <c r="Q255" s="4223" t="str">
        <f>IFERROR(VLOOKUP(F255,'Tablas Técnicas'!$O$9:$T$88,5,FALSE),"")</f>
        <v/>
      </c>
      <c r="R255" s="4223"/>
      <c r="S255" s="4223"/>
      <c r="T255" s="4223"/>
      <c r="U255" s="4223"/>
      <c r="V255" s="2329"/>
      <c r="W255" s="2330"/>
      <c r="X255" s="2329"/>
      <c r="Y255" s="2331"/>
      <c r="Z255" s="2332"/>
      <c r="AA255" s="2330"/>
      <c r="AB255" s="2329"/>
      <c r="AC255" s="2331"/>
      <c r="AD255" s="2332"/>
      <c r="AE255" s="2330"/>
      <c r="AF255" s="2329"/>
      <c r="AG255" s="2333"/>
      <c r="AH255" s="2496"/>
      <c r="AI255" s="4328"/>
      <c r="AJ255" s="2785">
        <v>2</v>
      </c>
      <c r="AK255" s="2785">
        <f>P250</f>
        <v>1</v>
      </c>
      <c r="AL255" s="2785" t="str">
        <f>IF(AND(ISNUMBER(MATCH($F255,'Tablas Técnicas'!$L$10:$L$643,0)),INDEX($J267:$J273,Tablas!A$1)="",COUNTIF(AM255:$AS255,$F255)=0),$F255,IF(INDEX($J267:$J273,Tablas!A$1)="","",$F255&amp;INDEX($J267:$J273,Tablas!A$1)))</f>
        <v/>
      </c>
      <c r="AM255" s="2785" t="str">
        <f>IF(AND(ISNUMBER(MATCH($F255,'Tablas Técnicas'!$L$10:$L$643,0)),INDEX($J267:$J273,Tablas!B$1)="",COUNTIF(AN255:$AS255,$F255)=0),$F255,IF(INDEX($J267:$J273,Tablas!B$1)="","",$F255&amp;INDEX($J267:$J273,Tablas!B$1)))</f>
        <v/>
      </c>
      <c r="AN255" s="2785" t="str">
        <f>IF(AND(ISNUMBER(MATCH($F255,'Tablas Técnicas'!$L$10:$L$643,0)),INDEX($J267:$J273,Tablas!C$1)="",COUNTIF(AO255:$AS255,$F255)=0),$F255,IF(INDEX($J267:$J273,Tablas!C$1)="","",$F255&amp;INDEX($J267:$J273,Tablas!C$1)))</f>
        <v/>
      </c>
      <c r="AO255" s="2785" t="str">
        <f>IF(AND(ISNUMBER(MATCH($F255,'Tablas Técnicas'!$L$10:$L$643,0)),INDEX($J267:$J273,Tablas!D$1)="",COUNTIF(AP255:$AS255,$F255)=0),$F255,IF(INDEX($J267:$J273,Tablas!D$1)="","",$F255&amp;INDEX($J267:$J273,Tablas!D$1)))</f>
        <v/>
      </c>
      <c r="AP255" s="2785" t="str">
        <f>IF(AND(ISNUMBER(MATCH($F255,'Tablas Técnicas'!$L$10:$L$643,0)),INDEX($J267:$J273,Tablas!E$1)="",COUNTIF(AQ255:$AS255,$F255)=0),$F255,IF(INDEX($J267:$J273,Tablas!E$1)="","",$F255&amp;INDEX($J267:$J273,Tablas!E$1)))</f>
        <v/>
      </c>
      <c r="AQ255" s="2785" t="str">
        <f>IF(AND(ISNUMBER(MATCH($F255,'Tablas Técnicas'!$L$10:$L$643,0)),INDEX($J267:$J273,Tablas!F$1)="",COUNTIF(AR255:$AS255,$F255)=0),$F255,IF(INDEX($J267:$J273,Tablas!F$1)="","",$F255&amp;INDEX($J267:$J273,Tablas!F$1)))</f>
        <v/>
      </c>
      <c r="AR255" s="2785" t="str">
        <f>IF(AND(ISNUMBER(MATCH($F255,'Tablas Técnicas'!$L$10:$L$643,0)),INDEX($J267:$J273,Tablas!G$1)="",COUNTIF(AS255:$AS255,$F255)=0),$F255,IF(INDEX($J267:$J273,Tablas!G$1)="","",$F255&amp;INDEX($J267:$J273,Tablas!G$1)))</f>
        <v/>
      </c>
      <c r="AS255" s="2787">
        <f>V255+X255+Z255+AB255+AD255+AF255</f>
        <v>0</v>
      </c>
      <c r="AT255" s="2787">
        <f t="array" ref="AT255">SUM(IF($AL255:$AR255='Tablas Técnicas'!$L$10:$L$643,IF(D255="Primario",'Tablas Técnicas'!$E$10:$E$643,'Tablas Técnicas'!$F$10:$F$643)+IF(K255="Sostenimiento menor",'Tablas Técnicas'!$I$10:$I$643,IF(K255="sostenimiento mayor",'Tablas Técnicas'!$J$10:$J$643,0)),0),0)+VALUE(RIGHT(P255,2))+AU255+AV255</f>
        <v>0</v>
      </c>
      <c r="AU255" s="278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7">
        <f>(COUNTIF(AL255:AR255,"*Estado añadido:*")-1)*COUNTIF(AL255:AR255,"*Estado añadido:*")</f>
        <v>0</v>
      </c>
      <c r="AW255" s="2787">
        <f t="array" ref="AW255">SUM(IF($AL255:$AR255='Tablas Técnicas'!$L$10:$L$643,'Tablas Técnicas'!$G$10:$G$643,0))</f>
        <v>0</v>
      </c>
      <c r="AX255" s="2785"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5" t="str">
        <f t="shared" si="63"/>
        <v/>
      </c>
    </row>
    <row r="256" spans="1:51" ht="12.75" customHeight="1" x14ac:dyDescent="0.2">
      <c r="A256" s="2487"/>
      <c r="B256" s="2368">
        <f t="shared" si="62"/>
        <v>8</v>
      </c>
      <c r="C256" s="4325"/>
      <c r="D256" s="4312" t="s">
        <v>526</v>
      </c>
      <c r="E256" s="4313"/>
      <c r="F256" s="4227"/>
      <c r="G256" s="4228"/>
      <c r="H256" s="4228"/>
      <c r="I256" s="4228"/>
      <c r="J256" s="4229"/>
      <c r="K256" s="4309" t="s">
        <v>1464</v>
      </c>
      <c r="L256" s="4310"/>
      <c r="M256" s="4311"/>
      <c r="N256" s="2188">
        <f>IF(AW256&gt;0,IF(VLOOKUP(F256,'Tablas Técnicas'!$O$9:$X$88,10,0),MAX(5,AW256-5),AW256),0)</f>
        <v>0</v>
      </c>
      <c r="O256" s="2188" t="str">
        <f>AS256&amp;" / "&amp;AT256</f>
        <v>0 / 0</v>
      </c>
      <c r="P256" s="2188" t="str">
        <f t="array" ref="P256">W256+Y256+AA256+AC256+AE256+AG256&amp;" / "&amp;IF(K256&lt;&gt;"Mantenido",0,SUM(IF($AL256:$AR256='Tablas Técnicas'!$L$10:$L$643,'Tablas Técnicas'!$H$10:$H$643,0)))</f>
        <v>0 / 0</v>
      </c>
      <c r="Q256" s="4314" t="str">
        <f>IFERROR(VLOOKUP(F256,'Tablas Técnicas'!$O$9:$T$88,5,FALSE),"")</f>
        <v/>
      </c>
      <c r="R256" s="4314"/>
      <c r="S256" s="4314"/>
      <c r="T256" s="4314"/>
      <c r="U256" s="4314"/>
      <c r="V256" s="2334"/>
      <c r="W256" s="2335"/>
      <c r="X256" s="2334"/>
      <c r="Y256" s="2336"/>
      <c r="Z256" s="2337"/>
      <c r="AA256" s="2335"/>
      <c r="AB256" s="2334"/>
      <c r="AC256" s="2336"/>
      <c r="AD256" s="2337"/>
      <c r="AE256" s="2335"/>
      <c r="AF256" s="2334"/>
      <c r="AG256" s="2338"/>
      <c r="AH256" s="2496"/>
      <c r="AI256" s="4328"/>
      <c r="AJ256" s="2785">
        <v>3</v>
      </c>
      <c r="AK256" s="2785">
        <f>P250</f>
        <v>1</v>
      </c>
      <c r="AL256" s="2785" t="str">
        <f>IF(AND(ISNUMBER(MATCH($F256,'Tablas Técnicas'!$L$10:$L$643,0)),INDEX($P267:$P273,Tablas!A$1)="",COUNTIF(AM256:$AS256,$F256)=0),$F256,IF(INDEX($P267:$P273,Tablas!A$1)="","",$F256&amp;INDEX($P267:$P273,Tablas!A$1)))</f>
        <v/>
      </c>
      <c r="AM256" s="2785" t="str">
        <f>IF(AND(ISNUMBER(MATCH($F256,'Tablas Técnicas'!$L$10:$L$643,0)),INDEX($P267:$P273,Tablas!B$1)="",COUNTIF(AN256:$AS256,$F256)=0),$F256,IF(INDEX($P267:$P273,Tablas!B$1)="","",$F256&amp;INDEX($P267:$P273,Tablas!B$1)))</f>
        <v/>
      </c>
      <c r="AN256" s="2785" t="str">
        <f>IF(AND(ISNUMBER(MATCH($F256,'Tablas Técnicas'!$L$10:$L$643,0)),INDEX($P267:$P273,Tablas!C$1)="",COUNTIF(AO256:$AS256,$F256)=0),$F256,IF(INDEX($P267:$P273,Tablas!C$1)="","",$F256&amp;INDEX($P267:$P273,Tablas!C$1)))</f>
        <v/>
      </c>
      <c r="AO256" s="2785" t="str">
        <f>IF(AND(ISNUMBER(MATCH($F256,'Tablas Técnicas'!$L$10:$L$643,0)),INDEX($P267:$P273,Tablas!D$1)="",COUNTIF(AP256:$AS256,$F256)=0),$F256,IF(INDEX($P267:$P273,Tablas!D$1)="","",$F256&amp;INDEX($P267:$P273,Tablas!D$1)))</f>
        <v/>
      </c>
      <c r="AP256" s="2785" t="str">
        <f>IF(AND(ISNUMBER(MATCH($F256,'Tablas Técnicas'!$L$10:$L$643,0)),INDEX($P267:$P273,Tablas!E$1)="",COUNTIF(AQ256:$AS256,$F256)=0),$F256,IF(INDEX($P267:$P273,Tablas!E$1)="","",$F256&amp;INDEX($P267:$P273,Tablas!E$1)))</f>
        <v/>
      </c>
      <c r="AQ256" s="2785" t="str">
        <f>IF(AND(ISNUMBER(MATCH($F256,'Tablas Técnicas'!$L$10:$L$643,0)),INDEX($P267:$P273,Tablas!F$1)="",COUNTIF(AR256:$AS256,$F256)=0),$F256,IF(INDEX($P267:$P273,Tablas!F$1)="","",$F256&amp;INDEX($P267:$P273,Tablas!F$1)))</f>
        <v/>
      </c>
      <c r="AR256" s="2785" t="str">
        <f>IF(AND(ISNUMBER(MATCH($F256,'Tablas Técnicas'!$L$10:$L$643,0)),INDEX($P267:$P273,Tablas!G$1)="",COUNTIF(AS256:$AS256,$F256)=0),$F256,IF(INDEX($P267:$P273,Tablas!G$1)="","",$F256&amp;INDEX($P267:$P273,Tablas!G$1)))</f>
        <v/>
      </c>
      <c r="AS256" s="2787">
        <f>V256+X256+Z256+AB256+AD256+AF256</f>
        <v>0</v>
      </c>
      <c r="AT256" s="2787">
        <f t="array" ref="AT256">SUM(IF($AL256:$AR256='Tablas Técnicas'!$L$10:$L$643,IF(D256="Primario",'Tablas Técnicas'!$E$10:$E$643,'Tablas Técnicas'!$F$10:$F$643)+IF(K256="Sostenimiento menor",'Tablas Técnicas'!$I$10:$I$643,IF(K256="sostenimiento mayor",'Tablas Técnicas'!$J$10:$J$643,0)),0),0)+VALUE(RIGHT(P256,2))+AU256+AV256</f>
        <v>0</v>
      </c>
      <c r="AU256" s="278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7">
        <f>(COUNTIF(AL256:AR256,"*Estado añadido:*")-1)*COUNTIF(AL256:AR256,"*Estado añadido:*")</f>
        <v>0</v>
      </c>
      <c r="AW256" s="2787">
        <f t="array" ref="AW256">SUM(IF($AL256:$AR256='Tablas Técnicas'!$L$10:$L$643,'Tablas Técnicas'!$G$10:$G$643,0))</f>
        <v>0</v>
      </c>
      <c r="AX256" s="2785" t="str">
        <f t="shared" si="64"/>
        <v/>
      </c>
      <c r="AY256" s="2785" t="str">
        <f t="shared" si="63"/>
        <v/>
      </c>
    </row>
    <row r="257" spans="1:51" ht="12.75" customHeight="1" x14ac:dyDescent="0.2">
      <c r="A257" s="2487"/>
      <c r="B257" s="2368">
        <f t="shared" si="62"/>
        <v>8</v>
      </c>
      <c r="C257" s="4325"/>
      <c r="D257" s="4221" t="s">
        <v>526</v>
      </c>
      <c r="E257" s="4222"/>
      <c r="F257" s="4304"/>
      <c r="G257" s="4305"/>
      <c r="H257" s="4305"/>
      <c r="I257" s="4305"/>
      <c r="J257" s="4249"/>
      <c r="K257" s="4306" t="s">
        <v>1464</v>
      </c>
      <c r="L257" s="4307"/>
      <c r="M257" s="4308"/>
      <c r="N257" s="2192">
        <f>IF(AW257&gt;0,IF(VLOOKUP(F257,'Tablas Técnicas'!$O$9:$X$88,10,0),MAX(5,AW257-5),AW257),0)</f>
        <v>0</v>
      </c>
      <c r="O257" s="2192" t="str">
        <f>AS257&amp;" / "&amp;AT257</f>
        <v>0 / 0</v>
      </c>
      <c r="P257" s="2192" t="str">
        <f t="array" ref="P257">W257+Y257+AA257+AC257+AE257+AG257&amp;" / "&amp;IF(K257&lt;&gt;"Mantenido",0,SUM(IF($AL257:$AR257='Tablas Técnicas'!$L$10:$L$643,'Tablas Técnicas'!$H$10:$H$643,0)))</f>
        <v>0 / 0</v>
      </c>
      <c r="Q257" s="4223" t="str">
        <f>IFERROR(VLOOKUP(F257,'Tablas Técnicas'!$O$9:$T$88,5,FALSE),"")</f>
        <v/>
      </c>
      <c r="R257" s="4223"/>
      <c r="S257" s="4223"/>
      <c r="T257" s="4223"/>
      <c r="U257" s="4223"/>
      <c r="V257" s="2329"/>
      <c r="W257" s="2330"/>
      <c r="X257" s="2329"/>
      <c r="Y257" s="2331"/>
      <c r="Z257" s="2332"/>
      <c r="AA257" s="2330"/>
      <c r="AB257" s="2329"/>
      <c r="AC257" s="2331"/>
      <c r="AD257" s="2332"/>
      <c r="AE257" s="2330"/>
      <c r="AF257" s="2329"/>
      <c r="AG257" s="2333"/>
      <c r="AH257" s="2496"/>
      <c r="AI257" s="4328"/>
      <c r="AJ257" s="2785">
        <v>4</v>
      </c>
      <c r="AK257" s="2785">
        <f>P250</f>
        <v>1</v>
      </c>
      <c r="AL257" s="2785" t="str">
        <f>IF(AND(ISNUMBER(MATCH($F257,'Tablas Técnicas'!$L$10:$L$643,0)),INDEX($V267:$V273,Tablas!A$1)="",COUNTIF(AM257:$AS257,$F257)=0),$F257,IF(INDEX($V267:$V273,Tablas!A$1)="","",$F257&amp;INDEX($V267:$V273,Tablas!A$1)))</f>
        <v/>
      </c>
      <c r="AM257" s="2785" t="str">
        <f>IF(AND(ISNUMBER(MATCH($F257,'Tablas Técnicas'!$L$10:$L$643,0)),INDEX($V267:$V273,Tablas!B$1)="",COUNTIF(AN257:$AS257,$F257)=0),$F257,IF(INDEX($V267:$V273,Tablas!B$1)="","",$F257&amp;INDEX($V267:$V273,Tablas!B$1)))</f>
        <v/>
      </c>
      <c r="AN257" s="2785" t="str">
        <f>IF(AND(ISNUMBER(MATCH($F257,'Tablas Técnicas'!$L$10:$L$643,0)),INDEX($V267:$V273,Tablas!C$1)="",COUNTIF(AO257:$AS257,$F257)=0),$F257,IF(INDEX($V267:$V273,Tablas!C$1)="","",$F257&amp;INDEX($V267:$V273,Tablas!C$1)))</f>
        <v/>
      </c>
      <c r="AO257" s="2785" t="str">
        <f>IF(AND(ISNUMBER(MATCH($F257,'Tablas Técnicas'!$L$10:$L$643,0)),INDEX($V267:$V273,Tablas!D$1)="",COUNTIF(AP257:$AS257,$F257)=0),$F257,IF(INDEX($V267:$V273,Tablas!D$1)="","",$F257&amp;INDEX($V267:$V273,Tablas!D$1)))</f>
        <v/>
      </c>
      <c r="AP257" s="2785" t="str">
        <f>IF(AND(ISNUMBER(MATCH($F257,'Tablas Técnicas'!$L$10:$L$643,0)),INDEX($V267:$V273,Tablas!E$1)="",COUNTIF(AQ257:$AS257,$F257)=0),$F257,IF(INDEX($V267:$V273,Tablas!E$1)="","",$F257&amp;INDEX($V267:$V273,Tablas!E$1)))</f>
        <v/>
      </c>
      <c r="AQ257" s="2785" t="str">
        <f>IF(AND(ISNUMBER(MATCH($F257,'Tablas Técnicas'!$L$10:$L$643,0)),INDEX($V267:$V273,Tablas!F$1)="",COUNTIF(AR257:$AS257,$F257)=0),$F257,IF(INDEX($V267:$V273,Tablas!F$1)="","",$F257&amp;INDEX($V267:$V273,Tablas!F$1)))</f>
        <v/>
      </c>
      <c r="AR257" s="2785" t="str">
        <f>IF(AND(ISNUMBER(MATCH($F257,'Tablas Técnicas'!$L$10:$L$643,0)),INDEX($V267:$V273,Tablas!G$1)="",COUNTIF(AS257:$AS257,$F257)=0),$F257,IF(INDEX($V267:$V273,Tablas!G$1)="","",$F257&amp;INDEX($V267:$V273,Tablas!G$1)))</f>
        <v/>
      </c>
      <c r="AS257" s="2787">
        <f>V257+X257+Z257+AB257+AD257+AF257</f>
        <v>0</v>
      </c>
      <c r="AT257" s="2787">
        <f t="array" ref="AT257">SUM(IF($AL257:$AR257='Tablas Técnicas'!$L$10:$L$643,IF(D257="Primario",'Tablas Técnicas'!$E$10:$E$643,'Tablas Técnicas'!$F$10:$F$643)+IF(K257="Sostenimiento menor",'Tablas Técnicas'!$I$10:$I$643,IF(K257="sostenimiento mayor",'Tablas Técnicas'!$J$10:$J$643,0)),0),0)+VALUE(RIGHT(P257,2))+AU257+AV257</f>
        <v>0</v>
      </c>
      <c r="AU257" s="278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7">
        <f>(COUNTIF(AL257:AR257,"*Estado añadido:*")-1)*COUNTIF(AL257:AR257,"*Estado añadido:*")</f>
        <v>0</v>
      </c>
      <c r="AW257" s="2787">
        <f t="array" ref="AW257">SUM(IF($AL257:$AR257='Tablas Técnicas'!$L$10:$L$643,'Tablas Técnicas'!$G$10:$G$643,0))</f>
        <v>0</v>
      </c>
      <c r="AX257" s="2785" t="str">
        <f t="shared" si="64"/>
        <v/>
      </c>
      <c r="AY257" s="2785" t="str">
        <f>IFERROR(LEFT(AX257,LEN(AX257)-2)&amp;"), ","")</f>
        <v/>
      </c>
    </row>
    <row r="258" spans="1:51" ht="12.75" customHeight="1" thickBot="1" x14ac:dyDescent="0.25">
      <c r="A258" s="2487"/>
      <c r="B258" s="2368">
        <f t="shared" si="62"/>
        <v>8</v>
      </c>
      <c r="C258" s="4325"/>
      <c r="D258" s="4224" t="s">
        <v>526</v>
      </c>
      <c r="E258" s="4225"/>
      <c r="F258" s="4315"/>
      <c r="G258" s="4316"/>
      <c r="H258" s="4316"/>
      <c r="I258" s="4316"/>
      <c r="J258" s="4317"/>
      <c r="K258" s="4301" t="s">
        <v>1464</v>
      </c>
      <c r="L258" s="4302"/>
      <c r="M258" s="4303"/>
      <c r="N258" s="2489">
        <f>IF(AW258&gt;0,IF(VLOOKUP(F258,'Tablas Técnicas'!$O$9:$X$88,10,0),MAX(5,AW258-5),AW258),0)</f>
        <v>0</v>
      </c>
      <c r="O258" s="2489" t="str">
        <f>AS258&amp;" / "&amp;AT258</f>
        <v>0 / 0</v>
      </c>
      <c r="P258" s="2489" t="str">
        <f t="array" ref="P258">W258+Y258+AA258+AC258+AE258+AG258&amp;" / "&amp;IF(K258&lt;&gt;"Mantenido",0,SUM(IF($AL258:$AR258='Tablas Técnicas'!$L$10:$L$643,'Tablas Técnicas'!$H$10:$H$643,0)))</f>
        <v>0 / 0</v>
      </c>
      <c r="Q258" s="4226" t="str">
        <f>IFERROR(VLOOKUP(F258,'Tablas Técnicas'!$O$9:$T$88,5,FALSE),"")</f>
        <v/>
      </c>
      <c r="R258" s="4226"/>
      <c r="S258" s="4226"/>
      <c r="T258" s="4226"/>
      <c r="U258" s="4226"/>
      <c r="V258" s="2339"/>
      <c r="W258" s="2340"/>
      <c r="X258" s="2339"/>
      <c r="Y258" s="2341"/>
      <c r="Z258" s="2342"/>
      <c r="AA258" s="2340"/>
      <c r="AB258" s="2339"/>
      <c r="AC258" s="2341"/>
      <c r="AD258" s="2342"/>
      <c r="AE258" s="2340"/>
      <c r="AF258" s="2339"/>
      <c r="AG258" s="2343"/>
      <c r="AH258" s="2496"/>
      <c r="AI258" s="4328"/>
      <c r="AJ258" s="2785">
        <v>5</v>
      </c>
      <c r="AK258" s="2785">
        <f>P250</f>
        <v>1</v>
      </c>
      <c r="AL258" s="2785" t="str">
        <f>IF(AND(ISNUMBER(MATCH($F258,'Tablas Técnicas'!$L$10:$L$643,0)),INDEX($AB267:$AB273,Tablas!A$1)="",COUNTIF(AM258:$AS258,$F258)=0),$F258,IF(INDEX($AB267:$AB273,Tablas!A$1)="","",$F258&amp;INDEX($AB267:$AB273,Tablas!A$1)))</f>
        <v/>
      </c>
      <c r="AM258" s="2785" t="str">
        <f>IF(AND(ISNUMBER(MATCH($F258,'Tablas Técnicas'!$L$10:$L$643,0)),INDEX($AB267:$AB273,Tablas!B$1)="",COUNTIF(AN258:$AS258,$F258)=0),$F258,IF(INDEX($AB267:$AB273,Tablas!B$1)="","",$F258&amp;INDEX($AB267:$AB273,Tablas!B$1)))</f>
        <v/>
      </c>
      <c r="AN258" s="2785" t="str">
        <f>IF(AND(ISNUMBER(MATCH($F258,'Tablas Técnicas'!$L$10:$L$643,0)),INDEX($AB267:$AB273,Tablas!C$1)="",COUNTIF(AO258:$AS258,$F258)=0),$F258,IF(INDEX($AB267:$AB273,Tablas!C$1)="","",$F258&amp;INDEX($AB267:$AB273,Tablas!C$1)))</f>
        <v/>
      </c>
      <c r="AO258" s="2785" t="str">
        <f>IF(AND(ISNUMBER(MATCH($F258,'Tablas Técnicas'!$L$10:$L$643,0)),INDEX($AB267:$AB273,Tablas!D$1)="",COUNTIF(AP258:$AS258,$F258)=0),$F258,IF(INDEX($AB267:$AB273,Tablas!D$1)="","",$F258&amp;INDEX($AB267:$AB273,Tablas!D$1)))</f>
        <v/>
      </c>
      <c r="AP258" s="2785" t="str">
        <f>IF(AND(ISNUMBER(MATCH($F258,'Tablas Técnicas'!$L$10:$L$643,0)),INDEX($AB267:$AB273,Tablas!E$1)="",COUNTIF(AQ258:$AS258,$F258)=0),$F258,IF(INDEX($AB267:$AB273,Tablas!E$1)="","",$F258&amp;INDEX($AB267:$AB273,Tablas!E$1)))</f>
        <v/>
      </c>
      <c r="AQ258" s="2785" t="str">
        <f>IF(AND(ISNUMBER(MATCH($F258,'Tablas Técnicas'!$L$10:$L$643,0)),INDEX($AB267:$AB273,Tablas!F$1)="",COUNTIF(AR258:$AS258,$F258)=0),$F258,IF(INDEX($AB267:$AB273,Tablas!F$1)="","",$F258&amp;INDEX($AB267:$AB273,Tablas!F$1)))</f>
        <v/>
      </c>
      <c r="AR258" s="2785" t="str">
        <f>IF(AND(ISNUMBER(MATCH($F258,'Tablas Técnicas'!$L$10:$L$643,0)),INDEX($AB267:$AB273,Tablas!G$1)="",COUNTIF(AS258:$AS258,$F258)=0),$F258,IF(INDEX($AB267:$AB273,Tablas!G$1)="","",$F258&amp;INDEX($AB267:$AB273,Tablas!G$1)))</f>
        <v/>
      </c>
      <c r="AS258" s="2787">
        <f>V258+X258+Z258+AB258+AD258+AF258</f>
        <v>0</v>
      </c>
      <c r="AT258" s="2787">
        <f t="array" ref="AT258">SUM(IF($AL258:$AR258='Tablas Técnicas'!$L$10:$L$643,IF(D258="Primario",'Tablas Técnicas'!$E$10:$E$643,'Tablas Técnicas'!$F$10:$F$643)+IF(K258="Sostenimiento menor",'Tablas Técnicas'!$I$10:$I$643,IF(K258="sostenimiento mayor",'Tablas Técnicas'!$J$10:$J$643,0)),0),0)+VALUE(RIGHT(P258,2))+AU258+AV258</f>
        <v>0</v>
      </c>
      <c r="AU258" s="278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7">
        <f>(COUNTIF(AL258:AR258,"*Estado añadido:*")-1)*COUNTIF(AL258:AR258,"*Estado añadido:*")</f>
        <v>0</v>
      </c>
      <c r="AW258" s="2787">
        <f t="array" ref="AW258">SUM(IF($AL258:$AR258='Tablas Técnicas'!$L$10:$L$643,'Tablas Técnicas'!$G$10:$G$643,0))</f>
        <v>0</v>
      </c>
      <c r="AX258" s="2785" t="str">
        <f t="shared" si="64"/>
        <v/>
      </c>
      <c r="AY258" s="2785" t="str">
        <f t="shared" ref="AY258" si="65">IFERROR(LEFT(AX258,LEN(AX258)-2)&amp;"), ","")</f>
        <v/>
      </c>
    </row>
    <row r="259" spans="1:51" ht="12.75" customHeight="1" x14ac:dyDescent="0.2">
      <c r="A259" s="2487"/>
      <c r="B259" s="2368">
        <f t="shared" si="62"/>
        <v>8</v>
      </c>
      <c r="C259" s="4325"/>
      <c r="D259" s="4274" t="s">
        <v>2905</v>
      </c>
      <c r="E259" s="4275"/>
      <c r="F259" s="4264"/>
      <c r="G259" s="4265"/>
      <c r="H259" s="4265"/>
      <c r="I259" s="4265"/>
      <c r="J259" s="4266"/>
      <c r="K259" s="4240"/>
      <c r="L259" s="4241"/>
      <c r="M259" s="4242"/>
      <c r="N259" s="2196" t="str">
        <f>IFERROR(INDEX('Tablas Técnicas'!$Q$200:$Q$299,MATCH(F259&amp;K259,'Tablas Técnicas'!$S$200:$S$299,0)),"")</f>
        <v/>
      </c>
      <c r="O259" s="4243"/>
      <c r="P259" s="4244"/>
      <c r="Q259" s="4245"/>
      <c r="R259" s="4244"/>
      <c r="S259" s="2374" t="str">
        <f>IFERROR("Nivel: "&amp;MAX(1,INDEX('Tablas Técnicas'!$R$200:$R$299,MATCH(F259&amp;K259,'Tablas Técnicas'!$S$200:$S$299,0))),"")</f>
        <v/>
      </c>
      <c r="T259" s="2197"/>
      <c r="U259" s="2198" t="str">
        <f>IFERROR("("&amp;VLOOKUP(F259,'Tablas Técnicas'!$V$199:$X$225,3,FALSE)&amp;")","")</f>
        <v/>
      </c>
      <c r="V259" s="4187" t="s">
        <v>9924</v>
      </c>
      <c r="W259" s="4188"/>
      <c r="X259" s="4189"/>
      <c r="Y259" s="2666">
        <v>0</v>
      </c>
      <c r="Z259" s="4190" t="s">
        <v>9094</v>
      </c>
      <c r="AA259" s="4191"/>
      <c r="AB259" s="4192"/>
      <c r="AC259" s="2666">
        <v>0</v>
      </c>
      <c r="AD259" s="4193" t="str">
        <f>"Ki sin repartir: "&amp;AL267-AL268&amp;IF(AM267=0,""," ("&amp;AM267-AM268&amp;")")</f>
        <v>Ki sin repartir: 0</v>
      </c>
      <c r="AE259" s="4194"/>
      <c r="AF259" s="4194"/>
      <c r="AG259" s="4195"/>
      <c r="AH259" s="2496"/>
      <c r="AI259" s="4328"/>
      <c r="AJ259" s="2785">
        <v>1</v>
      </c>
      <c r="AK259" s="2785">
        <f>P250</f>
        <v>1</v>
      </c>
      <c r="AL259" s="2785" t="e">
        <f>VLOOKUP(F259,'Tablas Técnicas'!$V$199:$X$221,2,FALSE)</f>
        <v>#N/A</v>
      </c>
      <c r="AM259" s="2785"/>
      <c r="AN259" s="2786"/>
      <c r="AO259" s="2785"/>
      <c r="AP259" s="2785"/>
      <c r="AQ259" s="2786"/>
      <c r="AR259" s="2785"/>
      <c r="AS259" s="2785"/>
      <c r="AT259" s="2785"/>
      <c r="AU259" s="2785"/>
      <c r="AV259" s="2785"/>
      <c r="AW259" s="2787"/>
      <c r="AX259" s="2787"/>
      <c r="AY259" s="2785" t="str">
        <f>IF(F259="","",F259&amp;IF(K259="",""," ("&amp;IF(F259="Atadura Elemental",O259&amp;IF(Q259="","",", "&amp;Q259),K259)&amp;")")&amp;", ")</f>
        <v/>
      </c>
    </row>
    <row r="260" spans="1:51" ht="11.25" customHeight="1" x14ac:dyDescent="0.2">
      <c r="A260" s="2487"/>
      <c r="B260" s="2368">
        <f t="shared" si="62"/>
        <v>8</v>
      </c>
      <c r="C260" s="4325"/>
      <c r="D260" s="4276"/>
      <c r="E260" s="4277"/>
      <c r="F260" s="4246"/>
      <c r="G260" s="4247"/>
      <c r="H260" s="4247"/>
      <c r="I260" s="4247"/>
      <c r="J260" s="4248"/>
      <c r="K260" s="4249"/>
      <c r="L260" s="4250"/>
      <c r="M260" s="4251"/>
      <c r="N260" s="2199" t="str">
        <f>IFERROR(INDEX('Tablas Técnicas'!$Q$200:$Q$299,MATCH(F260&amp;K260,'Tablas Técnicas'!$S$200:$S$299,0)),"")</f>
        <v/>
      </c>
      <c r="O260" s="4252"/>
      <c r="P260" s="4253"/>
      <c r="Q260" s="4254"/>
      <c r="R260" s="4253"/>
      <c r="S260" s="2192" t="str">
        <f>IFERROR("Nivel: "&amp;MAX(1,INDEX('Tablas Técnicas'!$R$200:$R$299,MATCH(F260&amp;K260,'Tablas Técnicas'!$S$200:$S$299,0))),"")</f>
        <v/>
      </c>
      <c r="T260" s="2302"/>
      <c r="U260" s="2191" t="str">
        <f>IFERROR("("&amp;VLOOKUP(F260,'Tablas Técnicas'!$V$199:$X$225,3,FALSE)&amp;")","")</f>
        <v/>
      </c>
      <c r="V260" s="4184" t="str">
        <f>"Mod. "&amp;V252</f>
        <v>Mod. AGI</v>
      </c>
      <c r="W260" s="4185"/>
      <c r="X260" s="4184" t="str">
        <f t="shared" ref="X260" si="66">"Mod. "&amp;X252</f>
        <v>Mod. CON</v>
      </c>
      <c r="Y260" s="4185"/>
      <c r="Z260" s="4184" t="str">
        <f t="shared" ref="Z260" si="67">"Mod. "&amp;Z252</f>
        <v>Mod. DES</v>
      </c>
      <c r="AA260" s="4185"/>
      <c r="AB260" s="4184" t="str">
        <f t="shared" ref="AB260" si="68">"Mod. "&amp;AB252</f>
        <v>Mod. FUE</v>
      </c>
      <c r="AC260" s="4185"/>
      <c r="AD260" s="4184" t="str">
        <f t="shared" ref="AD260" si="69">"Mod. "&amp;AD252</f>
        <v>Mod. POD</v>
      </c>
      <c r="AE260" s="4185"/>
      <c r="AF260" s="4184" t="str">
        <f t="shared" ref="AF260" si="70">"Mod. "&amp;AF252</f>
        <v>Mod. VOL</v>
      </c>
      <c r="AG260" s="4186"/>
      <c r="AH260" s="2496"/>
      <c r="AI260" s="4328"/>
      <c r="AJ260" s="2785">
        <v>2</v>
      </c>
      <c r="AK260" s="2785">
        <f>P250</f>
        <v>1</v>
      </c>
      <c r="AL260" s="2785" t="e">
        <f>VLOOKUP(F260,'Tablas Técnicas'!$V$199:$X$221,2,FALSE)</f>
        <v>#N/A</v>
      </c>
      <c r="AM260" s="2785"/>
      <c r="AN260" s="2786"/>
      <c r="AO260" s="2785"/>
      <c r="AP260" s="2785"/>
      <c r="AQ260" s="2786"/>
      <c r="AR260" s="2785"/>
      <c r="AS260" s="2785"/>
      <c r="AT260" s="2785"/>
      <c r="AU260" s="2785"/>
      <c r="AV260" s="2785"/>
      <c r="AW260" s="2787"/>
      <c r="AX260" s="2787"/>
      <c r="AY260" s="2785" t="str">
        <f>IF(F260="","",F260&amp;IF(K260="",""," ("&amp;IF(F260="Atadura Elemental",O260&amp;IF(Q260="","",", "&amp;Q260),K260)&amp;")")&amp;", ")</f>
        <v/>
      </c>
    </row>
    <row r="261" spans="1:51" ht="12.75" customHeight="1" thickBot="1" x14ac:dyDescent="0.25">
      <c r="A261" s="2487"/>
      <c r="B261" s="2368">
        <f t="shared" si="62"/>
        <v>8</v>
      </c>
      <c r="C261" s="4325"/>
      <c r="D261" s="4278"/>
      <c r="E261" s="4279"/>
      <c r="F261" s="4255"/>
      <c r="G261" s="4256"/>
      <c r="H261" s="4256"/>
      <c r="I261" s="4256"/>
      <c r="J261" s="4257"/>
      <c r="K261" s="4258"/>
      <c r="L261" s="4259"/>
      <c r="M261" s="4260"/>
      <c r="N261" s="2200" t="str">
        <f>IFERROR(INDEX('Tablas Técnicas'!$Q$200:$Q$299,MATCH(F261&amp;K261,'Tablas Técnicas'!$S$200:$S$299,0)),"")</f>
        <v/>
      </c>
      <c r="O261" s="4261"/>
      <c r="P261" s="4262"/>
      <c r="Q261" s="4263"/>
      <c r="R261" s="4262"/>
      <c r="S261" s="2489" t="str">
        <f>IFERROR("Nivel: "&amp;MAX(1,INDEX('Tablas Técnicas'!$R$200:$R$299,MATCH(F261&amp;K261,'Tablas Técnicas'!$S$200:$S$299,0))),"")</f>
        <v/>
      </c>
      <c r="T261" s="2490"/>
      <c r="U261" s="2303" t="str">
        <f>IFERROR("("&amp;VLOOKUP(F261,'Tablas Técnicas'!$V$199:$X$225,3,FALSE)&amp;")","")</f>
        <v/>
      </c>
      <c r="V261" s="4199"/>
      <c r="W261" s="4198"/>
      <c r="X261" s="4198"/>
      <c r="Y261" s="4198"/>
      <c r="Z261" s="4198"/>
      <c r="AA261" s="4198"/>
      <c r="AB261" s="4198"/>
      <c r="AC261" s="4198"/>
      <c r="AD261" s="4198"/>
      <c r="AE261" s="4198"/>
      <c r="AF261" s="4198"/>
      <c r="AG261" s="4267"/>
      <c r="AH261" s="2496"/>
      <c r="AI261" s="4328"/>
      <c r="AJ261" s="2785">
        <v>3</v>
      </c>
      <c r="AK261" s="2785">
        <f>P250</f>
        <v>1</v>
      </c>
      <c r="AL261" s="2785" t="e">
        <f>VLOOKUP(F261,'Tablas Técnicas'!$V$199:$X$221,2,FALSE)</f>
        <v>#N/A</v>
      </c>
      <c r="AM261" s="2785"/>
      <c r="AN261" s="2786"/>
      <c r="AO261" s="2785"/>
      <c r="AP261" s="2785"/>
      <c r="AQ261" s="2786"/>
      <c r="AR261" s="2787"/>
      <c r="AS261" s="2787"/>
      <c r="AT261" s="2787"/>
      <c r="AU261" s="2787"/>
      <c r="AV261" s="2787"/>
      <c r="AW261" s="2787"/>
      <c r="AX261" s="2787"/>
      <c r="AY261" s="2785" t="str">
        <f>IF(F261="","",F261&amp;IF(K261="",""," ("&amp;IF(F261="Atadura Elemental",O261&amp;IF(Q261="","",", "&amp;Q261),K261)&amp;")")&amp;", ")</f>
        <v/>
      </c>
    </row>
    <row r="262" spans="1:51" ht="12.75" customHeight="1" x14ac:dyDescent="0.2">
      <c r="A262" s="2487"/>
      <c r="B262" s="2368">
        <f t="shared" si="62"/>
        <v>8</v>
      </c>
      <c r="C262" s="4325"/>
      <c r="D262" s="4213" t="s">
        <v>9596</v>
      </c>
      <c r="E262" s="4214"/>
      <c r="F262" s="4214"/>
      <c r="G262" s="4214"/>
      <c r="H262" s="4214"/>
      <c r="I262" s="4214"/>
      <c r="J262" s="4214"/>
      <c r="K262" s="4214"/>
      <c r="L262" s="4214"/>
      <c r="M262" s="4214"/>
      <c r="N262" s="4214"/>
      <c r="O262" s="4214"/>
      <c r="P262" s="4214"/>
      <c r="Q262" s="4214"/>
      <c r="R262" s="4214"/>
      <c r="S262" s="4214"/>
      <c r="T262" s="4214"/>
      <c r="U262" s="4214"/>
      <c r="V262" s="4215"/>
      <c r="W262" s="4215"/>
      <c r="X262" s="4215"/>
      <c r="Y262" s="4215"/>
      <c r="Z262" s="4215"/>
      <c r="AA262" s="4215"/>
      <c r="AB262" s="4215"/>
      <c r="AC262" s="4215"/>
      <c r="AD262" s="4215"/>
      <c r="AE262" s="4215"/>
      <c r="AF262" s="4215"/>
      <c r="AG262" s="4216"/>
      <c r="AH262" s="2496"/>
      <c r="AI262" s="4328"/>
      <c r="AJ262" s="2785"/>
      <c r="AK262" s="2785"/>
      <c r="AL262" s="2785"/>
      <c r="AM262" s="2785"/>
      <c r="AN262" s="2786" t="s">
        <v>9095</v>
      </c>
      <c r="AO262" s="2785" t="e">
        <f>LEFT(AY254&amp;AY255&amp;AY256&amp;AY257&amp;AY258,LEN(AY254&amp;AY255&amp;AY256&amp;AY257&amp;AY258)-2)</f>
        <v>#VALUE!</v>
      </c>
      <c r="AP262" s="2785"/>
      <c r="AQ262" s="2786"/>
      <c r="AR262" s="2787"/>
      <c r="AS262" s="2787"/>
      <c r="AT262" s="2787"/>
      <c r="AU262" s="2786"/>
      <c r="AV262" s="2786"/>
      <c r="AW262" s="2787"/>
      <c r="AX262" s="2787"/>
      <c r="AY262" s="2785"/>
    </row>
    <row r="263" spans="1:51" ht="12.75" customHeight="1" x14ac:dyDescent="0.2">
      <c r="A263" s="2487"/>
      <c r="B263" s="2368">
        <f t="shared" si="62"/>
        <v>8</v>
      </c>
      <c r="C263" s="4325"/>
      <c r="D263" s="4217" t="str">
        <f>IF(F254="","",F254)</f>
        <v/>
      </c>
      <c r="E263" s="4211"/>
      <c r="F263" s="4211"/>
      <c r="G263" s="4211"/>
      <c r="H263" s="4211"/>
      <c r="I263" s="4218"/>
      <c r="J263" s="4217" t="str">
        <f>IF(F255="","",F255)</f>
        <v/>
      </c>
      <c r="K263" s="4211"/>
      <c r="L263" s="4211"/>
      <c r="M263" s="4211"/>
      <c r="N263" s="4211"/>
      <c r="O263" s="4218"/>
      <c r="P263" s="4211" t="str">
        <f>IF(F256="","",F256)</f>
        <v/>
      </c>
      <c r="Q263" s="4211"/>
      <c r="R263" s="4211"/>
      <c r="S263" s="4211"/>
      <c r="T263" s="4211"/>
      <c r="U263" s="4218"/>
      <c r="V263" s="4217" t="str">
        <f>IF(F257="","",F257)</f>
        <v/>
      </c>
      <c r="W263" s="4211"/>
      <c r="X263" s="4211"/>
      <c r="Y263" s="4211"/>
      <c r="Z263" s="4211"/>
      <c r="AA263" s="4218"/>
      <c r="AB263" s="4211" t="str">
        <f>IF(F258="","",F258)</f>
        <v/>
      </c>
      <c r="AC263" s="4211"/>
      <c r="AD263" s="4211"/>
      <c r="AE263" s="4211"/>
      <c r="AF263" s="4211"/>
      <c r="AG263" s="4212"/>
      <c r="AH263" s="2496"/>
      <c r="AI263" s="4328"/>
      <c r="AJ263" s="2785"/>
      <c r="AK263" s="2785"/>
      <c r="AL263" s="2785"/>
      <c r="AM263" s="2785"/>
      <c r="AN263" s="2786" t="s">
        <v>9096</v>
      </c>
      <c r="AO263" s="2785" t="e">
        <f>LEFT(AY259&amp;AY260&amp;AY261,LEN(AY259&amp;AY260&amp;AY261)-2)</f>
        <v>#VALUE!</v>
      </c>
      <c r="AP263" s="2785"/>
      <c r="AQ263" s="2786"/>
      <c r="AR263" s="2787"/>
      <c r="AS263" s="2787"/>
      <c r="AT263" s="2787"/>
      <c r="AU263" s="2786"/>
      <c r="AV263" s="2786"/>
      <c r="AW263" s="2787"/>
      <c r="AX263" s="2787"/>
      <c r="AY263" s="2785"/>
    </row>
    <row r="264" spans="1:51" ht="12.75" customHeight="1" x14ac:dyDescent="0.2">
      <c r="A264" s="2487"/>
      <c r="B264" s="2368">
        <f t="shared" si="62"/>
        <v>8</v>
      </c>
      <c r="C264" s="4325"/>
      <c r="D264" s="2312" t="s">
        <v>1845</v>
      </c>
      <c r="E264" s="2188" t="str">
        <f>IFERROR(VLOOKUP(D263,'Tablas Técnicas'!$O$9:$T$88,3,FALSE),"")</f>
        <v/>
      </c>
      <c r="F264" s="2305"/>
      <c r="G264" s="2304"/>
      <c r="H264" s="2304" t="s">
        <v>1371</v>
      </c>
      <c r="I264" s="2188" t="str">
        <f>IFERROR(VLOOKUP(D263,'Tablas Técnicas'!$O$9:$T$88,4,FALSE),"")</f>
        <v/>
      </c>
      <c r="J264" s="2312" t="s">
        <v>1845</v>
      </c>
      <c r="K264" s="2188" t="str">
        <f>IFERROR(VLOOKUP(J263,'Tablas Técnicas'!$O$9:$T$88,3,FALSE),"")</f>
        <v/>
      </c>
      <c r="L264" s="2305"/>
      <c r="M264" s="2304"/>
      <c r="N264" s="2304" t="s">
        <v>1371</v>
      </c>
      <c r="O264" s="2201" t="str">
        <f>IFERROR(VLOOKUP(J263,'Tablas Técnicas'!$O$9:$T$88,4,FALSE),"")</f>
        <v/>
      </c>
      <c r="P264" s="2304" t="s">
        <v>1845</v>
      </c>
      <c r="Q264" s="2188" t="str">
        <f>IFERROR(VLOOKUP(P263,'Tablas Técnicas'!$O$9:$T$88,3,FALSE),"")</f>
        <v/>
      </c>
      <c r="R264" s="2305"/>
      <c r="S264" s="2304"/>
      <c r="T264" s="2304" t="s">
        <v>1371</v>
      </c>
      <c r="U264" s="2188" t="str">
        <f>IFERROR(VLOOKUP(P263,'Tablas Técnicas'!$O$9:$T$88,4,FALSE),"")</f>
        <v/>
      </c>
      <c r="V264" s="2312" t="s">
        <v>1845</v>
      </c>
      <c r="W264" s="2188" t="str">
        <f>IFERROR(VLOOKUP(V263,'Tablas Técnicas'!$O$9:$T$88,3,FALSE),"")</f>
        <v/>
      </c>
      <c r="X264" s="2305"/>
      <c r="Y264" s="2304"/>
      <c r="Z264" s="2304" t="s">
        <v>1371</v>
      </c>
      <c r="AA264" s="2201" t="str">
        <f>IFERROR(VLOOKUP(V263,'Tablas Técnicas'!$O$9:$T$88,4,FALSE),"")</f>
        <v/>
      </c>
      <c r="AB264" s="2304" t="s">
        <v>1845</v>
      </c>
      <c r="AC264" s="2188" t="str">
        <f>IFERROR(VLOOKUP(AB263,'Tablas Técnicas'!$O$9:$T$88,3,FALSE),"")</f>
        <v/>
      </c>
      <c r="AD264" s="2305"/>
      <c r="AE264" s="2304"/>
      <c r="AF264" s="2304" t="s">
        <v>1371</v>
      </c>
      <c r="AG264" s="2202" t="str">
        <f>IFERROR(VLOOKUP(AB263,'Tablas Técnicas'!$O$9:$T$88,4,FALSE),"")</f>
        <v/>
      </c>
      <c r="AH264" s="2496"/>
      <c r="AI264" s="4328"/>
      <c r="AJ264" s="2785"/>
      <c r="AK264" s="2785"/>
      <c r="AL264" s="2785"/>
      <c r="AM264" s="2785"/>
      <c r="AN264" s="2786"/>
      <c r="AO264" s="2785"/>
      <c r="AP264" s="2785"/>
      <c r="AQ264" s="2786"/>
      <c r="AR264" s="2787"/>
      <c r="AS264" s="2787"/>
      <c r="AT264" s="2787"/>
      <c r="AU264" s="2787"/>
      <c r="AV264" s="2787"/>
      <c r="AW264" s="2787"/>
      <c r="AX264" s="2787"/>
      <c r="AY264" s="2785"/>
    </row>
    <row r="265" spans="1:51" ht="12.75" customHeight="1" x14ac:dyDescent="0.2">
      <c r="A265" s="2487"/>
      <c r="B265" s="2368">
        <f t="shared" si="62"/>
        <v>8</v>
      </c>
      <c r="C265" s="4325"/>
      <c r="D265" s="2313" t="s">
        <v>9097</v>
      </c>
      <c r="E265" s="2304"/>
      <c r="F265" s="2305"/>
      <c r="G265" s="2306"/>
      <c r="H265" s="2306"/>
      <c r="I265" s="2303" t="str">
        <f>IFERROR(IF(D263="Ataque Elemental",IF(NOT(ISNA(VLOOKUP(D267,'Tablas Técnicas'!$Z$25:$Z$30,1,0))),D267,"Variable"),VLOOKUP(D263,'Tablas Técnicas'!$O$9:$W$88,9,FALSE)),"")</f>
        <v/>
      </c>
      <c r="J265" s="2203" t="s">
        <v>9097</v>
      </c>
      <c r="K265" s="2491"/>
      <c r="L265" s="2492"/>
      <c r="M265" s="2493"/>
      <c r="N265" s="2493"/>
      <c r="O265" s="2204" t="str">
        <f>IFERROR(IF(J263="Ataque Elemental",IF(NOT(ISNA(VLOOKUP(J267,'Tablas Técnicas'!$Z$25:$Z$30,1,0))),J267,"Variable"),VLOOKUP(J263,'Tablas Técnicas'!$O$9:$W$88,9,FALSE)),"")</f>
        <v/>
      </c>
      <c r="P265" s="2494" t="s">
        <v>9097</v>
      </c>
      <c r="Q265" s="2491"/>
      <c r="R265" s="2492"/>
      <c r="S265" s="2493"/>
      <c r="T265" s="2493"/>
      <c r="U265" s="2303" t="str">
        <f>IFERROR(IF(P263="Ataque Elemental",IF(NOT(ISNA(VLOOKUP(P267,'Tablas Técnicas'!$Z$25:$Z$30,1,0))),P267,"Variable"),VLOOKUP(P263,'Tablas Técnicas'!$O$9:$W$88,9,FALSE)),"")</f>
        <v/>
      </c>
      <c r="V265" s="2203" t="s">
        <v>9097</v>
      </c>
      <c r="W265" s="2491"/>
      <c r="X265" s="2492"/>
      <c r="Y265" s="2493"/>
      <c r="Z265" s="2493"/>
      <c r="AA265" s="2204" t="str">
        <f>IFERROR(IF(V263="Ataque Elemental",IF(NOT(ISNA(VLOOKUP(V267,'Tablas Técnicas'!$Z$25:$Z$30,1,0))),V267,"Variable"),VLOOKUP(V263,'Tablas Técnicas'!$O$9:$W$88,9,FALSE)),"")</f>
        <v/>
      </c>
      <c r="AB265" s="2494" t="s">
        <v>9097</v>
      </c>
      <c r="AC265" s="2491"/>
      <c r="AD265" s="2492"/>
      <c r="AE265" s="2493"/>
      <c r="AF265" s="2493"/>
      <c r="AG265" s="2319" t="str">
        <f>IFERROR(IF(AB263="Ataque Elemental",IF(NOT(ISNA(VLOOKUP(AB267,'Tablas Técnicas'!$Z$25:$Z$30,1,0))),AB267,"Variable"),VLOOKUP(AB263,'Tablas Técnicas'!$O$9:$W$88,9,FALSE)),"")</f>
        <v/>
      </c>
      <c r="AH265" s="2496"/>
      <c r="AI265" s="4328"/>
      <c r="AJ265" s="2785"/>
      <c r="AK265" s="2787" t="s">
        <v>1381</v>
      </c>
      <c r="AL265" s="2787" t="s">
        <v>1506</v>
      </c>
      <c r="AM265" s="2787" t="s">
        <v>1386</v>
      </c>
      <c r="AN265" s="2787" t="s">
        <v>1391</v>
      </c>
      <c r="AO265" s="2787" t="s">
        <v>1399</v>
      </c>
      <c r="AP265" s="2787" t="s">
        <v>1400</v>
      </c>
      <c r="AQ265" s="2786"/>
      <c r="AR265" s="2787"/>
      <c r="AS265" s="2787"/>
      <c r="AT265" s="2787"/>
      <c r="AU265" s="2787"/>
      <c r="AV265" s="2787"/>
      <c r="AW265" s="2787"/>
      <c r="AX265" s="2787"/>
      <c r="AY265" s="2785"/>
    </row>
    <row r="266" spans="1:51" ht="12.75" customHeight="1" x14ac:dyDescent="0.2">
      <c r="A266" s="2487"/>
      <c r="B266" s="2368">
        <f t="shared" si="62"/>
        <v>8</v>
      </c>
      <c r="C266" s="4325"/>
      <c r="D266" s="4217" t="s">
        <v>2913</v>
      </c>
      <c r="E266" s="4211"/>
      <c r="F266" s="4211"/>
      <c r="G266" s="4211"/>
      <c r="H266" s="4218"/>
      <c r="I266" s="2205" t="s">
        <v>1411</v>
      </c>
      <c r="J266" s="4217" t="s">
        <v>2913</v>
      </c>
      <c r="K266" s="4211"/>
      <c r="L266" s="4211"/>
      <c r="M266" s="4211"/>
      <c r="N266" s="4218"/>
      <c r="O266" s="2206" t="s">
        <v>1411</v>
      </c>
      <c r="P266" s="4217" t="s">
        <v>2913</v>
      </c>
      <c r="Q266" s="4211"/>
      <c r="R266" s="4211"/>
      <c r="S266" s="4211"/>
      <c r="T266" s="4218"/>
      <c r="U266" s="2206" t="s">
        <v>1411</v>
      </c>
      <c r="V266" s="4217"/>
      <c r="W266" s="4211"/>
      <c r="X266" s="4211"/>
      <c r="Y266" s="4211"/>
      <c r="Z266" s="4218"/>
      <c r="AA266" s="2206" t="s">
        <v>1411</v>
      </c>
      <c r="AB266" s="4217" t="s">
        <v>2913</v>
      </c>
      <c r="AC266" s="4211"/>
      <c r="AD266" s="4211"/>
      <c r="AE266" s="4211"/>
      <c r="AF266" s="4218"/>
      <c r="AG266" s="2207" t="s">
        <v>1411</v>
      </c>
      <c r="AH266" s="2496"/>
      <c r="AI266" s="4328"/>
      <c r="AJ266" s="2790" t="s">
        <v>9633</v>
      </c>
      <c r="AK266" s="2785" t="str">
        <f>IF(V252="","",IF(SUM(V254:V258)=0,"",V252&amp;" "&amp;SUM(V254:V258)+V261&amp;IF(SUM(W254:W258)=0,""," ("&amp;SUM(W254:W258)&amp;")")&amp;", "))</f>
        <v/>
      </c>
      <c r="AL266" s="2785" t="str">
        <f>IF(X252="","",IF(SUM(X254:X258)=0,"",X252&amp;" "&amp;SUM(X254:X258)+X261&amp;IF(SUM(Y254:Y258)=0,""," ("&amp;SUM(Y254:Y258)&amp;")")&amp;", "))</f>
        <v/>
      </c>
      <c r="AM266" s="2785" t="str">
        <f>IF(Z252="","",IF(SUM(Z254:Z258)=0,"",Z252&amp;" "&amp;SUM(Z254:Z258)+Z261&amp;IF(SUM(AA254:AA258)=0,""," ("&amp;SUM(AA254:AA258)&amp;")")&amp;", "))</f>
        <v/>
      </c>
      <c r="AN266" s="2785" t="str">
        <f>IF(AB252="","",IF(SUM(AB254:AB258)=0,"",AB252&amp;" "&amp;SUM(AB254:AB258)+AB261&amp;IF(SUM(AC254:AC258)=0,""," ("&amp;SUM(AC254:AC258)&amp;")")&amp;", "))</f>
        <v/>
      </c>
      <c r="AO266" s="2785" t="str">
        <f>IF(AD252="","",IF(SUM(AD254:AD258)=0,"",AD252&amp;" "&amp;SUM(AD254:AD258)+AD261&amp;IF(SUM(AE254:AE258)=0,""," ("&amp;SUM(AE254:AE258)&amp;")")&amp;", "))</f>
        <v/>
      </c>
      <c r="AP266" s="2785" t="str">
        <f>IF(AF252="","",IF(SUM(AF254:AF258)=0,"",AF252&amp;" "&amp;SUM(AF254:AF258)+AF261&amp;IF(SUM(AG254:AG258)=0,""," ("&amp;SUM(AG254:AG258)&amp;")")&amp;", "))</f>
        <v/>
      </c>
      <c r="AQ266" s="2785"/>
      <c r="AR266" s="2785"/>
      <c r="AS266" s="2785"/>
      <c r="AT266" s="2785"/>
      <c r="AU266" s="2785"/>
      <c r="AV266" s="2785"/>
      <c r="AW266" s="2785"/>
      <c r="AX266" s="2785"/>
      <c r="AY266" s="2785"/>
    </row>
    <row r="267" spans="1:51" ht="12.75" customHeight="1" x14ac:dyDescent="0.2">
      <c r="A267" s="2487"/>
      <c r="B267" s="2368">
        <f t="shared" si="62"/>
        <v>8</v>
      </c>
      <c r="C267" s="4325"/>
      <c r="D267" s="4219"/>
      <c r="E267" s="4197"/>
      <c r="F267" s="4197"/>
      <c r="G267" s="4197"/>
      <c r="H267" s="4197"/>
      <c r="I267" s="2208" t="str">
        <f>IF(OR(D263="",D267=""),"",MAX(1,SUMPRODUCT(--(INDEX('Tablas Técnicas'!$C$10:$L$643,,1)=D263),--(INDEX('Tablas Técnicas'!$C$10:$L$643,,2)=D267),INDEX('Tablas Técnicas'!$C$10:$L$643,,9))))</f>
        <v/>
      </c>
      <c r="J267" s="4196"/>
      <c r="K267" s="4197"/>
      <c r="L267" s="4197"/>
      <c r="M267" s="4197"/>
      <c r="N267" s="4197"/>
      <c r="O267" s="2208" t="str">
        <f>IF(OR(J263="",J267=""),"",MAX(1,SUMPRODUCT(--(INDEX('Tablas Técnicas'!$C$10:$L$643,,1)=J263),--(INDEX('Tablas Técnicas'!$C$10:$L$643,,2)=J267),INDEX('Tablas Técnicas'!$C$10:$L$643,,9))))</f>
        <v/>
      </c>
      <c r="P267" s="4196"/>
      <c r="Q267" s="4197"/>
      <c r="R267" s="4197"/>
      <c r="S267" s="4197"/>
      <c r="T267" s="4197"/>
      <c r="U267" s="2208" t="str">
        <f>IF(OR(P263="",P267=""),"",MAX(1,SUMPRODUCT(--(INDEX('Tablas Técnicas'!$C$10:$L$643,,1)=P263),--(INDEX('Tablas Técnicas'!$C$10:$L$643,,2)=P267),INDEX('Tablas Técnicas'!$C$10:$L$643,,9))))</f>
        <v/>
      </c>
      <c r="V267" s="4196"/>
      <c r="W267" s="4197"/>
      <c r="X267" s="4197"/>
      <c r="Y267" s="4197"/>
      <c r="Z267" s="4197"/>
      <c r="AA267" s="2208" t="str">
        <f>IF(OR(V263="",V267=""),"",MAX(1,SUMPRODUCT(--(INDEX('Tablas Técnicas'!$C$10:$L$643,,1)=V263),--(INDEX('Tablas Técnicas'!$C$10:$L$643,,2)=V267),INDEX('Tablas Técnicas'!$C$10:$L$643,,9))))</f>
        <v/>
      </c>
      <c r="AB267" s="4196"/>
      <c r="AC267" s="4197"/>
      <c r="AD267" s="4197"/>
      <c r="AE267" s="4197"/>
      <c r="AF267" s="4197"/>
      <c r="AG267" s="2209" t="str">
        <f>IF(OR(AB263="",AB267=""),"",MAX(1,SUMPRODUCT(--(INDEX('Tablas Técnicas'!$C$10:$L$643,,1)=AB263),--(INDEX('Tablas Técnicas'!$C$10:$L$643,,2)=AB267),INDEX('Tablas Técnicas'!$C$10:$L$643,,9))))</f>
        <v/>
      </c>
      <c r="AH267" s="2496">
        <f>P250</f>
        <v>1</v>
      </c>
      <c r="AI267" s="4328"/>
      <c r="AJ267" s="2785" t="s">
        <v>9597</v>
      </c>
      <c r="AK267" s="2785"/>
      <c r="AL267" s="2785">
        <f>MAX(0,SUM(AT254:AT258)+ABS($AC259*2/5))+IF(AM276,0,Y259)+IF(S250="Si",3*P250,0)</f>
        <v>0</v>
      </c>
      <c r="AM267" s="2785">
        <f t="array" ref="AM267">IF(ISNUMBER(SEARCH("Mantenido",K254&amp;K255&amp;K256&amp;K257&amp;K258)),MAX(0,SUM(VALUE(RIGHT($P254:$P258,2)))),0)</f>
        <v>0</v>
      </c>
      <c r="AN267" s="2787"/>
      <c r="AO267" s="2787"/>
      <c r="AP267" s="2792"/>
      <c r="AQ267" s="2792"/>
      <c r="AR267" s="2792"/>
      <c r="AS267" s="2792"/>
      <c r="AT267" s="2792"/>
      <c r="AU267" s="2792"/>
      <c r="AV267" s="2792"/>
      <c r="AW267" s="2792"/>
      <c r="AX267" s="2792"/>
      <c r="AY267" s="2785"/>
    </row>
    <row r="268" spans="1:51" ht="12.75" customHeight="1" x14ac:dyDescent="0.2">
      <c r="A268" s="2487"/>
      <c r="B268" s="2368">
        <f t="shared" si="62"/>
        <v>8</v>
      </c>
      <c r="C268" s="4325"/>
      <c r="D268" s="4200"/>
      <c r="E268" s="4201"/>
      <c r="F268" s="4201"/>
      <c r="G268" s="4201"/>
      <c r="H268" s="4201"/>
      <c r="I268" s="2210" t="str">
        <f>IF(OR(D263="",D268=""),"",MAX(1,SUMPRODUCT(--(INDEX('Tablas Técnicas'!$C$10:$L$643,,1)=D263),--(INDEX('Tablas Técnicas'!$C$10:$L$643,,2)=D268),INDEX('Tablas Técnicas'!$C$10:$L$643,,9))))</f>
        <v/>
      </c>
      <c r="J268" s="4200"/>
      <c r="K268" s="4201"/>
      <c r="L268" s="4201"/>
      <c r="M268" s="4201"/>
      <c r="N268" s="4201"/>
      <c r="O268" s="2210" t="str">
        <f>IF(OR(J263="",J268=""),"",MAX(1,SUMPRODUCT(--(INDEX('Tablas Técnicas'!$C$10:$L$643,,1)=J263),--(INDEX('Tablas Técnicas'!$C$10:$L$643,,2)=J268),INDEX('Tablas Técnicas'!$C$10:$L$643,,9))))</f>
        <v/>
      </c>
      <c r="P268" s="4200"/>
      <c r="Q268" s="4201"/>
      <c r="R268" s="4201"/>
      <c r="S268" s="4201"/>
      <c r="T268" s="4201"/>
      <c r="U268" s="2210" t="str">
        <f>IF(OR(P263="",P268=""),"",MAX(1,SUMPRODUCT(--(INDEX('Tablas Técnicas'!$C$10:$L$643,,1)=P263),--(INDEX('Tablas Técnicas'!$C$10:$L$643,,2)=P268),INDEX('Tablas Técnicas'!$C$10:$L$643,,9))))</f>
        <v/>
      </c>
      <c r="V268" s="4200"/>
      <c r="W268" s="4201"/>
      <c r="X268" s="4201"/>
      <c r="Y268" s="4201"/>
      <c r="Z268" s="4201"/>
      <c r="AA268" s="2210" t="str">
        <f>IF(OR(V263="",V268=""),"",MAX(1,SUMPRODUCT(--(INDEX('Tablas Técnicas'!$C$10:$L$643,,1)=V263),--(INDEX('Tablas Técnicas'!$C$10:$L$643,,2)=V268),INDEX('Tablas Técnicas'!$C$10:$L$643,,9))))</f>
        <v/>
      </c>
      <c r="AB268" s="4200"/>
      <c r="AC268" s="4201"/>
      <c r="AD268" s="4201"/>
      <c r="AE268" s="4201"/>
      <c r="AF268" s="4201"/>
      <c r="AG268" s="2211" t="str">
        <f>IF(OR(AB263="",AB268=""),"",MAX(1,SUMPRODUCT(--(INDEX('Tablas Técnicas'!$C$10:$L$643,,1)=AB263),--(INDEX('Tablas Técnicas'!$C$10:$L$643,,2)=AB268),INDEX('Tablas Técnicas'!$C$10:$L$643,,9))))</f>
        <v/>
      </c>
      <c r="AH268" s="2496">
        <f>P250</f>
        <v>1</v>
      </c>
      <c r="AI268" s="4328"/>
      <c r="AJ268" s="2785" t="s">
        <v>9099</v>
      </c>
      <c r="AK268" s="2785"/>
      <c r="AL268" s="2785">
        <f>SUM(V254:V258,X254:X258,Z254:Z258,AB254:AB258,AD254:AD258,AF254:AF258)+SUM(V261:AG261)</f>
        <v>0</v>
      </c>
      <c r="AM268" s="2785">
        <f>SUM(W254:W258,Y254:Y258,AA254:AA258,AC254:AC258,AE254:AE258,AG254:AG258)</f>
        <v>0</v>
      </c>
      <c r="AN268" s="2785"/>
      <c r="AO268" s="2785"/>
      <c r="AP268" s="2785"/>
      <c r="AQ268" s="2785"/>
      <c r="AR268" s="2785"/>
      <c r="AS268" s="2785"/>
      <c r="AT268" s="2785"/>
      <c r="AU268" s="2785"/>
      <c r="AV268" s="2785"/>
      <c r="AW268" s="2787"/>
      <c r="AX268" s="2785"/>
      <c r="AY268" s="2785"/>
    </row>
    <row r="269" spans="1:51" ht="12.75" customHeight="1" x14ac:dyDescent="0.2">
      <c r="A269" s="2487"/>
      <c r="B269" s="2368">
        <f t="shared" si="62"/>
        <v>8</v>
      </c>
      <c r="C269" s="4325"/>
      <c r="D269" s="4200"/>
      <c r="E269" s="4201"/>
      <c r="F269" s="4201"/>
      <c r="G269" s="4201"/>
      <c r="H269" s="4201"/>
      <c r="I269" s="2210" t="str">
        <f>IF(OR(D263="",D269=""),"",MAX(1,SUMPRODUCT(--(INDEX('Tablas Técnicas'!$C$10:$L$643,,1)=D263),--(INDEX('Tablas Técnicas'!$C$10:$L$643,,2)=D269),INDEX('Tablas Técnicas'!$C$10:$L$643,,9))))</f>
        <v/>
      </c>
      <c r="J269" s="4200"/>
      <c r="K269" s="4201"/>
      <c r="L269" s="4201"/>
      <c r="M269" s="4201"/>
      <c r="N269" s="4201"/>
      <c r="O269" s="2210" t="str">
        <f>IF(OR(J263="",J269=""),"",MAX(1,SUMPRODUCT(--(INDEX('Tablas Técnicas'!$C$10:$L$643,,1)=J263),--(INDEX('Tablas Técnicas'!$C$10:$L$643,,2)=J269),INDEX('Tablas Técnicas'!$C$10:$L$643,,9))))</f>
        <v/>
      </c>
      <c r="P269" s="4200"/>
      <c r="Q269" s="4201"/>
      <c r="R269" s="4201"/>
      <c r="S269" s="4201"/>
      <c r="T269" s="4201"/>
      <c r="U269" s="2210" t="str">
        <f>IF(OR(P263="",P269=""),"",MAX(1,SUMPRODUCT(--(INDEX('Tablas Técnicas'!$C$10:$L$643,,1)=P263),--(INDEX('Tablas Técnicas'!$C$10:$L$643,,2)=P269),INDEX('Tablas Técnicas'!$C$10:$L$643,,9))))</f>
        <v/>
      </c>
      <c r="V269" s="4200"/>
      <c r="W269" s="4201"/>
      <c r="X269" s="4201"/>
      <c r="Y269" s="4201"/>
      <c r="Z269" s="4201"/>
      <c r="AA269" s="2210" t="str">
        <f>IF(OR(V263="",V269=""),"",MAX(1,SUMPRODUCT(--(INDEX('Tablas Técnicas'!$C$10:$L$643,,1)=V263),--(INDEX('Tablas Técnicas'!$C$10:$L$643,,2)=V269),INDEX('Tablas Técnicas'!$C$10:$L$643,,9))))</f>
        <v/>
      </c>
      <c r="AB269" s="4200"/>
      <c r="AC269" s="4201"/>
      <c r="AD269" s="4201"/>
      <c r="AE269" s="4201"/>
      <c r="AF269" s="4201"/>
      <c r="AG269" s="2211" t="str">
        <f>IF(OR(AB263="",AB269=""),"",MAX(1,SUMPRODUCT(--(INDEX('Tablas Técnicas'!$C$10:$L$643,,1)=AB263),--(INDEX('Tablas Técnicas'!$C$10:$L$643,,2)=AB269),INDEX('Tablas Técnicas'!$C$10:$L$643,,9))))</f>
        <v/>
      </c>
      <c r="AH269" s="2496">
        <f>P250</f>
        <v>1</v>
      </c>
      <c r="AI269" s="4328"/>
      <c r="AJ269" s="2785"/>
      <c r="AK269" s="2785"/>
      <c r="AL269" s="2785"/>
      <c r="AM269" s="2785"/>
      <c r="AN269" s="2785"/>
      <c r="AO269" s="2785"/>
      <c r="AP269" s="2785"/>
      <c r="AQ269" s="2785"/>
      <c r="AR269" s="2785"/>
      <c r="AS269" s="2785"/>
      <c r="AT269" s="2785"/>
      <c r="AU269" s="2785"/>
      <c r="AV269" s="2785"/>
      <c r="AW269" s="2787"/>
      <c r="AX269" s="2787"/>
      <c r="AY269" s="2785"/>
    </row>
    <row r="270" spans="1:51" ht="12.75" customHeight="1" x14ac:dyDescent="0.2">
      <c r="A270" s="2487"/>
      <c r="B270" s="2368">
        <f t="shared" si="62"/>
        <v>8</v>
      </c>
      <c r="C270" s="4325"/>
      <c r="D270" s="4200"/>
      <c r="E270" s="4201"/>
      <c r="F270" s="4201"/>
      <c r="G270" s="4201"/>
      <c r="H270" s="4201"/>
      <c r="I270" s="2210" t="str">
        <f>IF(OR(D263="",D270=""),"",MAX(1,SUMPRODUCT(--(INDEX('Tablas Técnicas'!$C$10:$L$643,,1)=D263),--(INDEX('Tablas Técnicas'!$C$10:$L$643,,2)=D270),INDEX('Tablas Técnicas'!$C$10:$L$643,,9))))</f>
        <v/>
      </c>
      <c r="J270" s="4200"/>
      <c r="K270" s="4201"/>
      <c r="L270" s="4201"/>
      <c r="M270" s="4201"/>
      <c r="N270" s="4201"/>
      <c r="O270" s="2210" t="str">
        <f>IF(OR(J263="",J270=""),"",MAX(1,SUMPRODUCT(--(INDEX('Tablas Técnicas'!$C$10:$L$643,,1)=J263),--(INDEX('Tablas Técnicas'!$C$10:$L$643,,2)=J270),INDEX('Tablas Técnicas'!$C$10:$L$643,,9))))</f>
        <v/>
      </c>
      <c r="P270" s="4200"/>
      <c r="Q270" s="4201"/>
      <c r="R270" s="4201"/>
      <c r="S270" s="4201"/>
      <c r="T270" s="4201"/>
      <c r="U270" s="2210" t="str">
        <f>IF(OR(P263="",P270=""),"",MAX(1,SUMPRODUCT(--(INDEX('Tablas Técnicas'!$C$10:$L$643,,1)=P263),--(INDEX('Tablas Técnicas'!$C$10:$L$643,,2)=P270),INDEX('Tablas Técnicas'!$C$10:$L$643,,9))))</f>
        <v/>
      </c>
      <c r="V270" s="4200"/>
      <c r="W270" s="4201"/>
      <c r="X270" s="4201"/>
      <c r="Y270" s="4201"/>
      <c r="Z270" s="4201"/>
      <c r="AA270" s="2210" t="str">
        <f>IF(OR(V263="",V270=""),"",MAX(1,SUMPRODUCT(--(INDEX('Tablas Técnicas'!$C$10:$L$643,,1)=V263),--(INDEX('Tablas Técnicas'!$C$10:$L$643,,2)=V270),INDEX('Tablas Técnicas'!$C$10:$L$643,,9))))</f>
        <v/>
      </c>
      <c r="AB270" s="4200"/>
      <c r="AC270" s="4201"/>
      <c r="AD270" s="4201"/>
      <c r="AE270" s="4201"/>
      <c r="AF270" s="4201"/>
      <c r="AG270" s="2211" t="str">
        <f>IF(OR(AB263="",AB270=""),"",MAX(1,SUMPRODUCT(--(INDEX('Tablas Técnicas'!$C$10:$L$643,,1)=AB263),--(INDEX('Tablas Técnicas'!$C$10:$L$643,,2)=AB270),INDEX('Tablas Técnicas'!$C$10:$L$643,,9))))</f>
        <v/>
      </c>
      <c r="AH270" s="2496">
        <f>P250</f>
        <v>1</v>
      </c>
      <c r="AI270" s="4328"/>
      <c r="AJ270" s="2785"/>
      <c r="AK270" s="2785"/>
      <c r="AL270" s="2785"/>
      <c r="AM270" s="2785"/>
      <c r="AN270" s="2785"/>
      <c r="AO270" s="2785"/>
      <c r="AP270" s="2785"/>
      <c r="AQ270" s="2786"/>
      <c r="AR270" s="2787"/>
      <c r="AS270" s="2787"/>
      <c r="AT270" s="2787"/>
      <c r="AU270" s="2787"/>
      <c r="AV270" s="2787"/>
      <c r="AW270" s="2787"/>
      <c r="AX270" s="2787"/>
      <c r="AY270" s="2785"/>
    </row>
    <row r="271" spans="1:51" ht="12.75" customHeight="1" x14ac:dyDescent="0.2">
      <c r="A271" s="2487"/>
      <c r="B271" s="2368">
        <f t="shared" si="62"/>
        <v>8</v>
      </c>
      <c r="C271" s="4325"/>
      <c r="D271" s="4200"/>
      <c r="E271" s="4201"/>
      <c r="F271" s="4201"/>
      <c r="G271" s="4201"/>
      <c r="H271" s="4201"/>
      <c r="I271" s="2210" t="str">
        <f>IF(OR(D263="",D271=""),"",MAX(1,SUMPRODUCT(--(INDEX('Tablas Técnicas'!$C$10:$L$643,,1)=D263),--(INDEX('Tablas Técnicas'!$C$10:$L$643,,2)=D271),INDEX('Tablas Técnicas'!$C$10:$L$643,,9))))</f>
        <v/>
      </c>
      <c r="J271" s="4200"/>
      <c r="K271" s="4201"/>
      <c r="L271" s="4201"/>
      <c r="M271" s="4201"/>
      <c r="N271" s="4201"/>
      <c r="O271" s="2210" t="str">
        <f>IF(OR(J263="",J271=""),"",MAX(1,SUMPRODUCT(--(INDEX('Tablas Técnicas'!$C$10:$L$643,,1)=J263),--(INDEX('Tablas Técnicas'!$C$10:$L$643,,2)=J271),INDEX('Tablas Técnicas'!$C$10:$L$643,,9))))</f>
        <v/>
      </c>
      <c r="P271" s="4200"/>
      <c r="Q271" s="4201"/>
      <c r="R271" s="4201"/>
      <c r="S271" s="4201"/>
      <c r="T271" s="4201"/>
      <c r="U271" s="2210" t="str">
        <f>IF(OR(P263="",P271=""),"",MAX(1,SUMPRODUCT(--(INDEX('Tablas Técnicas'!$C$10:$L$643,,1)=P263),--(INDEX('Tablas Técnicas'!$C$10:$L$643,,2)=P271),INDEX('Tablas Técnicas'!$C$10:$L$643,,9))))</f>
        <v/>
      </c>
      <c r="V271" s="4200"/>
      <c r="W271" s="4201"/>
      <c r="X271" s="4201"/>
      <c r="Y271" s="4201"/>
      <c r="Z271" s="4201"/>
      <c r="AA271" s="2210" t="str">
        <f>IF(OR(V263="",V271=""),"",MAX(1,SUMPRODUCT(--(INDEX('Tablas Técnicas'!$C$10:$L$643,,1)=V263),--(INDEX('Tablas Técnicas'!$C$10:$L$643,,2)=V271),INDEX('Tablas Técnicas'!$C$10:$L$643,,9))))</f>
        <v/>
      </c>
      <c r="AB271" s="4200"/>
      <c r="AC271" s="4201"/>
      <c r="AD271" s="4201"/>
      <c r="AE271" s="4201"/>
      <c r="AF271" s="4201"/>
      <c r="AG271" s="2211" t="str">
        <f>IF(OR(AB263="",AB271=""),"",MAX(1,SUMPRODUCT(--(INDEX('Tablas Técnicas'!$C$10:$L$643,,1)=AB263),--(INDEX('Tablas Técnicas'!$C$10:$L$643,,2)=AB271),INDEX('Tablas Técnicas'!$C$10:$L$643,,9))))</f>
        <v/>
      </c>
      <c r="AH271" s="2496">
        <f>P250</f>
        <v>1</v>
      </c>
      <c r="AI271" s="4328"/>
      <c r="AJ271" s="2785" t="s">
        <v>9100</v>
      </c>
      <c r="AK271" s="2785"/>
      <c r="AL271" s="2785"/>
      <c r="AM271" s="2785"/>
      <c r="AN271" s="2785"/>
      <c r="AO271" s="2785"/>
      <c r="AP271" s="2785"/>
      <c r="AQ271" s="2785"/>
      <c r="AR271" s="2787"/>
      <c r="AS271" s="2787"/>
      <c r="AT271" s="2787"/>
      <c r="AU271" s="2787"/>
      <c r="AV271" s="2787"/>
      <c r="AW271" s="2787"/>
      <c r="AX271" s="2787"/>
      <c r="AY271" s="2785"/>
    </row>
    <row r="272" spans="1:51" ht="12.75" customHeight="1" x14ac:dyDescent="0.2">
      <c r="A272" s="2487"/>
      <c r="B272" s="2368">
        <f t="shared" si="62"/>
        <v>8</v>
      </c>
      <c r="C272" s="4325"/>
      <c r="D272" s="4200"/>
      <c r="E272" s="4201"/>
      <c r="F272" s="4201"/>
      <c r="G272" s="4201"/>
      <c r="H272" s="4201"/>
      <c r="I272" s="2210" t="str">
        <f>IF(OR(D263="",D272=""),"",MAX(1,SUMPRODUCT(--(INDEX('Tablas Técnicas'!$C$10:$L$643,,1)=D263),--(INDEX('Tablas Técnicas'!$C$10:$L$643,,2)=D272),INDEX('Tablas Técnicas'!$C$10:$L$643,,9))))</f>
        <v/>
      </c>
      <c r="J272" s="4200"/>
      <c r="K272" s="4201"/>
      <c r="L272" s="4201"/>
      <c r="M272" s="4201"/>
      <c r="N272" s="4201"/>
      <c r="O272" s="2210" t="str">
        <f>IF(OR(J263="",J272=""),"",MAX(1,SUMPRODUCT(--(INDEX('Tablas Técnicas'!$C$10:$L$643,,1)=J263),--(INDEX('Tablas Técnicas'!$C$10:$L$643,,2)=J272),INDEX('Tablas Técnicas'!$C$10:$L$643,,9))))</f>
        <v/>
      </c>
      <c r="P272" s="4200"/>
      <c r="Q272" s="4201"/>
      <c r="R272" s="4201"/>
      <c r="S272" s="4201"/>
      <c r="T272" s="4201"/>
      <c r="U272" s="2210" t="str">
        <f>IF(OR(P263="",P272=""),"",MAX(1,SUMPRODUCT(--(INDEX('Tablas Técnicas'!$C$10:$L$643,,1)=P263),--(INDEX('Tablas Técnicas'!$C$10:$L$643,,2)=P272),INDEX('Tablas Técnicas'!$C$10:$L$643,,9))))</f>
        <v/>
      </c>
      <c r="V272" s="4200"/>
      <c r="W272" s="4201"/>
      <c r="X272" s="4201"/>
      <c r="Y272" s="4201"/>
      <c r="Z272" s="4201"/>
      <c r="AA272" s="2210" t="str">
        <f>IF(OR(V263="",V272=""),"",MAX(1,SUMPRODUCT(--(INDEX('Tablas Técnicas'!$C$10:$L$643,,1)=V263),--(INDEX('Tablas Técnicas'!$C$10:$L$643,,2)=V272),INDEX('Tablas Técnicas'!$C$10:$L$643,,9))))</f>
        <v/>
      </c>
      <c r="AB272" s="4200"/>
      <c r="AC272" s="4201"/>
      <c r="AD272" s="4201"/>
      <c r="AE272" s="4201"/>
      <c r="AF272" s="4201"/>
      <c r="AG272" s="2211" t="str">
        <f>IF(OR(AB263="",AB272=""),"",MAX(1,SUMPRODUCT(--(INDEX('Tablas Técnicas'!$C$10:$L$643,,1)=AB263),--(INDEX('Tablas Técnicas'!$C$10:$L$643,,2)=AB272),INDEX('Tablas Técnicas'!$C$10:$L$643,,9))))</f>
        <v/>
      </c>
      <c r="AH272" s="2496">
        <f>P250</f>
        <v>1</v>
      </c>
      <c r="AI272" s="4328"/>
      <c r="AJ272" s="2785" t="s">
        <v>9101</v>
      </c>
      <c r="AK272" s="2785"/>
      <c r="AL272" s="2785"/>
      <c r="AM272" s="2785" t="b">
        <f t="array" ref="AM272">MAX(I267:I273,O267:O273,U267:U273,AA267:AA273,AG267:AG273,RIGHT(S259:S261,1))&gt;P250</f>
        <v>0</v>
      </c>
      <c r="AN272" s="2785"/>
      <c r="AO272" s="2785"/>
      <c r="AP272" s="2785"/>
      <c r="AQ272" s="2786"/>
      <c r="AR272" s="2787"/>
      <c r="AS272" s="2787"/>
      <c r="AT272" s="2787"/>
      <c r="AU272" s="2787"/>
      <c r="AV272" s="2787"/>
      <c r="AW272" s="2787"/>
      <c r="AX272" s="2787"/>
      <c r="AY272" s="2785"/>
    </row>
    <row r="273" spans="1:51" ht="12.75" customHeight="1" x14ac:dyDescent="0.2">
      <c r="A273" s="2487"/>
      <c r="B273" s="2368">
        <f t="shared" si="62"/>
        <v>8</v>
      </c>
      <c r="C273" s="4325"/>
      <c r="D273" s="4230"/>
      <c r="E273" s="4231"/>
      <c r="F273" s="4231"/>
      <c r="G273" s="4231"/>
      <c r="H273" s="4231"/>
      <c r="I273" s="2212" t="str">
        <f>IF(OR(D263="",D273=""),"",MAX(1,SUMPRODUCT(--(INDEX('Tablas Técnicas'!$C$10:$L$643,,1)=D263),--(INDEX('Tablas Técnicas'!$C$10:$L$643,,2)=D273),INDEX('Tablas Técnicas'!$C$10:$L$643,,9))))</f>
        <v/>
      </c>
      <c r="J273" s="4230"/>
      <c r="K273" s="4231"/>
      <c r="L273" s="4231"/>
      <c r="M273" s="4231"/>
      <c r="N273" s="4231"/>
      <c r="O273" s="2212" t="str">
        <f>IF(OR(J263="",J273=""),"",MAX(1,SUMPRODUCT(--(INDEX('Tablas Técnicas'!$C$10:$L$643,,1)=J263),--(INDEX('Tablas Técnicas'!$C$10:$L$643,,2)=J273),INDEX('Tablas Técnicas'!$C$10:$L$643,,9))))</f>
        <v/>
      </c>
      <c r="P273" s="4230"/>
      <c r="Q273" s="4231"/>
      <c r="R273" s="4231"/>
      <c r="S273" s="4231"/>
      <c r="T273" s="4231"/>
      <c r="U273" s="2212" t="str">
        <f>IF(OR(P263="",P273=""),"",MAX(1,SUMPRODUCT(--(INDEX('Tablas Técnicas'!$C$10:$L$643,,1)=P263),--(INDEX('Tablas Técnicas'!$C$10:$L$643,,2)=P273),INDEX('Tablas Técnicas'!$C$10:$L$643,,9))))</f>
        <v/>
      </c>
      <c r="V273" s="4230"/>
      <c r="W273" s="4231"/>
      <c r="X273" s="4231"/>
      <c r="Y273" s="4231"/>
      <c r="Z273" s="4231"/>
      <c r="AA273" s="2212" t="str">
        <f>IF(OR(V263="",V273=""),"",MAX(1,SUMPRODUCT(--(INDEX('Tablas Técnicas'!$C$10:$L$643,,1)=V263),--(INDEX('Tablas Técnicas'!$C$10:$L$643,,2)=V273),INDEX('Tablas Técnicas'!$C$10:$L$643,,9))))</f>
        <v/>
      </c>
      <c r="AB273" s="4230"/>
      <c r="AC273" s="4231"/>
      <c r="AD273" s="4231"/>
      <c r="AE273" s="4231"/>
      <c r="AF273" s="4231"/>
      <c r="AG273" s="2213" t="str">
        <f>IF(OR(AB263="",AB273=""),"",MAX(1,SUMPRODUCT(--(INDEX('Tablas Técnicas'!$C$10:$L$643,,1)=AB263),--(INDEX('Tablas Técnicas'!$C$10:$L$643,,2)=AB273),INDEX('Tablas Técnicas'!$C$10:$L$643,,9))))</f>
        <v/>
      </c>
      <c r="AH273" s="2496">
        <f>P250</f>
        <v>1</v>
      </c>
      <c r="AI273" s="4328"/>
      <c r="AJ273" s="2785" t="s">
        <v>9614</v>
      </c>
      <c r="AK273" s="2785"/>
      <c r="AL273" s="2785"/>
      <c r="AM273" s="2785" t="b">
        <f>AND(COUNTIF(K254:M258,"Mantenido"),OR(COUNTIF(K254:M258,"Sostenimiento Menor"),COUNTIF(K254:M258,"Sostenimiento Mayor")))</f>
        <v>0</v>
      </c>
      <c r="AN273" s="2786"/>
      <c r="AO273" s="2785"/>
      <c r="AP273" s="2785"/>
      <c r="AQ273" s="2785"/>
      <c r="AR273" s="2785"/>
      <c r="AS273" s="2785"/>
      <c r="AT273" s="2785"/>
      <c r="AU273" s="2787"/>
      <c r="AV273" s="2787"/>
      <c r="AW273" s="2787"/>
      <c r="AX273" s="2787"/>
      <c r="AY273" s="2785"/>
    </row>
    <row r="274" spans="1:51" ht="12.75" customHeight="1" x14ac:dyDescent="0.2">
      <c r="A274" s="2487"/>
      <c r="B274" s="2368">
        <f t="shared" si="62"/>
        <v>8</v>
      </c>
      <c r="C274" s="4325"/>
      <c r="D274" s="4213" t="s">
        <v>1558</v>
      </c>
      <c r="E274" s="4214"/>
      <c r="F274" s="4214"/>
      <c r="G274" s="4214"/>
      <c r="H274" s="4214"/>
      <c r="I274" s="4214"/>
      <c r="J274" s="4214"/>
      <c r="K274" s="4214"/>
      <c r="L274" s="4214"/>
      <c r="M274" s="4214"/>
      <c r="N274" s="4214"/>
      <c r="O274" s="4214"/>
      <c r="P274" s="4214"/>
      <c r="Q274" s="4214"/>
      <c r="R274" s="4214"/>
      <c r="S274" s="4214"/>
      <c r="T274" s="4214"/>
      <c r="U274" s="4214"/>
      <c r="V274" s="4214"/>
      <c r="W274" s="4214"/>
      <c r="X274" s="4214"/>
      <c r="Y274" s="4214"/>
      <c r="Z274" s="4214"/>
      <c r="AA274" s="4214"/>
      <c r="AB274" s="4214"/>
      <c r="AC274" s="4214"/>
      <c r="AD274" s="4214"/>
      <c r="AE274" s="4214"/>
      <c r="AF274" s="4214"/>
      <c r="AG274" s="4270"/>
      <c r="AH274" s="2496"/>
      <c r="AI274" s="4328"/>
      <c r="AJ274" s="2785" t="s">
        <v>9613</v>
      </c>
      <c r="AK274" s="2785"/>
      <c r="AL274" s="2785"/>
      <c r="AM274" s="278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5"/>
      <c r="AO274" s="2785"/>
      <c r="AP274" s="2785"/>
      <c r="AQ274" s="2786"/>
      <c r="AR274" s="2785"/>
      <c r="AS274" s="2785"/>
      <c r="AT274" s="2785"/>
      <c r="AU274" s="2787"/>
      <c r="AV274" s="2787"/>
      <c r="AW274" s="2787"/>
      <c r="AX274" s="2787"/>
      <c r="AY274" s="2785"/>
    </row>
    <row r="275" spans="1:51" ht="12.75" customHeight="1" x14ac:dyDescent="0.2">
      <c r="A275" s="2487"/>
      <c r="B275" s="2368">
        <f t="shared" si="62"/>
        <v>8</v>
      </c>
      <c r="C275" s="4325"/>
      <c r="D275" s="4271"/>
      <c r="E275" s="4272"/>
      <c r="F275" s="4272"/>
      <c r="G275" s="4272"/>
      <c r="H275" s="4272"/>
      <c r="I275" s="4272"/>
      <c r="J275" s="4272"/>
      <c r="K275" s="4272"/>
      <c r="L275" s="4272"/>
      <c r="M275" s="4272"/>
      <c r="N275" s="4272"/>
      <c r="O275" s="4272"/>
      <c r="P275" s="4272"/>
      <c r="Q275" s="4272"/>
      <c r="R275" s="4272"/>
      <c r="S275" s="4272"/>
      <c r="T275" s="4272"/>
      <c r="U275" s="4272"/>
      <c r="V275" s="4272"/>
      <c r="W275" s="4272"/>
      <c r="X275" s="4272"/>
      <c r="Y275" s="4272"/>
      <c r="Z275" s="4272"/>
      <c r="AA275" s="4272"/>
      <c r="AB275" s="4272"/>
      <c r="AC275" s="4272"/>
      <c r="AD275" s="4272"/>
      <c r="AE275" s="4272"/>
      <c r="AF275" s="4272"/>
      <c r="AG275" s="4273"/>
      <c r="AH275" s="2496"/>
      <c r="AI275" s="4328"/>
      <c r="AJ275" s="2785" t="s">
        <v>9621</v>
      </c>
      <c r="AK275" s="2785"/>
      <c r="AL275" s="2785"/>
      <c r="AM275" s="278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5"/>
      <c r="AO275" s="2785"/>
      <c r="AP275" s="2785"/>
      <c r="AQ275" s="2786"/>
      <c r="AR275" s="2785"/>
      <c r="AS275" s="2785"/>
      <c r="AT275" s="2785"/>
      <c r="AU275" s="2787"/>
      <c r="AV275" s="2787"/>
      <c r="AW275" s="2787"/>
      <c r="AX275" s="2787"/>
      <c r="AY275" s="2785"/>
    </row>
    <row r="276" spans="1:51" ht="12.75" customHeight="1" x14ac:dyDescent="0.2">
      <c r="A276" s="2487"/>
      <c r="B276" s="2368">
        <f t="shared" si="62"/>
        <v>8</v>
      </c>
      <c r="C276" s="4325"/>
      <c r="D276" s="4271"/>
      <c r="E276" s="4272"/>
      <c r="F276" s="4272"/>
      <c r="G276" s="4272"/>
      <c r="H276" s="4272"/>
      <c r="I276" s="4272"/>
      <c r="J276" s="4272"/>
      <c r="K276" s="4272"/>
      <c r="L276" s="4272"/>
      <c r="M276" s="4272"/>
      <c r="N276" s="4272"/>
      <c r="O276" s="4272"/>
      <c r="P276" s="4272"/>
      <c r="Q276" s="4272"/>
      <c r="R276" s="4272"/>
      <c r="S276" s="4272"/>
      <c r="T276" s="4272"/>
      <c r="U276" s="4272"/>
      <c r="V276" s="4272"/>
      <c r="W276" s="4272"/>
      <c r="X276" s="4272"/>
      <c r="Y276" s="4272"/>
      <c r="Z276" s="4272"/>
      <c r="AA276" s="4272"/>
      <c r="AB276" s="4272"/>
      <c r="AC276" s="4272"/>
      <c r="AD276" s="4272"/>
      <c r="AE276" s="4272"/>
      <c r="AF276" s="4272"/>
      <c r="AG276" s="4273"/>
      <c r="AH276" s="2496"/>
      <c r="AI276" s="4328"/>
      <c r="AJ276" s="2785" t="s">
        <v>9600</v>
      </c>
      <c r="AK276" s="2785"/>
      <c r="AL276" s="2785"/>
      <c r="AM276" s="2785" t="b">
        <f>AND((IF(SUM(V254:V258)&gt;0,1,0)+IF(SUM(X254:X258)&gt;0,1,0)+IF(SUM(Z254:Z258)&gt;0,1,0)+IF(SUM(AB254:AB258)&gt;0,1,0)+IF(SUM(AD254:AD258,)&gt;0,1,0)+IF(SUM(AF254:AF258)&gt;0,1,0))&lt;3,OR(V261&lt;0,X261&lt;0,Z261&lt;0,AB261&lt;0,AD261&lt;0,AF261&lt;0,Y259&lt;0))</f>
        <v>0</v>
      </c>
      <c r="AN276" s="2785"/>
      <c r="AO276" s="2785"/>
      <c r="AP276" s="2785"/>
      <c r="AQ276" s="2786"/>
      <c r="AR276" s="2785"/>
      <c r="AS276" s="2785"/>
      <c r="AT276" s="2785"/>
      <c r="AU276" s="2787"/>
      <c r="AV276" s="2787"/>
      <c r="AW276" s="2787"/>
      <c r="AX276" s="2787"/>
      <c r="AY276" s="2785"/>
    </row>
    <row r="277" spans="1:51" ht="12.75" customHeight="1" x14ac:dyDescent="0.2">
      <c r="A277" s="2487"/>
      <c r="B277" s="2368">
        <f t="shared" si="62"/>
        <v>8</v>
      </c>
      <c r="C277" s="4325"/>
      <c r="D277" s="4271"/>
      <c r="E277" s="4272"/>
      <c r="F277" s="4272"/>
      <c r="G277" s="4272"/>
      <c r="H277" s="4272"/>
      <c r="I277" s="4272"/>
      <c r="J277" s="4272"/>
      <c r="K277" s="4272"/>
      <c r="L277" s="4272"/>
      <c r="M277" s="4272"/>
      <c r="N277" s="4272"/>
      <c r="O277" s="4272"/>
      <c r="P277" s="4272"/>
      <c r="Q277" s="4272"/>
      <c r="R277" s="4272"/>
      <c r="S277" s="4272"/>
      <c r="T277" s="4272"/>
      <c r="U277" s="4272"/>
      <c r="V277" s="4272"/>
      <c r="W277" s="4272"/>
      <c r="X277" s="4272"/>
      <c r="Y277" s="4272"/>
      <c r="Z277" s="4272"/>
      <c r="AA277" s="4272"/>
      <c r="AB277" s="4272"/>
      <c r="AC277" s="4272"/>
      <c r="AD277" s="4272"/>
      <c r="AE277" s="4272"/>
      <c r="AF277" s="4272"/>
      <c r="AG277" s="4273"/>
      <c r="AH277" s="2496"/>
      <c r="AI277" s="4328"/>
      <c r="AJ277" s="2785" t="s">
        <v>9615</v>
      </c>
      <c r="AK277" s="2785"/>
      <c r="AL277" s="2785"/>
      <c r="AM277" s="2785" t="b">
        <f>OR(-V261&gt;TRUNC(SUM(V254:V258)/2),-X261&gt;TRUNC(SUM(X254:X258)/2),-Z261&gt;TRUNC(SUM(Z254:Z258)/2),-AB261&gt;TRUNC(SUM(AB254:AB258)/2),-AD261&gt;TRUNC(SUM(AD254:AD258)/2),-AF261&gt;TRUNC(SUM(AF254:AF258)/2))</f>
        <v>0</v>
      </c>
      <c r="AN277" s="2785"/>
      <c r="AO277" s="2785"/>
      <c r="AP277" s="2785"/>
      <c r="AQ277" s="2786"/>
      <c r="AR277" s="2785"/>
      <c r="AS277" s="2785"/>
      <c r="AT277" s="2785"/>
      <c r="AU277" s="2787"/>
      <c r="AV277" s="2787"/>
      <c r="AW277" s="2787"/>
      <c r="AX277" s="2787"/>
      <c r="AY277" s="2785"/>
    </row>
    <row r="278" spans="1:51" ht="12.75" customHeight="1" x14ac:dyDescent="0.2">
      <c r="A278" s="2487"/>
      <c r="B278" s="2368">
        <f t="shared" si="62"/>
        <v>8</v>
      </c>
      <c r="C278" s="4325"/>
      <c r="D278" s="4271"/>
      <c r="E278" s="4272"/>
      <c r="F278" s="4272"/>
      <c r="G278" s="4272"/>
      <c r="H278" s="4272"/>
      <c r="I278" s="4272"/>
      <c r="J278" s="4272"/>
      <c r="K278" s="4272"/>
      <c r="L278" s="4272"/>
      <c r="M278" s="4272"/>
      <c r="N278" s="4272"/>
      <c r="O278" s="4272"/>
      <c r="P278" s="4272"/>
      <c r="Q278" s="4272"/>
      <c r="R278" s="4272"/>
      <c r="S278" s="4272"/>
      <c r="T278" s="4272"/>
      <c r="U278" s="4272"/>
      <c r="V278" s="4272"/>
      <c r="W278" s="4272"/>
      <c r="X278" s="4272"/>
      <c r="Y278" s="4272"/>
      <c r="Z278" s="4272"/>
      <c r="AA278" s="4272"/>
      <c r="AB278" s="4272"/>
      <c r="AC278" s="4272"/>
      <c r="AD278" s="4272"/>
      <c r="AE278" s="4272"/>
      <c r="AF278" s="4272"/>
      <c r="AG278" s="4273"/>
      <c r="AH278" s="2496"/>
      <c r="AI278" s="4328"/>
      <c r="AJ278" s="2785" t="s">
        <v>9616</v>
      </c>
      <c r="AK278" s="2785"/>
      <c r="AL278" s="2785"/>
      <c r="AM278" s="2785" t="b">
        <f>COUNTIF(D254:E258,"Primario")&gt;1</f>
        <v>0</v>
      </c>
      <c r="AN278" s="2785"/>
      <c r="AO278" s="2785"/>
      <c r="AP278" s="2785"/>
      <c r="AQ278" s="2786"/>
      <c r="AR278" s="2786"/>
      <c r="AS278" s="2786"/>
      <c r="AT278" s="2786"/>
      <c r="AU278" s="2787"/>
      <c r="AV278" s="2787"/>
      <c r="AW278" s="2787"/>
      <c r="AX278" s="2785"/>
      <c r="AY278" s="2785"/>
    </row>
    <row r="279" spans="1:51" ht="12.75" customHeight="1" x14ac:dyDescent="0.2">
      <c r="A279" s="2487"/>
      <c r="B279" s="2368">
        <f t="shared" si="62"/>
        <v>8</v>
      </c>
      <c r="C279" s="4325"/>
      <c r="D279" s="4271"/>
      <c r="E279" s="4272"/>
      <c r="F279" s="4272"/>
      <c r="G279" s="4272"/>
      <c r="H279" s="4272"/>
      <c r="I279" s="4272"/>
      <c r="J279" s="4272"/>
      <c r="K279" s="4272"/>
      <c r="L279" s="4272"/>
      <c r="M279" s="4272"/>
      <c r="N279" s="4272"/>
      <c r="O279" s="4272"/>
      <c r="P279" s="4272"/>
      <c r="Q279" s="4272"/>
      <c r="R279" s="4272"/>
      <c r="S279" s="4272"/>
      <c r="T279" s="4272"/>
      <c r="U279" s="4272"/>
      <c r="V279" s="4272"/>
      <c r="W279" s="4272"/>
      <c r="X279" s="4272"/>
      <c r="Y279" s="4272"/>
      <c r="Z279" s="4272"/>
      <c r="AA279" s="4272"/>
      <c r="AB279" s="4272"/>
      <c r="AC279" s="4272"/>
      <c r="AD279" s="4272"/>
      <c r="AE279" s="4272"/>
      <c r="AF279" s="4272"/>
      <c r="AG279" s="4273"/>
      <c r="AH279" s="2496"/>
      <c r="AI279" s="4328"/>
      <c r="AJ279" s="2785" t="s">
        <v>9599</v>
      </c>
      <c r="AK279" s="2785"/>
      <c r="AL279" s="2785"/>
      <c r="AM279" s="2785" t="b">
        <f>SUM(V261:AG261)&lt;&gt;Y259+ABS(AC259)*2/5+IF(S250="Si",3*P250,0)</f>
        <v>0</v>
      </c>
      <c r="AN279" s="2785"/>
      <c r="AO279" s="2785"/>
      <c r="AP279" s="2785"/>
      <c r="AQ279" s="2786"/>
      <c r="AR279" s="2786"/>
      <c r="AS279" s="2786"/>
      <c r="AT279" s="2786"/>
      <c r="AU279" s="2787"/>
      <c r="AV279" s="2787"/>
      <c r="AW279" s="2787"/>
      <c r="AX279" s="2785"/>
      <c r="AY279" s="2785"/>
    </row>
    <row r="280" spans="1:51" ht="13.5" customHeight="1" x14ac:dyDescent="0.2">
      <c r="A280" s="2487"/>
      <c r="B280" s="2368">
        <f t="shared" si="62"/>
        <v>8</v>
      </c>
      <c r="C280" s="4325"/>
      <c r="D280" s="4271"/>
      <c r="E280" s="4272"/>
      <c r="F280" s="4272"/>
      <c r="G280" s="4272"/>
      <c r="H280" s="4272"/>
      <c r="I280" s="4272"/>
      <c r="J280" s="4272"/>
      <c r="K280" s="4272"/>
      <c r="L280" s="4272"/>
      <c r="M280" s="4272"/>
      <c r="N280" s="4272"/>
      <c r="O280" s="4272"/>
      <c r="P280" s="4272"/>
      <c r="Q280" s="4272"/>
      <c r="R280" s="4272"/>
      <c r="S280" s="4272"/>
      <c r="T280" s="4272"/>
      <c r="U280" s="4272"/>
      <c r="V280" s="4272"/>
      <c r="W280" s="4272"/>
      <c r="X280" s="4272"/>
      <c r="Y280" s="4272"/>
      <c r="Z280" s="4272"/>
      <c r="AA280" s="4272"/>
      <c r="AB280" s="4272"/>
      <c r="AC280" s="4272"/>
      <c r="AD280" s="4272"/>
      <c r="AE280" s="4272"/>
      <c r="AF280" s="4272"/>
      <c r="AG280" s="4273"/>
      <c r="AH280" s="2496"/>
      <c r="AI280" s="4328"/>
      <c r="AJ280" s="2785" t="s">
        <v>9598</v>
      </c>
      <c r="AK280" s="2785"/>
      <c r="AL280" s="2785"/>
      <c r="AM280" s="2785" t="b">
        <f>AL267-AL268+AM267-AM268&lt;&gt;0</f>
        <v>0</v>
      </c>
      <c r="AN280" s="2787"/>
      <c r="AO280" s="2787"/>
      <c r="AP280" s="2787"/>
      <c r="AQ280" s="2787"/>
      <c r="AR280" s="2786"/>
      <c r="AS280" s="2786"/>
      <c r="AT280" s="2786"/>
      <c r="AU280" s="2787"/>
      <c r="AV280" s="2787"/>
      <c r="AW280" s="2787"/>
      <c r="AX280" s="2785"/>
      <c r="AY280" s="2785"/>
    </row>
    <row r="281" spans="1:51" ht="12.75" customHeight="1" thickBot="1" x14ac:dyDescent="0.25">
      <c r="A281" s="2487"/>
      <c r="B281" s="2368"/>
      <c r="C281" s="4326"/>
      <c r="D281" s="432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330"/>
      <c r="F281" s="4330"/>
      <c r="G281" s="4330"/>
      <c r="H281" s="4330"/>
      <c r="I281" s="4330"/>
      <c r="J281" s="4330"/>
      <c r="K281" s="4330"/>
      <c r="L281" s="4330"/>
      <c r="M281" s="4330"/>
      <c r="N281" s="4330"/>
      <c r="O281" s="4330"/>
      <c r="P281" s="4330"/>
      <c r="Q281" s="4330"/>
      <c r="R281" s="4330"/>
      <c r="S281" s="4330"/>
      <c r="T281" s="4330"/>
      <c r="U281" s="4330"/>
      <c r="V281" s="4330"/>
      <c r="W281" s="4330"/>
      <c r="X281" s="4330"/>
      <c r="Y281" s="4330"/>
      <c r="Z281" s="4330"/>
      <c r="AA281" s="4330"/>
      <c r="AB281" s="4330"/>
      <c r="AC281" s="4330"/>
      <c r="AD281" s="4330"/>
      <c r="AE281" s="4330"/>
      <c r="AF281" s="4330"/>
      <c r="AG281" s="4331"/>
      <c r="AH281" s="2496"/>
      <c r="AI281" s="4328"/>
      <c r="AJ281" s="2785" t="s">
        <v>9635</v>
      </c>
      <c r="AK281" s="2787"/>
      <c r="AL281" s="2787"/>
      <c r="AM281" s="2787" t="b">
        <f>ABS(SUM(N259:N261))&gt;(SUM(N254:N258)-10*Y259+AC259+IF(S250="Si",10*P250,0)+IF(COUNTIF(K254:M258,"Mantenido")&gt;0,P250*10)+MAX(IF(COUNTIF(K254:M258,"Sostenimiento Menor")&gt;0,P250*20)+IF(COUNTIF(K254:M258,"Sostenimiento Mayor")&gt;0,P250*30)))/2</f>
        <v>0</v>
      </c>
      <c r="AN281" s="2785"/>
      <c r="AO281" s="2785"/>
      <c r="AP281" s="2785"/>
      <c r="AQ281" s="2785"/>
      <c r="AR281" s="2786"/>
      <c r="AS281" s="2786"/>
      <c r="AT281" s="2786"/>
      <c r="AU281" s="2787"/>
      <c r="AV281" s="2787"/>
      <c r="AW281" s="2787"/>
      <c r="AX281" s="2785"/>
      <c r="AY281" s="2785"/>
    </row>
    <row r="282" spans="1:51" x14ac:dyDescent="0.2">
      <c r="A282" s="2487"/>
      <c r="B282" s="2368"/>
      <c r="C282" s="4232"/>
      <c r="D282" s="4232" t="str">
        <f>IFERROR(VLOOKUP(D263,'Tablas Técnicas'!$O$9:$T$88,2,FALSE),"")</f>
        <v/>
      </c>
      <c r="E282" s="4232"/>
      <c r="F282" s="4232"/>
      <c r="G282" s="4232"/>
      <c r="H282" s="4232"/>
      <c r="I282" s="4232"/>
      <c r="J282" s="4232" t="str">
        <f>IFERROR(VLOOKUP(J263,'Tablas Técnicas'!$O$9:$T$88,2,FALSE),"")</f>
        <v/>
      </c>
      <c r="K282" s="4232"/>
      <c r="L282" s="4232"/>
      <c r="M282" s="4232"/>
      <c r="N282" s="4232"/>
      <c r="O282" s="4232"/>
      <c r="P282" s="4232" t="str">
        <f>IFERROR(VLOOKUP(P263,'Tablas Técnicas'!$O$9:$T$88,2,FALSE),"")</f>
        <v/>
      </c>
      <c r="Q282" s="4232"/>
      <c r="R282" s="4232"/>
      <c r="S282" s="4232"/>
      <c r="T282" s="4232"/>
      <c r="U282" s="4232"/>
      <c r="V282" s="4232" t="str">
        <f>IFERROR(VLOOKUP(V263,'Tablas Técnicas'!$O$9:$T$88,2,FALSE),"")</f>
        <v/>
      </c>
      <c r="W282" s="4232"/>
      <c r="X282" s="4232"/>
      <c r="Y282" s="4232"/>
      <c r="Z282" s="4232"/>
      <c r="AA282" s="4232"/>
      <c r="AB282" s="4232" t="str">
        <f>IFERROR(VLOOKUP(AB263,'Tablas Técnicas'!$O$9:$T$88,2,FALSE),"")</f>
        <v/>
      </c>
      <c r="AC282" s="4232"/>
      <c r="AD282" s="4232"/>
      <c r="AE282" s="4232"/>
      <c r="AF282" s="4232"/>
      <c r="AG282" s="4232"/>
      <c r="AH282" s="2496"/>
      <c r="AI282" s="2188"/>
      <c r="AJ282" s="2785"/>
      <c r="AK282" s="2785"/>
      <c r="AL282" s="2785"/>
      <c r="AM282" s="2785"/>
      <c r="AN282" s="2785"/>
      <c r="AO282" s="2785"/>
      <c r="AP282" s="2785"/>
      <c r="AQ282" s="2785"/>
      <c r="AR282" s="2786"/>
      <c r="AS282" s="2786"/>
      <c r="AT282" s="2786"/>
      <c r="AU282" s="2787"/>
      <c r="AV282" s="2787"/>
      <c r="AW282" s="2787"/>
      <c r="AX282" s="2787"/>
      <c r="AY282" s="2785"/>
    </row>
    <row r="283" spans="1:51" ht="12" thickBot="1" x14ac:dyDescent="0.25">
      <c r="A283" s="2487"/>
      <c r="B283" s="2368"/>
      <c r="C283" s="4232"/>
      <c r="D283" s="2635"/>
      <c r="E283" s="2370"/>
      <c r="F283" s="2370"/>
      <c r="G283" s="2370"/>
      <c r="H283" s="2370"/>
      <c r="I283" s="2370"/>
      <c r="J283" s="2370"/>
      <c r="K283" s="2370"/>
      <c r="L283" s="2370"/>
      <c r="M283" s="2370"/>
      <c r="N283" s="2370"/>
      <c r="O283" s="2370"/>
      <c r="P283" s="2370"/>
      <c r="Q283" s="2370"/>
      <c r="R283" s="2370"/>
      <c r="S283" s="2370"/>
      <c r="T283" s="2370"/>
      <c r="U283" s="2370"/>
      <c r="V283" s="2636"/>
      <c r="W283" s="2636"/>
      <c r="X283" s="2636"/>
      <c r="Y283" s="2636"/>
      <c r="Z283" s="2636"/>
      <c r="AA283" s="2636"/>
      <c r="AB283" s="2636"/>
      <c r="AC283" s="2636"/>
      <c r="AD283" s="2636"/>
      <c r="AE283" s="2636"/>
      <c r="AF283" s="2370"/>
      <c r="AG283" s="2370"/>
      <c r="AH283" s="2496"/>
      <c r="AI283" s="2188"/>
      <c r="AJ283" s="2793"/>
      <c r="AK283" s="2793"/>
      <c r="AL283" s="2793"/>
      <c r="AM283" s="2793"/>
      <c r="AN283" s="2793"/>
      <c r="AO283" s="2793"/>
      <c r="AP283" s="2785"/>
      <c r="AQ283" s="2786"/>
      <c r="AR283" s="2787"/>
      <c r="AS283" s="2787"/>
      <c r="AT283" s="2787"/>
      <c r="AU283" s="2787"/>
      <c r="AV283" s="2787"/>
      <c r="AW283" s="2787"/>
      <c r="AX283" s="2787"/>
      <c r="AY283" s="2794"/>
    </row>
    <row r="284" spans="1:51" ht="11.25" customHeight="1" x14ac:dyDescent="0.2">
      <c r="A284" s="2487"/>
      <c r="B284" s="2368">
        <f t="shared" ref="B284:B314" si="71">1+B250</f>
        <v>9</v>
      </c>
      <c r="C284" s="4324" t="str">
        <f>"Técnica "&amp;B284</f>
        <v>Técnica 9</v>
      </c>
      <c r="D284" s="4318" t="s">
        <v>8999</v>
      </c>
      <c r="E284" s="4319"/>
      <c r="F284" s="4319"/>
      <c r="G284" s="4319"/>
      <c r="H284" s="4319"/>
      <c r="I284" s="4319"/>
      <c r="J284" s="4319"/>
      <c r="K284" s="4319"/>
      <c r="L284" s="4319"/>
      <c r="M284" s="4319"/>
      <c r="N284" s="4320"/>
      <c r="O284" s="4284" t="s">
        <v>1333</v>
      </c>
      <c r="P284" s="4286">
        <v>1</v>
      </c>
      <c r="Q284" s="4203" t="s">
        <v>9083</v>
      </c>
      <c r="R284" s="4280"/>
      <c r="S284" s="4282" t="s">
        <v>1389</v>
      </c>
      <c r="T284" s="4204" t="s">
        <v>1514</v>
      </c>
      <c r="U284" s="4268">
        <f>MAX(IF(P284=3,60,IF(P284=2,40,20)),MIN(IF(P284=3,200,IF(P284=2,100,50)),SUM(N288:N295)-10*Y293+AC293+IF(S284="Si",10*P284,0)+IF(COUNTIF(K288:M292,"Mantenido")&gt;0,P284*10)+MAX(IF(COUNTIF(K288:M292,"Sostenimiento Menor")&gt;0,P284*20)+IF(COUNTIF(K288:M292,"Sostenimiento Mayor")&gt;0,P284*30))))</f>
        <v>20</v>
      </c>
      <c r="V284" s="4203" t="s">
        <v>9084</v>
      </c>
      <c r="W284" s="4204"/>
      <c r="X284" s="4207" t="str">
        <f>IFERROR(LEFT(AK300&amp;AL300&amp;AM300&amp;AN300&amp;AO300&amp;AP300,LEN(AK300&amp;AL300&amp;AM300&amp;AN300&amp;AO300&amp;AP300)-2),"")</f>
        <v/>
      </c>
      <c r="Y284" s="4207"/>
      <c r="Z284" s="4207"/>
      <c r="AA284" s="4207"/>
      <c r="AB284" s="4207"/>
      <c r="AC284" s="4207"/>
      <c r="AD284" s="4207"/>
      <c r="AE284" s="4207"/>
      <c r="AF284" s="4207"/>
      <c r="AG284" s="4208"/>
      <c r="AH284" s="2496"/>
      <c r="AI284" s="4328"/>
      <c r="AJ284" s="2790" t="s">
        <v>9632</v>
      </c>
      <c r="AK284" s="2790"/>
      <c r="AL284" s="2790"/>
      <c r="AM284" s="2790"/>
      <c r="AN284" s="2790"/>
      <c r="AO284" s="2790"/>
      <c r="AP284" s="2790"/>
      <c r="AQ284" s="2790"/>
      <c r="AR284" s="2790"/>
      <c r="AS284" s="2785"/>
      <c r="AT284" s="2785"/>
      <c r="AU284" s="2785"/>
      <c r="AV284" s="2785"/>
      <c r="AW284" s="2787"/>
      <c r="AX284" s="2787"/>
      <c r="AY284" s="2785"/>
    </row>
    <row r="285" spans="1:51" ht="11.25" customHeight="1" x14ac:dyDescent="0.2">
      <c r="A285" s="2487"/>
      <c r="B285" s="2368">
        <f t="shared" si="71"/>
        <v>9</v>
      </c>
      <c r="C285" s="4325"/>
      <c r="D285" s="4321"/>
      <c r="E285" s="4322"/>
      <c r="F285" s="4322"/>
      <c r="G285" s="4322"/>
      <c r="H285" s="4322"/>
      <c r="I285" s="4322"/>
      <c r="J285" s="4322"/>
      <c r="K285" s="4322"/>
      <c r="L285" s="4322"/>
      <c r="M285" s="4322"/>
      <c r="N285" s="4323"/>
      <c r="O285" s="4285"/>
      <c r="P285" s="4283"/>
      <c r="Q285" s="4205"/>
      <c r="R285" s="4281"/>
      <c r="S285" s="4283"/>
      <c r="T285" s="4206"/>
      <c r="U285" s="4269"/>
      <c r="V285" s="4205"/>
      <c r="W285" s="4206"/>
      <c r="X285" s="4209"/>
      <c r="Y285" s="4209"/>
      <c r="Z285" s="4209"/>
      <c r="AA285" s="4209"/>
      <c r="AB285" s="4209"/>
      <c r="AC285" s="4209"/>
      <c r="AD285" s="4209"/>
      <c r="AE285" s="4209"/>
      <c r="AF285" s="4209"/>
      <c r="AG285" s="4210"/>
      <c r="AH285" s="2496"/>
      <c r="AI285" s="4328"/>
      <c r="AJ285" s="2790"/>
      <c r="AK285" s="2790" t="s">
        <v>9633</v>
      </c>
      <c r="AL285" s="2790" t="s">
        <v>10237</v>
      </c>
      <c r="AM285" s="2791"/>
      <c r="AN285" s="2791"/>
      <c r="AO285" s="2791"/>
      <c r="AP285" s="2791"/>
      <c r="AQ285" s="2791"/>
      <c r="AR285" s="2790"/>
      <c r="AS285" s="2785"/>
      <c r="AT285" s="2785"/>
      <c r="AU285" s="2785"/>
      <c r="AV285" s="2785"/>
      <c r="AW285" s="2787"/>
      <c r="AX285" s="4327" t="s">
        <v>9602</v>
      </c>
      <c r="AY285" s="4327"/>
    </row>
    <row r="286" spans="1:51" ht="12" customHeight="1" x14ac:dyDescent="0.2">
      <c r="A286" s="2487"/>
      <c r="B286" s="2368">
        <f t="shared" si="71"/>
        <v>9</v>
      </c>
      <c r="C286" s="4325"/>
      <c r="D286" s="4213" t="s">
        <v>2910</v>
      </c>
      <c r="E286" s="4214"/>
      <c r="F286" s="4214"/>
      <c r="G286" s="4214"/>
      <c r="H286" s="4214"/>
      <c r="I286" s="4214"/>
      <c r="J286" s="4214"/>
      <c r="K286" s="4290" t="s">
        <v>9935</v>
      </c>
      <c r="L286" s="4290"/>
      <c r="M286" s="4290"/>
      <c r="N286" s="4214" t="s">
        <v>1508</v>
      </c>
      <c r="O286" s="4290" t="s">
        <v>2908</v>
      </c>
      <c r="P286" s="4290" t="s">
        <v>9085</v>
      </c>
      <c r="Q286" s="4214" t="s">
        <v>1372</v>
      </c>
      <c r="R286" s="4214"/>
      <c r="S286" s="4214"/>
      <c r="T286" s="4214"/>
      <c r="U286" s="4214"/>
      <c r="V286" s="4202" t="s">
        <v>1381</v>
      </c>
      <c r="W286" s="4185"/>
      <c r="X286" s="4202" t="s">
        <v>1506</v>
      </c>
      <c r="Y286" s="4287"/>
      <c r="Z286" s="4185" t="s">
        <v>1386</v>
      </c>
      <c r="AA286" s="4185"/>
      <c r="AB286" s="4202" t="s">
        <v>1391</v>
      </c>
      <c r="AC286" s="4287"/>
      <c r="AD286" s="4185" t="s">
        <v>1399</v>
      </c>
      <c r="AE286" s="4185"/>
      <c r="AF286" s="4202" t="s">
        <v>1400</v>
      </c>
      <c r="AG286" s="4186"/>
      <c r="AH286" s="2496"/>
      <c r="AI286" s="4328"/>
      <c r="AJ286" s="2785"/>
      <c r="AK286" s="2785"/>
      <c r="AL286" s="2785" t="s">
        <v>9910</v>
      </c>
      <c r="AM286" s="2785"/>
      <c r="AN286" s="2785"/>
      <c r="AO286" s="2785"/>
      <c r="AP286" s="2785"/>
      <c r="AQ286" s="2785"/>
      <c r="AR286" s="2787"/>
      <c r="AS286" s="2787" t="s">
        <v>9622</v>
      </c>
      <c r="AT286" s="2787" t="s">
        <v>9623</v>
      </c>
      <c r="AU286" s="2785" t="s">
        <v>9611</v>
      </c>
      <c r="AV286" s="2785" t="s">
        <v>9612</v>
      </c>
      <c r="AW286" s="2787" t="s">
        <v>1508</v>
      </c>
      <c r="AX286" s="2787" t="s">
        <v>9087</v>
      </c>
      <c r="AY286" s="2785" t="s">
        <v>9088</v>
      </c>
    </row>
    <row r="287" spans="1:51" ht="12.75" customHeight="1" x14ac:dyDescent="0.2">
      <c r="A287" s="2487"/>
      <c r="B287" s="2368">
        <f t="shared" si="71"/>
        <v>9</v>
      </c>
      <c r="C287" s="4325"/>
      <c r="D287" s="4288"/>
      <c r="E287" s="4289"/>
      <c r="F287" s="4289"/>
      <c r="G287" s="4289"/>
      <c r="H287" s="4289"/>
      <c r="I287" s="4289"/>
      <c r="J287" s="4289"/>
      <c r="K287" s="4291"/>
      <c r="L287" s="4291"/>
      <c r="M287" s="4291"/>
      <c r="N287" s="4215"/>
      <c r="O287" s="4291"/>
      <c r="P287" s="4292"/>
      <c r="Q287" s="4215"/>
      <c r="R287" s="4215"/>
      <c r="S287" s="4215"/>
      <c r="T287" s="4215"/>
      <c r="U287" s="4215"/>
      <c r="V287" s="2373" t="s">
        <v>9601</v>
      </c>
      <c r="W287" s="2488" t="s">
        <v>2914</v>
      </c>
      <c r="X287" s="2373" t="s">
        <v>9601</v>
      </c>
      <c r="Y287" s="2488" t="s">
        <v>2914</v>
      </c>
      <c r="Z287" s="2373" t="s">
        <v>9601</v>
      </c>
      <c r="AA287" s="2488" t="s">
        <v>2914</v>
      </c>
      <c r="AB287" s="2373" t="s">
        <v>9601</v>
      </c>
      <c r="AC287" s="2488" t="s">
        <v>2914</v>
      </c>
      <c r="AD287" s="2373" t="s">
        <v>9601</v>
      </c>
      <c r="AE287" s="2488" t="s">
        <v>2914</v>
      </c>
      <c r="AF287" s="2373" t="s">
        <v>9601</v>
      </c>
      <c r="AG287" s="2195" t="s">
        <v>2914</v>
      </c>
      <c r="AH287" s="2496"/>
      <c r="AI287" s="4328"/>
      <c r="AJ287" s="2785"/>
      <c r="AK287" s="2785" t="s">
        <v>9603</v>
      </c>
      <c r="AL287" s="2785">
        <v>1</v>
      </c>
      <c r="AM287" s="2785">
        <v>2</v>
      </c>
      <c r="AN287" s="2785">
        <v>3</v>
      </c>
      <c r="AO287" s="2785">
        <v>4</v>
      </c>
      <c r="AP287" s="2785">
        <v>5</v>
      </c>
      <c r="AQ287" s="2785">
        <v>6</v>
      </c>
      <c r="AR287" s="2785">
        <v>7</v>
      </c>
      <c r="AS287" s="2787"/>
      <c r="AT287" s="2785" t="s">
        <v>9634</v>
      </c>
      <c r="AU287" s="2787"/>
      <c r="AV287" s="2787"/>
      <c r="AW287" s="2787" t="s">
        <v>9634</v>
      </c>
      <c r="AX287" s="2787"/>
      <c r="AY287" s="2785"/>
    </row>
    <row r="288" spans="1:51" ht="12.75" customHeight="1" x14ac:dyDescent="0.2">
      <c r="A288" s="2487"/>
      <c r="B288" s="2368">
        <f t="shared" si="71"/>
        <v>9</v>
      </c>
      <c r="C288" s="4325"/>
      <c r="D288" s="4293" t="s">
        <v>9089</v>
      </c>
      <c r="E288" s="4294"/>
      <c r="F288" s="4295"/>
      <c r="G288" s="4296"/>
      <c r="H288" s="4296"/>
      <c r="I288" s="4296"/>
      <c r="J288" s="4240"/>
      <c r="K288" s="4297" t="s">
        <v>1464</v>
      </c>
      <c r="L288" s="4298"/>
      <c r="M288" s="4299"/>
      <c r="N288" s="2374">
        <f>IF(AW288&gt;0,IF(VLOOKUP(F288,'Tablas Técnicas'!$O$9:$X$88,10,0),MAX(5,AW288-5),AW288),0)</f>
        <v>0</v>
      </c>
      <c r="O288" s="2374" t="str">
        <f>AS288&amp;" / "&amp;AT288</f>
        <v>0 / 0</v>
      </c>
      <c r="P288" s="2374" t="str">
        <f t="array" ref="P288">W288+Y288+AA288+AC288+AE288+AG288&amp;" / "&amp;IF(K288&lt;&gt;"Mantenido",0,SUM(IF($AL288:$AR288='Tablas Técnicas'!$L$10:$L$643,'Tablas Técnicas'!$H$10:$H$643,0)))</f>
        <v>0 / 0</v>
      </c>
      <c r="Q288" s="4300" t="str">
        <f>IFERROR(VLOOKUP(F288,'Tablas Técnicas'!$O$9:$T$88,5,FALSE),"")</f>
        <v/>
      </c>
      <c r="R288" s="4300"/>
      <c r="S288" s="4300"/>
      <c r="T288" s="4300"/>
      <c r="U288" s="4300"/>
      <c r="V288" s="2324"/>
      <c r="W288" s="2325"/>
      <c r="X288" s="2324"/>
      <c r="Y288" s="2326"/>
      <c r="Z288" s="2327"/>
      <c r="AA288" s="2325"/>
      <c r="AB288" s="2324"/>
      <c r="AC288" s="2326"/>
      <c r="AD288" s="2327"/>
      <c r="AE288" s="2325"/>
      <c r="AF288" s="2324"/>
      <c r="AG288" s="2328"/>
      <c r="AH288" s="2496"/>
      <c r="AI288" s="4328"/>
      <c r="AJ288" s="2785">
        <v>1</v>
      </c>
      <c r="AK288" s="2785">
        <f>P284</f>
        <v>1</v>
      </c>
      <c r="AL288" s="2785" t="str">
        <f>IF(AND(ISNUMBER(MATCH($F288,'Tablas Técnicas'!$L$10:$L$643,0)),INDEX($D301:$D307,Tablas!A$1)="",COUNTIF(AM288:$AS288,$F288)=0),$F288,IF(INDEX($D301:$D307,Tablas!A$1)="","",$F288&amp;INDEX($D301:$D307,Tablas!A$1)))</f>
        <v/>
      </c>
      <c r="AM288" s="2785" t="str">
        <f>IF(AND(ISNUMBER(MATCH($F288,'Tablas Técnicas'!$L$10:$L$643,0)),INDEX($D301:$D307,Tablas!B$1)="",COUNTIF(AN288:$AS288,$F288)=0),$F288,IF(INDEX($D301:$D307,Tablas!B$1)="","",$F288&amp;INDEX($D301:$D307,Tablas!B$1)))</f>
        <v/>
      </c>
      <c r="AN288" s="2785" t="str">
        <f>IF(AND(ISNUMBER(MATCH($F288,'Tablas Técnicas'!$L$10:$L$643,0)),INDEX($D301:$D307,Tablas!C$1)="",COUNTIF(AO288:$AS288,$F288)=0),$F288,IF(INDEX($D301:$D307,Tablas!C$1)="","",$F288&amp;INDEX($D301:$D307,Tablas!C$1)))</f>
        <v/>
      </c>
      <c r="AO288" s="2785" t="str">
        <f>IF(AND(ISNUMBER(MATCH($F288,'Tablas Técnicas'!$L$10:$L$643,0)),INDEX($D301:$D307,Tablas!D$1)="",COUNTIF(AP288:$AS288,$F288)=0),$F288,IF(INDEX($D301:$D307,Tablas!D$1)="","",$F288&amp;INDEX($D301:$D307,Tablas!D$1)))</f>
        <v/>
      </c>
      <c r="AP288" s="2785" t="str">
        <f>IF(AND(ISNUMBER(MATCH($F288,'Tablas Técnicas'!$L$10:$L$643,0)),INDEX($D301:$D307,Tablas!E$1)="",COUNTIF(AQ288:$AS288,$F288)=0),$F288,IF(INDEX($D301:$D307,Tablas!E$1)="","",$F288&amp;INDEX($D301:$D307,Tablas!E$1)))</f>
        <v/>
      </c>
      <c r="AQ288" s="2785" t="str">
        <f>IF(AND(ISNUMBER(MATCH($F288,'Tablas Técnicas'!$L$10:$L$643,0)),INDEX($D301:$D307,Tablas!F$1)="",COUNTIF(AR288:$AS288,$F288)=0),$F288,IF(INDEX($D301:$D307,Tablas!F$1)="","",$F288&amp;INDEX($D301:$D307,Tablas!F$1)))</f>
        <v/>
      </c>
      <c r="AR288" s="2785" t="str">
        <f>IF(AND(ISNUMBER(MATCH($F288,'Tablas Técnicas'!$L$10:$L$643,0)),INDEX($D301:$D307,Tablas!G$1)="",COUNTIF(AS288:$AS288,$F288)=0),$F288,IF(INDEX($D301:$D307,Tablas!G$1)="","",$F288&amp;INDEX($D301:$D307,Tablas!G$1)))</f>
        <v/>
      </c>
      <c r="AS288" s="2787">
        <f>V288+X288+Z288+AB288+AD288+AF288</f>
        <v>0</v>
      </c>
      <c r="AT288" s="2787">
        <f t="array" ref="AT288">SUM(IF($AL288:$AR288='Tablas Técnicas'!$L$10:$L$643,IF(D288="Primario",'Tablas Técnicas'!$E$10:$E$643,'Tablas Técnicas'!$F$10:$F$643)+IF(K288="Sostenimiento menor",'Tablas Técnicas'!$I$10:$I$643,IF(K288="sostenimiento mayor",'Tablas Técnicas'!$J$10:$J$643,0)),0),0)+VALUE(RIGHT(P288,2))+AU288+AV288</f>
        <v>0</v>
      </c>
      <c r="AU288" s="278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7">
        <f>(COUNTIF(AL288:AR288,"*Estado añadido:*")-1)*COUNTIF(AL288:AR288,"*Estado añadido:*")</f>
        <v>0</v>
      </c>
      <c r="AW288" s="2787">
        <f t="array" ref="AW288">SUM(IF($AL288:$AR288='Tablas Técnicas'!$L$10:$L$643,'Tablas Técnicas'!$G$10:$G$643,0))</f>
        <v>0</v>
      </c>
      <c r="AX288" s="2785"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5" t="str">
        <f t="shared" ref="AY288:AY290" si="72">IFERROR(LEFT(AX288,LEN(AX288)-2)&amp;"), ","")</f>
        <v/>
      </c>
    </row>
    <row r="289" spans="1:51" ht="12.75" customHeight="1" x14ac:dyDescent="0.2">
      <c r="A289" s="2487"/>
      <c r="B289" s="2368">
        <f t="shared" si="71"/>
        <v>9</v>
      </c>
      <c r="C289" s="4325"/>
      <c r="D289" s="4221" t="s">
        <v>526</v>
      </c>
      <c r="E289" s="4222"/>
      <c r="F289" s="4304"/>
      <c r="G289" s="4305"/>
      <c r="H289" s="4305"/>
      <c r="I289" s="4305"/>
      <c r="J289" s="4249"/>
      <c r="K289" s="4306" t="s">
        <v>1464</v>
      </c>
      <c r="L289" s="4307"/>
      <c r="M289" s="4308"/>
      <c r="N289" s="2192">
        <f>IF(AW289&gt;0,IF(VLOOKUP(F289,'Tablas Técnicas'!$O$9:$X$88,10,0),MAX(5,AW289-5),AW289),0)</f>
        <v>0</v>
      </c>
      <c r="O289" s="2192" t="str">
        <f>AS289&amp;" / "&amp;AT289</f>
        <v>0 / 0</v>
      </c>
      <c r="P289" s="2192" t="str">
        <f t="array" ref="P289">W289+Y289+AA289+AC289+AE289+AG289&amp;" / "&amp;IF(K289&lt;&gt;"Mantenido",0,SUM(IF($AL289:$AR289='Tablas Técnicas'!$L$10:$L$643,'Tablas Técnicas'!$H$10:$H$643,0)))</f>
        <v>0 / 0</v>
      </c>
      <c r="Q289" s="4223" t="str">
        <f>IFERROR(VLOOKUP(F289,'Tablas Técnicas'!$O$9:$T$88,5,FALSE),"")</f>
        <v/>
      </c>
      <c r="R289" s="4223"/>
      <c r="S289" s="4223"/>
      <c r="T289" s="4223"/>
      <c r="U289" s="4223"/>
      <c r="V289" s="2329"/>
      <c r="W289" s="2330"/>
      <c r="X289" s="2329"/>
      <c r="Y289" s="2331"/>
      <c r="Z289" s="2332"/>
      <c r="AA289" s="2330"/>
      <c r="AB289" s="2329"/>
      <c r="AC289" s="2331"/>
      <c r="AD289" s="2332"/>
      <c r="AE289" s="2330"/>
      <c r="AF289" s="2329"/>
      <c r="AG289" s="2333"/>
      <c r="AH289" s="2496"/>
      <c r="AI289" s="4328"/>
      <c r="AJ289" s="2785">
        <v>2</v>
      </c>
      <c r="AK289" s="2785">
        <f>P284</f>
        <v>1</v>
      </c>
      <c r="AL289" s="2785" t="str">
        <f>IF(AND(ISNUMBER(MATCH($F289,'Tablas Técnicas'!$L$10:$L$643,0)),INDEX($J301:$J307,Tablas!A$1)="",COUNTIF(AM289:$AS289,$F289)=0),$F289,IF(INDEX($J301:$J307,Tablas!A$1)="","",$F289&amp;INDEX($J301:$J307,Tablas!A$1)))</f>
        <v/>
      </c>
      <c r="AM289" s="2785" t="str">
        <f>IF(AND(ISNUMBER(MATCH($F289,'Tablas Técnicas'!$L$10:$L$643,0)),INDEX($J301:$J307,Tablas!B$1)="",COUNTIF(AN289:$AS289,$F289)=0),$F289,IF(INDEX($J301:$J307,Tablas!B$1)="","",$F289&amp;INDEX($J301:$J307,Tablas!B$1)))</f>
        <v/>
      </c>
      <c r="AN289" s="2785" t="str">
        <f>IF(AND(ISNUMBER(MATCH($F289,'Tablas Técnicas'!$L$10:$L$643,0)),INDEX($J301:$J307,Tablas!C$1)="",COUNTIF(AO289:$AS289,$F289)=0),$F289,IF(INDEX($J301:$J307,Tablas!C$1)="","",$F289&amp;INDEX($J301:$J307,Tablas!C$1)))</f>
        <v/>
      </c>
      <c r="AO289" s="2785" t="str">
        <f>IF(AND(ISNUMBER(MATCH($F289,'Tablas Técnicas'!$L$10:$L$643,0)),INDEX($J301:$J307,Tablas!D$1)="",COUNTIF(AP289:$AS289,$F289)=0),$F289,IF(INDEX($J301:$J307,Tablas!D$1)="","",$F289&amp;INDEX($J301:$J307,Tablas!D$1)))</f>
        <v/>
      </c>
      <c r="AP289" s="2785" t="str">
        <f>IF(AND(ISNUMBER(MATCH($F289,'Tablas Técnicas'!$L$10:$L$643,0)),INDEX($J301:$J307,Tablas!E$1)="",COUNTIF(AQ289:$AS289,$F289)=0),$F289,IF(INDEX($J301:$J307,Tablas!E$1)="","",$F289&amp;INDEX($J301:$J307,Tablas!E$1)))</f>
        <v/>
      </c>
      <c r="AQ289" s="2785" t="str">
        <f>IF(AND(ISNUMBER(MATCH($F289,'Tablas Técnicas'!$L$10:$L$643,0)),INDEX($J301:$J307,Tablas!F$1)="",COUNTIF(AR289:$AS289,$F289)=0),$F289,IF(INDEX($J301:$J307,Tablas!F$1)="","",$F289&amp;INDEX($J301:$J307,Tablas!F$1)))</f>
        <v/>
      </c>
      <c r="AR289" s="2785" t="str">
        <f>IF(AND(ISNUMBER(MATCH($F289,'Tablas Técnicas'!$L$10:$L$643,0)),INDEX($J301:$J307,Tablas!G$1)="",COUNTIF(AS289:$AS289,$F289)=0),$F289,IF(INDEX($J301:$J307,Tablas!G$1)="","",$F289&amp;INDEX($J301:$J307,Tablas!G$1)))</f>
        <v/>
      </c>
      <c r="AS289" s="2787">
        <f>V289+X289+Z289+AB289+AD289+AF289</f>
        <v>0</v>
      </c>
      <c r="AT289" s="2787">
        <f t="array" ref="AT289">SUM(IF($AL289:$AR289='Tablas Técnicas'!$L$10:$L$643,IF(D289="Primario",'Tablas Técnicas'!$E$10:$E$643,'Tablas Técnicas'!$F$10:$F$643)+IF(K289="Sostenimiento menor",'Tablas Técnicas'!$I$10:$I$643,IF(K289="sostenimiento mayor",'Tablas Técnicas'!$J$10:$J$643,0)),0),0)+VALUE(RIGHT(P289,2))+AU289+AV289</f>
        <v>0</v>
      </c>
      <c r="AU289" s="278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7">
        <f>(COUNTIF(AL289:AR289,"*Estado añadido:*")-1)*COUNTIF(AL289:AR289,"*Estado añadido:*")</f>
        <v>0</v>
      </c>
      <c r="AW289" s="2787">
        <f t="array" ref="AW289">SUM(IF($AL289:$AR289='Tablas Técnicas'!$L$10:$L$643,'Tablas Técnicas'!$G$10:$G$643,0))</f>
        <v>0</v>
      </c>
      <c r="AX289" s="2785"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5" t="str">
        <f t="shared" si="72"/>
        <v/>
      </c>
    </row>
    <row r="290" spans="1:51" ht="12.75" customHeight="1" x14ac:dyDescent="0.2">
      <c r="A290" s="2487"/>
      <c r="B290" s="2368">
        <f t="shared" si="71"/>
        <v>9</v>
      </c>
      <c r="C290" s="4325"/>
      <c r="D290" s="4312" t="s">
        <v>526</v>
      </c>
      <c r="E290" s="4313"/>
      <c r="F290" s="4227"/>
      <c r="G290" s="4228"/>
      <c r="H290" s="4228"/>
      <c r="I290" s="4228"/>
      <c r="J290" s="4229"/>
      <c r="K290" s="4309" t="s">
        <v>1464</v>
      </c>
      <c r="L290" s="4310"/>
      <c r="M290" s="4311"/>
      <c r="N290" s="2188">
        <f>IF(AW290&gt;0,IF(VLOOKUP(F290,'Tablas Técnicas'!$O$9:$X$88,10,0),MAX(5,AW290-5),AW290),0)</f>
        <v>0</v>
      </c>
      <c r="O290" s="2188" t="str">
        <f>AS290&amp;" / "&amp;AT290</f>
        <v>0 / 0</v>
      </c>
      <c r="P290" s="2188" t="str">
        <f t="array" ref="P290">W290+Y290+AA290+AC290+AE290+AG290&amp;" / "&amp;IF(K290&lt;&gt;"Mantenido",0,SUM(IF($AL290:$AR290='Tablas Técnicas'!$L$10:$L$643,'Tablas Técnicas'!$H$10:$H$643,0)))</f>
        <v>0 / 0</v>
      </c>
      <c r="Q290" s="4314" t="str">
        <f>IFERROR(VLOOKUP(F290,'Tablas Técnicas'!$O$9:$T$88,5,FALSE),"")</f>
        <v/>
      </c>
      <c r="R290" s="4314"/>
      <c r="S290" s="4314"/>
      <c r="T290" s="4314"/>
      <c r="U290" s="4314"/>
      <c r="V290" s="2334"/>
      <c r="W290" s="2335"/>
      <c r="X290" s="2334"/>
      <c r="Y290" s="2336"/>
      <c r="Z290" s="2337"/>
      <c r="AA290" s="2335"/>
      <c r="AB290" s="2334"/>
      <c r="AC290" s="2336"/>
      <c r="AD290" s="2337"/>
      <c r="AE290" s="2335"/>
      <c r="AF290" s="2334"/>
      <c r="AG290" s="2338"/>
      <c r="AH290" s="2496"/>
      <c r="AI290" s="4328"/>
      <c r="AJ290" s="2785">
        <v>3</v>
      </c>
      <c r="AK290" s="2785">
        <f>P284</f>
        <v>1</v>
      </c>
      <c r="AL290" s="2785" t="str">
        <f>IF(AND(ISNUMBER(MATCH($F290,'Tablas Técnicas'!$L$10:$L$643,0)),INDEX($P301:$P307,Tablas!A$1)="",COUNTIF(AM290:$AS290,$F290)=0),$F290,IF(INDEX($P301:$P307,Tablas!A$1)="","",$F290&amp;INDEX($P301:$P307,Tablas!A$1)))</f>
        <v/>
      </c>
      <c r="AM290" s="2785" t="str">
        <f>IF(AND(ISNUMBER(MATCH($F290,'Tablas Técnicas'!$L$10:$L$643,0)),INDEX($P301:$P307,Tablas!B$1)="",COUNTIF(AN290:$AS290,$F290)=0),$F290,IF(INDEX($P301:$P307,Tablas!B$1)="","",$F290&amp;INDEX($P301:$P307,Tablas!B$1)))</f>
        <v/>
      </c>
      <c r="AN290" s="2785" t="str">
        <f>IF(AND(ISNUMBER(MATCH($F290,'Tablas Técnicas'!$L$10:$L$643,0)),INDEX($P301:$P307,Tablas!C$1)="",COUNTIF(AO290:$AS290,$F290)=0),$F290,IF(INDEX($P301:$P307,Tablas!C$1)="","",$F290&amp;INDEX($P301:$P307,Tablas!C$1)))</f>
        <v/>
      </c>
      <c r="AO290" s="2785" t="str">
        <f>IF(AND(ISNUMBER(MATCH($F290,'Tablas Técnicas'!$L$10:$L$643,0)),INDEX($P301:$P307,Tablas!D$1)="",COUNTIF(AP290:$AS290,$F290)=0),$F290,IF(INDEX($P301:$P307,Tablas!D$1)="","",$F290&amp;INDEX($P301:$P307,Tablas!D$1)))</f>
        <v/>
      </c>
      <c r="AP290" s="2785" t="str">
        <f>IF(AND(ISNUMBER(MATCH($F290,'Tablas Técnicas'!$L$10:$L$643,0)),INDEX($P301:$P307,Tablas!E$1)="",COUNTIF(AQ290:$AS290,$F290)=0),$F290,IF(INDEX($P301:$P307,Tablas!E$1)="","",$F290&amp;INDEX($P301:$P307,Tablas!E$1)))</f>
        <v/>
      </c>
      <c r="AQ290" s="2785" t="str">
        <f>IF(AND(ISNUMBER(MATCH($F290,'Tablas Técnicas'!$L$10:$L$643,0)),INDEX($P301:$P307,Tablas!F$1)="",COUNTIF(AR290:$AS290,$F290)=0),$F290,IF(INDEX($P301:$P307,Tablas!F$1)="","",$F290&amp;INDEX($P301:$P307,Tablas!F$1)))</f>
        <v/>
      </c>
      <c r="AR290" s="2785" t="str">
        <f>IF(AND(ISNUMBER(MATCH($F290,'Tablas Técnicas'!$L$10:$L$643,0)),INDEX($P301:$P307,Tablas!G$1)="",COUNTIF(AS290:$AS290,$F290)=0),$F290,IF(INDEX($P301:$P307,Tablas!G$1)="","",$F290&amp;INDEX($P301:$P307,Tablas!G$1)))</f>
        <v/>
      </c>
      <c r="AS290" s="2787">
        <f>V290+X290+Z290+AB290+AD290+AF290</f>
        <v>0</v>
      </c>
      <c r="AT290" s="2787">
        <f t="array" ref="AT290">SUM(IF($AL290:$AR290='Tablas Técnicas'!$L$10:$L$643,IF(D290="Primario",'Tablas Técnicas'!$E$10:$E$643,'Tablas Técnicas'!$F$10:$F$643)+IF(K290="Sostenimiento menor",'Tablas Técnicas'!$I$10:$I$643,IF(K290="sostenimiento mayor",'Tablas Técnicas'!$J$10:$J$643,0)),0),0)+VALUE(RIGHT(P290,2))+AU290+AV290</f>
        <v>0</v>
      </c>
      <c r="AU290" s="278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7">
        <f>(COUNTIF(AL290:AR290,"*Estado añadido:*")-1)*COUNTIF(AL290:AR290,"*Estado añadido:*")</f>
        <v>0</v>
      </c>
      <c r="AW290" s="2787">
        <f t="array" ref="AW290">SUM(IF($AL290:$AR290='Tablas Técnicas'!$L$10:$L$643,'Tablas Técnicas'!$G$10:$G$643,0))</f>
        <v>0</v>
      </c>
      <c r="AX290" s="2785" t="str">
        <f t="shared" si="73"/>
        <v/>
      </c>
      <c r="AY290" s="2785" t="str">
        <f t="shared" si="72"/>
        <v/>
      </c>
    </row>
    <row r="291" spans="1:51" ht="12.75" customHeight="1" x14ac:dyDescent="0.2">
      <c r="A291" s="2487"/>
      <c r="B291" s="2368">
        <f t="shared" si="71"/>
        <v>9</v>
      </c>
      <c r="C291" s="4325"/>
      <c r="D291" s="4221" t="s">
        <v>526</v>
      </c>
      <c r="E291" s="4222"/>
      <c r="F291" s="4304"/>
      <c r="G291" s="4305"/>
      <c r="H291" s="4305"/>
      <c r="I291" s="4305"/>
      <c r="J291" s="4249"/>
      <c r="K291" s="4306" t="s">
        <v>1464</v>
      </c>
      <c r="L291" s="4307"/>
      <c r="M291" s="4308"/>
      <c r="N291" s="2192">
        <f>IF(AW291&gt;0,IF(VLOOKUP(F291,'Tablas Técnicas'!$O$9:$X$88,10,0),MAX(5,AW291-5),AW291),0)</f>
        <v>0</v>
      </c>
      <c r="O291" s="2192" t="str">
        <f>AS291&amp;" / "&amp;AT291</f>
        <v>0 / 0</v>
      </c>
      <c r="P291" s="2192" t="str">
        <f t="array" ref="P291">W291+Y291+AA291+AC291+AE291+AG291&amp;" / "&amp;IF(K291&lt;&gt;"Mantenido",0,SUM(IF($AL291:$AR291='Tablas Técnicas'!$L$10:$L$643,'Tablas Técnicas'!$H$10:$H$643,0)))</f>
        <v>0 / 0</v>
      </c>
      <c r="Q291" s="4223" t="str">
        <f>IFERROR(VLOOKUP(F291,'Tablas Técnicas'!$O$9:$T$88,5,FALSE),"")</f>
        <v/>
      </c>
      <c r="R291" s="4223"/>
      <c r="S291" s="4223"/>
      <c r="T291" s="4223"/>
      <c r="U291" s="4223"/>
      <c r="V291" s="2329"/>
      <c r="W291" s="2330"/>
      <c r="X291" s="2329"/>
      <c r="Y291" s="2331"/>
      <c r="Z291" s="2332"/>
      <c r="AA291" s="2330"/>
      <c r="AB291" s="2329"/>
      <c r="AC291" s="2331"/>
      <c r="AD291" s="2332"/>
      <c r="AE291" s="2330"/>
      <c r="AF291" s="2329"/>
      <c r="AG291" s="2333"/>
      <c r="AH291" s="2496"/>
      <c r="AI291" s="4328"/>
      <c r="AJ291" s="2785">
        <v>4</v>
      </c>
      <c r="AK291" s="2785">
        <f>P284</f>
        <v>1</v>
      </c>
      <c r="AL291" s="2785" t="str">
        <f>IF(AND(ISNUMBER(MATCH($F291,'Tablas Técnicas'!$L$10:$L$643,0)),INDEX($V301:$V307,Tablas!A$1)="",COUNTIF(AM291:$AS291,$F291)=0),$F291,IF(INDEX($V301:$V307,Tablas!A$1)="","",$F291&amp;INDEX($V301:$V307,Tablas!A$1)))</f>
        <v/>
      </c>
      <c r="AM291" s="2785" t="str">
        <f>IF(AND(ISNUMBER(MATCH($F291,'Tablas Técnicas'!$L$10:$L$643,0)),INDEX($V301:$V307,Tablas!B$1)="",COUNTIF(AN291:$AS291,$F291)=0),$F291,IF(INDEX($V301:$V307,Tablas!B$1)="","",$F291&amp;INDEX($V301:$V307,Tablas!B$1)))</f>
        <v/>
      </c>
      <c r="AN291" s="2785" t="str">
        <f>IF(AND(ISNUMBER(MATCH($F291,'Tablas Técnicas'!$L$10:$L$643,0)),INDEX($V301:$V307,Tablas!C$1)="",COUNTIF(AO291:$AS291,$F291)=0),$F291,IF(INDEX($V301:$V307,Tablas!C$1)="","",$F291&amp;INDEX($V301:$V307,Tablas!C$1)))</f>
        <v/>
      </c>
      <c r="AO291" s="2785" t="str">
        <f>IF(AND(ISNUMBER(MATCH($F291,'Tablas Técnicas'!$L$10:$L$643,0)),INDEX($V301:$V307,Tablas!D$1)="",COUNTIF(AP291:$AS291,$F291)=0),$F291,IF(INDEX($V301:$V307,Tablas!D$1)="","",$F291&amp;INDEX($V301:$V307,Tablas!D$1)))</f>
        <v/>
      </c>
      <c r="AP291" s="2785" t="str">
        <f>IF(AND(ISNUMBER(MATCH($F291,'Tablas Técnicas'!$L$10:$L$643,0)),INDEX($V301:$V307,Tablas!E$1)="",COUNTIF(AQ291:$AS291,$F291)=0),$F291,IF(INDEX($V301:$V307,Tablas!E$1)="","",$F291&amp;INDEX($V301:$V307,Tablas!E$1)))</f>
        <v/>
      </c>
      <c r="AQ291" s="2785" t="str">
        <f>IF(AND(ISNUMBER(MATCH($F291,'Tablas Técnicas'!$L$10:$L$643,0)),INDEX($V301:$V307,Tablas!F$1)="",COUNTIF(AR291:$AS291,$F291)=0),$F291,IF(INDEX($V301:$V307,Tablas!F$1)="","",$F291&amp;INDEX($V301:$V307,Tablas!F$1)))</f>
        <v/>
      </c>
      <c r="AR291" s="2785" t="str">
        <f>IF(AND(ISNUMBER(MATCH($F291,'Tablas Técnicas'!$L$10:$L$643,0)),INDEX($V301:$V307,Tablas!G$1)="",COUNTIF(AS291:$AS291,$F291)=0),$F291,IF(INDEX($V301:$V307,Tablas!G$1)="","",$F291&amp;INDEX($V301:$V307,Tablas!G$1)))</f>
        <v/>
      </c>
      <c r="AS291" s="2787">
        <f>V291+X291+Z291+AB291+AD291+AF291</f>
        <v>0</v>
      </c>
      <c r="AT291" s="2787">
        <f t="array" ref="AT291">SUM(IF($AL291:$AR291='Tablas Técnicas'!$L$10:$L$643,IF(D291="Primario",'Tablas Técnicas'!$E$10:$E$643,'Tablas Técnicas'!$F$10:$F$643)+IF(K291="Sostenimiento menor",'Tablas Técnicas'!$I$10:$I$643,IF(K291="sostenimiento mayor",'Tablas Técnicas'!$J$10:$J$643,0)),0),0)+VALUE(RIGHT(P291,2))+AU291+AV291</f>
        <v>0</v>
      </c>
      <c r="AU291" s="278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7">
        <f>(COUNTIF(AL291:AR291,"*Estado añadido:*")-1)*COUNTIF(AL291:AR291,"*Estado añadido:*")</f>
        <v>0</v>
      </c>
      <c r="AW291" s="2787">
        <f t="array" ref="AW291">SUM(IF($AL291:$AR291='Tablas Técnicas'!$L$10:$L$643,'Tablas Técnicas'!$G$10:$G$643,0))</f>
        <v>0</v>
      </c>
      <c r="AX291" s="2785" t="str">
        <f t="shared" si="73"/>
        <v/>
      </c>
      <c r="AY291" s="2785" t="str">
        <f>IFERROR(LEFT(AX291,LEN(AX291)-2)&amp;"), ","")</f>
        <v/>
      </c>
    </row>
    <row r="292" spans="1:51" ht="12.75" customHeight="1" thickBot="1" x14ac:dyDescent="0.25">
      <c r="A292" s="2487"/>
      <c r="B292" s="2368">
        <f t="shared" si="71"/>
        <v>9</v>
      </c>
      <c r="C292" s="4325"/>
      <c r="D292" s="4224" t="s">
        <v>526</v>
      </c>
      <c r="E292" s="4225"/>
      <c r="F292" s="4315"/>
      <c r="G292" s="4316"/>
      <c r="H292" s="4316"/>
      <c r="I292" s="4316"/>
      <c r="J292" s="4317"/>
      <c r="K292" s="4301" t="s">
        <v>1464</v>
      </c>
      <c r="L292" s="4302"/>
      <c r="M292" s="4303"/>
      <c r="N292" s="2489">
        <f>IF(AW292&gt;0,IF(VLOOKUP(F292,'Tablas Técnicas'!$O$9:$X$88,10,0),MAX(5,AW292-5),AW292),0)</f>
        <v>0</v>
      </c>
      <c r="O292" s="2489" t="str">
        <f>AS292&amp;" / "&amp;AT292</f>
        <v>0 / 0</v>
      </c>
      <c r="P292" s="2489" t="str">
        <f t="array" ref="P292">W292+Y292+AA292+AC292+AE292+AG292&amp;" / "&amp;IF(K292&lt;&gt;"Mantenido",0,SUM(IF($AL292:$AR292='Tablas Técnicas'!$L$10:$L$643,'Tablas Técnicas'!$H$10:$H$643,0)))</f>
        <v>0 / 0</v>
      </c>
      <c r="Q292" s="4226" t="str">
        <f>IFERROR(VLOOKUP(F292,'Tablas Técnicas'!$O$9:$T$88,5,FALSE),"")</f>
        <v/>
      </c>
      <c r="R292" s="4226"/>
      <c r="S292" s="4226"/>
      <c r="T292" s="4226"/>
      <c r="U292" s="4226"/>
      <c r="V292" s="2339"/>
      <c r="W292" s="2340"/>
      <c r="X292" s="2339"/>
      <c r="Y292" s="2341"/>
      <c r="Z292" s="2342"/>
      <c r="AA292" s="2340"/>
      <c r="AB292" s="2339"/>
      <c r="AC292" s="2341"/>
      <c r="AD292" s="2342"/>
      <c r="AE292" s="2340"/>
      <c r="AF292" s="2339"/>
      <c r="AG292" s="2343"/>
      <c r="AH292" s="2496"/>
      <c r="AI292" s="4328"/>
      <c r="AJ292" s="2785">
        <v>5</v>
      </c>
      <c r="AK292" s="2785">
        <f>P284</f>
        <v>1</v>
      </c>
      <c r="AL292" s="2785" t="str">
        <f>IF(AND(ISNUMBER(MATCH($F292,'Tablas Técnicas'!$L$10:$L$643,0)),INDEX($AB301:$AB307,Tablas!A$1)="",COUNTIF(AM292:$AS292,$F292)=0),$F292,IF(INDEX($AB301:$AB307,Tablas!A$1)="","",$F292&amp;INDEX($AB301:$AB307,Tablas!A$1)))</f>
        <v/>
      </c>
      <c r="AM292" s="2785" t="str">
        <f>IF(AND(ISNUMBER(MATCH($F292,'Tablas Técnicas'!$L$10:$L$643,0)),INDEX($AB301:$AB307,Tablas!B$1)="",COUNTIF(AN292:$AS292,$F292)=0),$F292,IF(INDEX($AB301:$AB307,Tablas!B$1)="","",$F292&amp;INDEX($AB301:$AB307,Tablas!B$1)))</f>
        <v/>
      </c>
      <c r="AN292" s="2785" t="str">
        <f>IF(AND(ISNUMBER(MATCH($F292,'Tablas Técnicas'!$L$10:$L$643,0)),INDEX($AB301:$AB307,Tablas!C$1)="",COUNTIF(AO292:$AS292,$F292)=0),$F292,IF(INDEX($AB301:$AB307,Tablas!C$1)="","",$F292&amp;INDEX($AB301:$AB307,Tablas!C$1)))</f>
        <v/>
      </c>
      <c r="AO292" s="2785" t="str">
        <f>IF(AND(ISNUMBER(MATCH($F292,'Tablas Técnicas'!$L$10:$L$643,0)),INDEX($AB301:$AB307,Tablas!D$1)="",COUNTIF(AP292:$AS292,$F292)=0),$F292,IF(INDEX($AB301:$AB307,Tablas!D$1)="","",$F292&amp;INDEX($AB301:$AB307,Tablas!D$1)))</f>
        <v/>
      </c>
      <c r="AP292" s="2785" t="str">
        <f>IF(AND(ISNUMBER(MATCH($F292,'Tablas Técnicas'!$L$10:$L$643,0)),INDEX($AB301:$AB307,Tablas!E$1)="",COUNTIF(AQ292:$AS292,$F292)=0),$F292,IF(INDEX($AB301:$AB307,Tablas!E$1)="","",$F292&amp;INDEX($AB301:$AB307,Tablas!E$1)))</f>
        <v/>
      </c>
      <c r="AQ292" s="2785" t="str">
        <f>IF(AND(ISNUMBER(MATCH($F292,'Tablas Técnicas'!$L$10:$L$643,0)),INDEX($AB301:$AB307,Tablas!F$1)="",COUNTIF(AR292:$AS292,$F292)=0),$F292,IF(INDEX($AB301:$AB307,Tablas!F$1)="","",$F292&amp;INDEX($AB301:$AB307,Tablas!F$1)))</f>
        <v/>
      </c>
      <c r="AR292" s="2785" t="str">
        <f>IF(AND(ISNUMBER(MATCH($F292,'Tablas Técnicas'!$L$10:$L$643,0)),INDEX($AB301:$AB307,Tablas!G$1)="",COUNTIF(AS292:$AS292,$F292)=0),$F292,IF(INDEX($AB301:$AB307,Tablas!G$1)="","",$F292&amp;INDEX($AB301:$AB307,Tablas!G$1)))</f>
        <v/>
      </c>
      <c r="AS292" s="2787">
        <f>V292+X292+Z292+AB292+AD292+AF292</f>
        <v>0</v>
      </c>
      <c r="AT292" s="2787">
        <f t="array" ref="AT292">SUM(IF($AL292:$AR292='Tablas Técnicas'!$L$10:$L$643,IF(D292="Primario",'Tablas Técnicas'!$E$10:$E$643,'Tablas Técnicas'!$F$10:$F$643)+IF(K292="Sostenimiento menor",'Tablas Técnicas'!$I$10:$I$643,IF(K292="sostenimiento mayor",'Tablas Técnicas'!$J$10:$J$643,0)),0),0)+VALUE(RIGHT(P292,2))+AU292+AV292</f>
        <v>0</v>
      </c>
      <c r="AU292" s="278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7">
        <f>(COUNTIF(AL292:AR292,"*Estado añadido:*")-1)*COUNTIF(AL292:AR292,"*Estado añadido:*")</f>
        <v>0</v>
      </c>
      <c r="AW292" s="2787">
        <f t="array" ref="AW292">SUM(IF($AL292:$AR292='Tablas Técnicas'!$L$10:$L$643,'Tablas Técnicas'!$G$10:$G$643,0))</f>
        <v>0</v>
      </c>
      <c r="AX292" s="2785" t="str">
        <f t="shared" si="73"/>
        <v/>
      </c>
      <c r="AY292" s="2785" t="str">
        <f t="shared" ref="AY292" si="74">IFERROR(LEFT(AX292,LEN(AX292)-2)&amp;"), ","")</f>
        <v/>
      </c>
    </row>
    <row r="293" spans="1:51" ht="12.75" customHeight="1" x14ac:dyDescent="0.2">
      <c r="A293" s="2487"/>
      <c r="B293" s="2368">
        <f t="shared" si="71"/>
        <v>9</v>
      </c>
      <c r="C293" s="4325"/>
      <c r="D293" s="4274" t="s">
        <v>2905</v>
      </c>
      <c r="E293" s="4275"/>
      <c r="F293" s="4264"/>
      <c r="G293" s="4265"/>
      <c r="H293" s="4265"/>
      <c r="I293" s="4265"/>
      <c r="J293" s="4266"/>
      <c r="K293" s="4240"/>
      <c r="L293" s="4241"/>
      <c r="M293" s="4242"/>
      <c r="N293" s="2196" t="str">
        <f>IFERROR(INDEX('Tablas Técnicas'!$Q$200:$Q$299,MATCH(F293&amp;K293,'Tablas Técnicas'!$S$200:$S$299,0)),"")</f>
        <v/>
      </c>
      <c r="O293" s="4243"/>
      <c r="P293" s="4244"/>
      <c r="Q293" s="4245"/>
      <c r="R293" s="4244"/>
      <c r="S293" s="2374" t="str">
        <f>IFERROR("Nivel: "&amp;MAX(1,INDEX('Tablas Técnicas'!$R$200:$R$299,MATCH(F293&amp;K293,'Tablas Técnicas'!$S$200:$S$299,0))),"")</f>
        <v/>
      </c>
      <c r="T293" s="2197"/>
      <c r="U293" s="2198" t="str">
        <f>IFERROR("("&amp;VLOOKUP(F293,'Tablas Técnicas'!$V$199:$X$225,3,FALSE)&amp;")","")</f>
        <v/>
      </c>
      <c r="V293" s="4187" t="s">
        <v>9924</v>
      </c>
      <c r="W293" s="4188"/>
      <c r="X293" s="4189"/>
      <c r="Y293" s="2666">
        <v>0</v>
      </c>
      <c r="Z293" s="4190" t="s">
        <v>9094</v>
      </c>
      <c r="AA293" s="4191"/>
      <c r="AB293" s="4192"/>
      <c r="AC293" s="2666">
        <v>0</v>
      </c>
      <c r="AD293" s="4193" t="str">
        <f>"Ki sin repartir: "&amp;AL301-AL302&amp;IF(AM301=0,""," ("&amp;AM301-AM302&amp;")")</f>
        <v>Ki sin repartir: 0</v>
      </c>
      <c r="AE293" s="4194"/>
      <c r="AF293" s="4194"/>
      <c r="AG293" s="4195"/>
      <c r="AH293" s="2496"/>
      <c r="AI293" s="4328"/>
      <c r="AJ293" s="2785">
        <v>1</v>
      </c>
      <c r="AK293" s="2785">
        <f>P284</f>
        <v>1</v>
      </c>
      <c r="AL293" s="2785" t="e">
        <f>VLOOKUP(F293,'Tablas Técnicas'!$V$199:$X$221,2,FALSE)</f>
        <v>#N/A</v>
      </c>
      <c r="AM293" s="2785"/>
      <c r="AN293" s="2786"/>
      <c r="AO293" s="2785"/>
      <c r="AP293" s="2785"/>
      <c r="AQ293" s="2786"/>
      <c r="AR293" s="2785"/>
      <c r="AS293" s="2785"/>
      <c r="AT293" s="2785"/>
      <c r="AU293" s="2785"/>
      <c r="AV293" s="2785"/>
      <c r="AW293" s="2787"/>
      <c r="AX293" s="2787"/>
      <c r="AY293" s="2785" t="str">
        <f>IF(F293="","",F293&amp;IF(K293="",""," ("&amp;IF(F293="Atadura Elemental",O293&amp;IF(Q293="","",", "&amp;Q293),K293)&amp;")")&amp;", ")</f>
        <v/>
      </c>
    </row>
    <row r="294" spans="1:51" ht="11.25" customHeight="1" x14ac:dyDescent="0.2">
      <c r="A294" s="2487"/>
      <c r="B294" s="2368">
        <f t="shared" si="71"/>
        <v>9</v>
      </c>
      <c r="C294" s="4325"/>
      <c r="D294" s="4276"/>
      <c r="E294" s="4277"/>
      <c r="F294" s="4246"/>
      <c r="G294" s="4247"/>
      <c r="H294" s="4247"/>
      <c r="I294" s="4247"/>
      <c r="J294" s="4248"/>
      <c r="K294" s="4249"/>
      <c r="L294" s="4250"/>
      <c r="M294" s="4251"/>
      <c r="N294" s="2199" t="str">
        <f>IFERROR(INDEX('Tablas Técnicas'!$Q$200:$Q$299,MATCH(F294&amp;K294,'Tablas Técnicas'!$S$200:$S$299,0)),"")</f>
        <v/>
      </c>
      <c r="O294" s="4252"/>
      <c r="P294" s="4253"/>
      <c r="Q294" s="4254"/>
      <c r="R294" s="4253"/>
      <c r="S294" s="2192" t="str">
        <f>IFERROR("Nivel: "&amp;MAX(1,INDEX('Tablas Técnicas'!$R$200:$R$299,MATCH(F294&amp;K294,'Tablas Técnicas'!$S$200:$S$299,0))),"")</f>
        <v/>
      </c>
      <c r="T294" s="2302"/>
      <c r="U294" s="2191" t="str">
        <f>IFERROR("("&amp;VLOOKUP(F294,'Tablas Técnicas'!$V$199:$X$225,3,FALSE)&amp;")","")</f>
        <v/>
      </c>
      <c r="V294" s="4184" t="str">
        <f>"Mod. "&amp;V286</f>
        <v>Mod. AGI</v>
      </c>
      <c r="W294" s="4185"/>
      <c r="X294" s="4184" t="str">
        <f t="shared" ref="X294" si="75">"Mod. "&amp;X286</f>
        <v>Mod. CON</v>
      </c>
      <c r="Y294" s="4185"/>
      <c r="Z294" s="4184" t="str">
        <f t="shared" ref="Z294" si="76">"Mod. "&amp;Z286</f>
        <v>Mod. DES</v>
      </c>
      <c r="AA294" s="4185"/>
      <c r="AB294" s="4184" t="str">
        <f t="shared" ref="AB294" si="77">"Mod. "&amp;AB286</f>
        <v>Mod. FUE</v>
      </c>
      <c r="AC294" s="4185"/>
      <c r="AD294" s="4184" t="str">
        <f t="shared" ref="AD294" si="78">"Mod. "&amp;AD286</f>
        <v>Mod. POD</v>
      </c>
      <c r="AE294" s="4185"/>
      <c r="AF294" s="4184" t="str">
        <f t="shared" ref="AF294" si="79">"Mod. "&amp;AF286</f>
        <v>Mod. VOL</v>
      </c>
      <c r="AG294" s="4186"/>
      <c r="AH294" s="2496"/>
      <c r="AI294" s="4328"/>
      <c r="AJ294" s="2785">
        <v>2</v>
      </c>
      <c r="AK294" s="2785">
        <f>P284</f>
        <v>1</v>
      </c>
      <c r="AL294" s="2785" t="e">
        <f>VLOOKUP(F294,'Tablas Técnicas'!$V$199:$X$221,2,FALSE)</f>
        <v>#N/A</v>
      </c>
      <c r="AM294" s="2785"/>
      <c r="AN294" s="2786"/>
      <c r="AO294" s="2785"/>
      <c r="AP294" s="2785"/>
      <c r="AQ294" s="2786"/>
      <c r="AR294" s="2785"/>
      <c r="AS294" s="2785"/>
      <c r="AT294" s="2785"/>
      <c r="AU294" s="2785"/>
      <c r="AV294" s="2785"/>
      <c r="AW294" s="2787"/>
      <c r="AX294" s="2787"/>
      <c r="AY294" s="2785" t="str">
        <f>IF(F294="","",F294&amp;IF(K294="",""," ("&amp;IF(F294="Atadura Elemental",O294&amp;IF(Q294="","",", "&amp;Q294),K294)&amp;")")&amp;", ")</f>
        <v/>
      </c>
    </row>
    <row r="295" spans="1:51" ht="12.75" customHeight="1" thickBot="1" x14ac:dyDescent="0.25">
      <c r="A295" s="2487"/>
      <c r="B295" s="2368">
        <f t="shared" si="71"/>
        <v>9</v>
      </c>
      <c r="C295" s="4325"/>
      <c r="D295" s="4278"/>
      <c r="E295" s="4279"/>
      <c r="F295" s="4255"/>
      <c r="G295" s="4256"/>
      <c r="H295" s="4256"/>
      <c r="I295" s="4256"/>
      <c r="J295" s="4257"/>
      <c r="K295" s="4258"/>
      <c r="L295" s="4259"/>
      <c r="M295" s="4260"/>
      <c r="N295" s="2200" t="str">
        <f>IFERROR(INDEX('Tablas Técnicas'!$Q$200:$Q$299,MATCH(F295&amp;K295,'Tablas Técnicas'!$S$200:$S$299,0)),"")</f>
        <v/>
      </c>
      <c r="O295" s="4261"/>
      <c r="P295" s="4262"/>
      <c r="Q295" s="4263"/>
      <c r="R295" s="4262"/>
      <c r="S295" s="2489" t="str">
        <f>IFERROR("Nivel: "&amp;MAX(1,INDEX('Tablas Técnicas'!$R$200:$R$299,MATCH(F295&amp;K295,'Tablas Técnicas'!$S$200:$S$299,0))),"")</f>
        <v/>
      </c>
      <c r="T295" s="2490"/>
      <c r="U295" s="2303" t="str">
        <f>IFERROR("("&amp;VLOOKUP(F295,'Tablas Técnicas'!$V$199:$X$225,3,FALSE)&amp;")","")</f>
        <v/>
      </c>
      <c r="V295" s="4199"/>
      <c r="W295" s="4198"/>
      <c r="X295" s="4198"/>
      <c r="Y295" s="4198"/>
      <c r="Z295" s="4198"/>
      <c r="AA295" s="4198"/>
      <c r="AB295" s="4198"/>
      <c r="AC295" s="4198"/>
      <c r="AD295" s="4198"/>
      <c r="AE295" s="4198"/>
      <c r="AF295" s="4198"/>
      <c r="AG295" s="4267"/>
      <c r="AH295" s="2496"/>
      <c r="AI295" s="4328"/>
      <c r="AJ295" s="2785">
        <v>3</v>
      </c>
      <c r="AK295" s="2785">
        <f>P284</f>
        <v>1</v>
      </c>
      <c r="AL295" s="2785" t="e">
        <f>VLOOKUP(F295,'Tablas Técnicas'!$V$199:$X$221,2,FALSE)</f>
        <v>#N/A</v>
      </c>
      <c r="AM295" s="2785"/>
      <c r="AN295" s="2786"/>
      <c r="AO295" s="2785"/>
      <c r="AP295" s="2785"/>
      <c r="AQ295" s="2786"/>
      <c r="AR295" s="2787"/>
      <c r="AS295" s="2787"/>
      <c r="AT295" s="2787"/>
      <c r="AU295" s="2787"/>
      <c r="AV295" s="2787"/>
      <c r="AW295" s="2787"/>
      <c r="AX295" s="2787"/>
      <c r="AY295" s="2785" t="str">
        <f>IF(F295="","",F295&amp;IF(K295="",""," ("&amp;IF(F295="Atadura Elemental",O295&amp;IF(Q295="","",", "&amp;Q295),K295)&amp;")")&amp;", ")</f>
        <v/>
      </c>
    </row>
    <row r="296" spans="1:51" ht="12.75" customHeight="1" x14ac:dyDescent="0.2">
      <c r="A296" s="2487"/>
      <c r="B296" s="2368">
        <f t="shared" si="71"/>
        <v>9</v>
      </c>
      <c r="C296" s="4325"/>
      <c r="D296" s="4213" t="s">
        <v>9596</v>
      </c>
      <c r="E296" s="4214"/>
      <c r="F296" s="4214"/>
      <c r="G296" s="4214"/>
      <c r="H296" s="4214"/>
      <c r="I296" s="4214"/>
      <c r="J296" s="4214"/>
      <c r="K296" s="4214"/>
      <c r="L296" s="4214"/>
      <c r="M296" s="4214"/>
      <c r="N296" s="4214"/>
      <c r="O296" s="4214"/>
      <c r="P296" s="4214"/>
      <c r="Q296" s="4214"/>
      <c r="R296" s="4214"/>
      <c r="S296" s="4214"/>
      <c r="T296" s="4214"/>
      <c r="U296" s="4214"/>
      <c r="V296" s="4215"/>
      <c r="W296" s="4215"/>
      <c r="X296" s="4215"/>
      <c r="Y296" s="4215"/>
      <c r="Z296" s="4215"/>
      <c r="AA296" s="4215"/>
      <c r="AB296" s="4215"/>
      <c r="AC296" s="4215"/>
      <c r="AD296" s="4215"/>
      <c r="AE296" s="4215"/>
      <c r="AF296" s="4215"/>
      <c r="AG296" s="4216"/>
      <c r="AH296" s="2496"/>
      <c r="AI296" s="4328"/>
      <c r="AJ296" s="2785"/>
      <c r="AK296" s="2785"/>
      <c r="AL296" s="2785"/>
      <c r="AM296" s="2785"/>
      <c r="AN296" s="2786" t="s">
        <v>9095</v>
      </c>
      <c r="AO296" s="2785" t="e">
        <f>LEFT(AY288&amp;AY289&amp;AY290&amp;AY291&amp;AY292,LEN(AY288&amp;AY289&amp;AY290&amp;AY291&amp;AY292)-2)</f>
        <v>#VALUE!</v>
      </c>
      <c r="AP296" s="2785"/>
      <c r="AQ296" s="2786"/>
      <c r="AR296" s="2787"/>
      <c r="AS296" s="2787"/>
      <c r="AT296" s="2787"/>
      <c r="AU296" s="2786"/>
      <c r="AV296" s="2786"/>
      <c r="AW296" s="2787"/>
      <c r="AX296" s="2787"/>
      <c r="AY296" s="2785"/>
    </row>
    <row r="297" spans="1:51" ht="12.75" customHeight="1" x14ac:dyDescent="0.2">
      <c r="A297" s="2487"/>
      <c r="B297" s="2368">
        <f t="shared" si="71"/>
        <v>9</v>
      </c>
      <c r="C297" s="4325"/>
      <c r="D297" s="4217" t="str">
        <f>IF(F288="","",F288)</f>
        <v/>
      </c>
      <c r="E297" s="4211"/>
      <c r="F297" s="4211"/>
      <c r="G297" s="4211"/>
      <c r="H297" s="4211"/>
      <c r="I297" s="4218"/>
      <c r="J297" s="4217" t="str">
        <f>IF(F289="","",F289)</f>
        <v/>
      </c>
      <c r="K297" s="4211"/>
      <c r="L297" s="4211"/>
      <c r="M297" s="4211"/>
      <c r="N297" s="4211"/>
      <c r="O297" s="4218"/>
      <c r="P297" s="4211" t="str">
        <f>IF(F290="","",F290)</f>
        <v/>
      </c>
      <c r="Q297" s="4211"/>
      <c r="R297" s="4211"/>
      <c r="S297" s="4211"/>
      <c r="T297" s="4211"/>
      <c r="U297" s="4218"/>
      <c r="V297" s="4217" t="str">
        <f>IF(F291="","",F291)</f>
        <v/>
      </c>
      <c r="W297" s="4211"/>
      <c r="X297" s="4211"/>
      <c r="Y297" s="4211"/>
      <c r="Z297" s="4211"/>
      <c r="AA297" s="4218"/>
      <c r="AB297" s="4211" t="str">
        <f>IF(F292="","",F292)</f>
        <v/>
      </c>
      <c r="AC297" s="4211"/>
      <c r="AD297" s="4211"/>
      <c r="AE297" s="4211"/>
      <c r="AF297" s="4211"/>
      <c r="AG297" s="4212"/>
      <c r="AH297" s="2496"/>
      <c r="AI297" s="4328"/>
      <c r="AJ297" s="2785"/>
      <c r="AK297" s="2785"/>
      <c r="AL297" s="2785"/>
      <c r="AM297" s="2785"/>
      <c r="AN297" s="2786" t="s">
        <v>9096</v>
      </c>
      <c r="AO297" s="2785" t="e">
        <f>LEFT(AY293&amp;AY294&amp;AY295,LEN(AY293&amp;AY294&amp;AY295)-2)</f>
        <v>#VALUE!</v>
      </c>
      <c r="AP297" s="2785"/>
      <c r="AQ297" s="2786"/>
      <c r="AR297" s="2787"/>
      <c r="AS297" s="2787"/>
      <c r="AT297" s="2787"/>
      <c r="AU297" s="2786"/>
      <c r="AV297" s="2786"/>
      <c r="AW297" s="2787"/>
      <c r="AX297" s="2787"/>
      <c r="AY297" s="2785"/>
    </row>
    <row r="298" spans="1:51" ht="12.75" customHeight="1" x14ac:dyDescent="0.2">
      <c r="A298" s="2487"/>
      <c r="B298" s="2368">
        <f t="shared" si="71"/>
        <v>9</v>
      </c>
      <c r="C298" s="4325"/>
      <c r="D298" s="2312" t="s">
        <v>1845</v>
      </c>
      <c r="E298" s="2188" t="str">
        <f>IFERROR(VLOOKUP(D297,'Tablas Técnicas'!$O$9:$T$88,3,FALSE),"")</f>
        <v/>
      </c>
      <c r="F298" s="2305"/>
      <c r="G298" s="2304"/>
      <c r="H298" s="2304" t="s">
        <v>1371</v>
      </c>
      <c r="I298" s="2188" t="str">
        <f>IFERROR(VLOOKUP(D297,'Tablas Técnicas'!$O$9:$T$88,4,FALSE),"")</f>
        <v/>
      </c>
      <c r="J298" s="2312" t="s">
        <v>1845</v>
      </c>
      <c r="K298" s="2188" t="str">
        <f>IFERROR(VLOOKUP(J297,'Tablas Técnicas'!$O$9:$T$88,3,FALSE),"")</f>
        <v/>
      </c>
      <c r="L298" s="2305"/>
      <c r="M298" s="2304"/>
      <c r="N298" s="2304" t="s">
        <v>1371</v>
      </c>
      <c r="O298" s="2201" t="str">
        <f>IFERROR(VLOOKUP(J297,'Tablas Técnicas'!$O$9:$T$88,4,FALSE),"")</f>
        <v/>
      </c>
      <c r="P298" s="2304" t="s">
        <v>1845</v>
      </c>
      <c r="Q298" s="2188" t="str">
        <f>IFERROR(VLOOKUP(P297,'Tablas Técnicas'!$O$9:$T$88,3,FALSE),"")</f>
        <v/>
      </c>
      <c r="R298" s="2305"/>
      <c r="S298" s="2304"/>
      <c r="T298" s="2304" t="s">
        <v>1371</v>
      </c>
      <c r="U298" s="2188" t="str">
        <f>IFERROR(VLOOKUP(P297,'Tablas Técnicas'!$O$9:$T$88,4,FALSE),"")</f>
        <v/>
      </c>
      <c r="V298" s="2312" t="s">
        <v>1845</v>
      </c>
      <c r="W298" s="2188" t="str">
        <f>IFERROR(VLOOKUP(V297,'Tablas Técnicas'!$O$9:$T$88,3,FALSE),"")</f>
        <v/>
      </c>
      <c r="X298" s="2305"/>
      <c r="Y298" s="2304"/>
      <c r="Z298" s="2304" t="s">
        <v>1371</v>
      </c>
      <c r="AA298" s="2201" t="str">
        <f>IFERROR(VLOOKUP(V297,'Tablas Técnicas'!$O$9:$T$88,4,FALSE),"")</f>
        <v/>
      </c>
      <c r="AB298" s="2304" t="s">
        <v>1845</v>
      </c>
      <c r="AC298" s="2188" t="str">
        <f>IFERROR(VLOOKUP(AB297,'Tablas Técnicas'!$O$9:$T$88,3,FALSE),"")</f>
        <v/>
      </c>
      <c r="AD298" s="2305"/>
      <c r="AE298" s="2304"/>
      <c r="AF298" s="2304" t="s">
        <v>1371</v>
      </c>
      <c r="AG298" s="2202" t="str">
        <f>IFERROR(VLOOKUP(AB297,'Tablas Técnicas'!$O$9:$T$88,4,FALSE),"")</f>
        <v/>
      </c>
      <c r="AH298" s="2496"/>
      <c r="AI298" s="4328"/>
      <c r="AJ298" s="2785"/>
      <c r="AK298" s="2785"/>
      <c r="AL298" s="2785"/>
      <c r="AM298" s="2785"/>
      <c r="AN298" s="2786"/>
      <c r="AO298" s="2785"/>
      <c r="AP298" s="2785"/>
      <c r="AQ298" s="2786"/>
      <c r="AR298" s="2787"/>
      <c r="AS298" s="2787"/>
      <c r="AT298" s="2787"/>
      <c r="AU298" s="2787"/>
      <c r="AV298" s="2787"/>
      <c r="AW298" s="2787"/>
      <c r="AX298" s="2787"/>
      <c r="AY298" s="2785"/>
    </row>
    <row r="299" spans="1:51" ht="12.75" customHeight="1" x14ac:dyDescent="0.2">
      <c r="A299" s="2487"/>
      <c r="B299" s="2368">
        <f t="shared" si="71"/>
        <v>9</v>
      </c>
      <c r="C299" s="4325"/>
      <c r="D299" s="2313" t="s">
        <v>9097</v>
      </c>
      <c r="E299" s="2304"/>
      <c r="F299" s="2305"/>
      <c r="G299" s="2306"/>
      <c r="H299" s="2306"/>
      <c r="I299" s="2303" t="str">
        <f>IFERROR(IF(D297="Ataque Elemental",IF(NOT(ISNA(VLOOKUP(D301,'Tablas Técnicas'!$Z$25:$Z$30,1,0))),D301,"Variable"),VLOOKUP(D297,'Tablas Técnicas'!$O$9:$W$88,9,FALSE)),"")</f>
        <v/>
      </c>
      <c r="J299" s="2203" t="s">
        <v>9097</v>
      </c>
      <c r="K299" s="2491"/>
      <c r="L299" s="2492"/>
      <c r="M299" s="2493"/>
      <c r="N299" s="2493"/>
      <c r="O299" s="2204" t="str">
        <f>IFERROR(IF(J297="Ataque Elemental",IF(NOT(ISNA(VLOOKUP(J301,'Tablas Técnicas'!$Z$25:$Z$30,1,0))),J301,"Variable"),VLOOKUP(J297,'Tablas Técnicas'!$O$9:$W$88,9,FALSE)),"")</f>
        <v/>
      </c>
      <c r="P299" s="2494" t="s">
        <v>9097</v>
      </c>
      <c r="Q299" s="2491"/>
      <c r="R299" s="2492"/>
      <c r="S299" s="2493"/>
      <c r="T299" s="2493"/>
      <c r="U299" s="2303" t="str">
        <f>IFERROR(IF(P297="Ataque Elemental",IF(NOT(ISNA(VLOOKUP(P301,'Tablas Técnicas'!$Z$25:$Z$30,1,0))),P301,"Variable"),VLOOKUP(P297,'Tablas Técnicas'!$O$9:$W$88,9,FALSE)),"")</f>
        <v/>
      </c>
      <c r="V299" s="2203" t="s">
        <v>9097</v>
      </c>
      <c r="W299" s="2491"/>
      <c r="X299" s="2492"/>
      <c r="Y299" s="2493"/>
      <c r="Z299" s="2493"/>
      <c r="AA299" s="2204" t="str">
        <f>IFERROR(IF(V297="Ataque Elemental",IF(NOT(ISNA(VLOOKUP(V301,'Tablas Técnicas'!$Z$25:$Z$30,1,0))),V301,"Variable"),VLOOKUP(V297,'Tablas Técnicas'!$O$9:$W$88,9,FALSE)),"")</f>
        <v/>
      </c>
      <c r="AB299" s="2494" t="s">
        <v>9097</v>
      </c>
      <c r="AC299" s="2491"/>
      <c r="AD299" s="2492"/>
      <c r="AE299" s="2493"/>
      <c r="AF299" s="2493"/>
      <c r="AG299" s="2319" t="str">
        <f>IFERROR(IF(AB297="Ataque Elemental",IF(NOT(ISNA(VLOOKUP(AB301,'Tablas Técnicas'!$Z$25:$Z$30,1,0))),AB301,"Variable"),VLOOKUP(AB297,'Tablas Técnicas'!$O$9:$W$88,9,FALSE)),"")</f>
        <v/>
      </c>
      <c r="AH299" s="2496"/>
      <c r="AI299" s="4328"/>
      <c r="AJ299" s="2785"/>
      <c r="AK299" s="2787" t="s">
        <v>1381</v>
      </c>
      <c r="AL299" s="2787" t="s">
        <v>1506</v>
      </c>
      <c r="AM299" s="2787" t="s">
        <v>1386</v>
      </c>
      <c r="AN299" s="2787" t="s">
        <v>1391</v>
      </c>
      <c r="AO299" s="2787" t="s">
        <v>1399</v>
      </c>
      <c r="AP299" s="2787" t="s">
        <v>1400</v>
      </c>
      <c r="AQ299" s="2786"/>
      <c r="AR299" s="2787"/>
      <c r="AS299" s="2787"/>
      <c r="AT299" s="2787"/>
      <c r="AU299" s="2787"/>
      <c r="AV299" s="2787"/>
      <c r="AW299" s="2787"/>
      <c r="AX299" s="2787"/>
      <c r="AY299" s="2785"/>
    </row>
    <row r="300" spans="1:51" ht="12.75" customHeight="1" x14ac:dyDescent="0.2">
      <c r="A300" s="2487"/>
      <c r="B300" s="2368">
        <f t="shared" si="71"/>
        <v>9</v>
      </c>
      <c r="C300" s="4325"/>
      <c r="D300" s="4217" t="s">
        <v>2913</v>
      </c>
      <c r="E300" s="4211"/>
      <c r="F300" s="4211"/>
      <c r="G300" s="4211"/>
      <c r="H300" s="4218"/>
      <c r="I300" s="2205" t="s">
        <v>1411</v>
      </c>
      <c r="J300" s="4217" t="s">
        <v>2913</v>
      </c>
      <c r="K300" s="4211"/>
      <c r="L300" s="4211"/>
      <c r="M300" s="4211"/>
      <c r="N300" s="4218"/>
      <c r="O300" s="2206" t="s">
        <v>1411</v>
      </c>
      <c r="P300" s="4217" t="s">
        <v>2913</v>
      </c>
      <c r="Q300" s="4211"/>
      <c r="R300" s="4211"/>
      <c r="S300" s="4211"/>
      <c r="T300" s="4218"/>
      <c r="U300" s="2206" t="s">
        <v>1411</v>
      </c>
      <c r="V300" s="4217"/>
      <c r="W300" s="4211"/>
      <c r="X300" s="4211"/>
      <c r="Y300" s="4211"/>
      <c r="Z300" s="4218"/>
      <c r="AA300" s="2206" t="s">
        <v>1411</v>
      </c>
      <c r="AB300" s="4217" t="s">
        <v>2913</v>
      </c>
      <c r="AC300" s="4211"/>
      <c r="AD300" s="4211"/>
      <c r="AE300" s="4211"/>
      <c r="AF300" s="4218"/>
      <c r="AG300" s="2207" t="s">
        <v>1411</v>
      </c>
      <c r="AH300" s="2496"/>
      <c r="AI300" s="4328"/>
      <c r="AJ300" s="2790" t="s">
        <v>9633</v>
      </c>
      <c r="AK300" s="2785" t="str">
        <f>IF(V286="","",IF(SUM(V288:V292)=0,"",V286&amp;" "&amp;SUM(V288:V292)+V295&amp;IF(SUM(W288:W292)=0,""," ("&amp;SUM(W288:W292)&amp;")")&amp;", "))</f>
        <v/>
      </c>
      <c r="AL300" s="2785" t="str">
        <f>IF(X286="","",IF(SUM(X288:X292)=0,"",X286&amp;" "&amp;SUM(X288:X292)+X295&amp;IF(SUM(Y288:Y292)=0,""," ("&amp;SUM(Y288:Y292)&amp;")")&amp;", "))</f>
        <v/>
      </c>
      <c r="AM300" s="2785" t="str">
        <f>IF(Z286="","",IF(SUM(Z288:Z292)=0,"",Z286&amp;" "&amp;SUM(Z288:Z292)+Z295&amp;IF(SUM(AA288:AA292)=0,""," ("&amp;SUM(AA288:AA292)&amp;")")&amp;", "))</f>
        <v/>
      </c>
      <c r="AN300" s="2785" t="str">
        <f>IF(AB286="","",IF(SUM(AB288:AB292)=0,"",AB286&amp;" "&amp;SUM(AB288:AB292)+AB295&amp;IF(SUM(AC288:AC292)=0,""," ("&amp;SUM(AC288:AC292)&amp;")")&amp;", "))</f>
        <v/>
      </c>
      <c r="AO300" s="2785" t="str">
        <f>IF(AD286="","",IF(SUM(AD288:AD292)=0,"",AD286&amp;" "&amp;SUM(AD288:AD292)+AD295&amp;IF(SUM(AE288:AE292)=0,""," ("&amp;SUM(AE288:AE292)&amp;")")&amp;", "))</f>
        <v/>
      </c>
      <c r="AP300" s="2785" t="str">
        <f>IF(AF286="","",IF(SUM(AF288:AF292)=0,"",AF286&amp;" "&amp;SUM(AF288:AF292)+AF295&amp;IF(SUM(AG288:AG292)=0,""," ("&amp;SUM(AG288:AG292)&amp;")")&amp;", "))</f>
        <v/>
      </c>
      <c r="AQ300" s="2785"/>
      <c r="AR300" s="2785"/>
      <c r="AS300" s="2785"/>
      <c r="AT300" s="2785"/>
      <c r="AU300" s="2785"/>
      <c r="AV300" s="2785"/>
      <c r="AW300" s="2785"/>
      <c r="AX300" s="2785"/>
      <c r="AY300" s="2785"/>
    </row>
    <row r="301" spans="1:51" ht="12.75" customHeight="1" x14ac:dyDescent="0.2">
      <c r="A301" s="2487"/>
      <c r="B301" s="2368">
        <f t="shared" si="71"/>
        <v>9</v>
      </c>
      <c r="C301" s="4325"/>
      <c r="D301" s="4219"/>
      <c r="E301" s="4197"/>
      <c r="F301" s="4197"/>
      <c r="G301" s="4197"/>
      <c r="H301" s="4197"/>
      <c r="I301" s="2208" t="str">
        <f>IF(OR(D297="",D301=""),"",MAX(1,SUMPRODUCT(--(INDEX('Tablas Técnicas'!$C$10:$L$643,,1)=D297),--(INDEX('Tablas Técnicas'!$C$10:$L$643,,2)=D301),INDEX('Tablas Técnicas'!$C$10:$L$643,,9))))</f>
        <v/>
      </c>
      <c r="J301" s="4196"/>
      <c r="K301" s="4197"/>
      <c r="L301" s="4197"/>
      <c r="M301" s="4197"/>
      <c r="N301" s="4197"/>
      <c r="O301" s="2208" t="str">
        <f>IF(OR(J297="",J301=""),"",MAX(1,SUMPRODUCT(--(INDEX('Tablas Técnicas'!$C$10:$L$643,,1)=J297),--(INDEX('Tablas Técnicas'!$C$10:$L$643,,2)=J301),INDEX('Tablas Técnicas'!$C$10:$L$643,,9))))</f>
        <v/>
      </c>
      <c r="P301" s="4196"/>
      <c r="Q301" s="4197"/>
      <c r="R301" s="4197"/>
      <c r="S301" s="4197"/>
      <c r="T301" s="4197"/>
      <c r="U301" s="2208" t="str">
        <f>IF(OR(P297="",P301=""),"",MAX(1,SUMPRODUCT(--(INDEX('Tablas Técnicas'!$C$10:$L$643,,1)=P297),--(INDEX('Tablas Técnicas'!$C$10:$L$643,,2)=P301),INDEX('Tablas Técnicas'!$C$10:$L$643,,9))))</f>
        <v/>
      </c>
      <c r="V301" s="4196"/>
      <c r="W301" s="4197"/>
      <c r="X301" s="4197"/>
      <c r="Y301" s="4197"/>
      <c r="Z301" s="4197"/>
      <c r="AA301" s="2208" t="str">
        <f>IF(OR(V297="",V301=""),"",MAX(1,SUMPRODUCT(--(INDEX('Tablas Técnicas'!$C$10:$L$643,,1)=V297),--(INDEX('Tablas Técnicas'!$C$10:$L$643,,2)=V301),INDEX('Tablas Técnicas'!$C$10:$L$643,,9))))</f>
        <v/>
      </c>
      <c r="AB301" s="4196"/>
      <c r="AC301" s="4197"/>
      <c r="AD301" s="4197"/>
      <c r="AE301" s="4197"/>
      <c r="AF301" s="4197"/>
      <c r="AG301" s="2209" t="str">
        <f>IF(OR(AB297="",AB301=""),"",MAX(1,SUMPRODUCT(--(INDEX('Tablas Técnicas'!$C$10:$L$643,,1)=AB297),--(INDEX('Tablas Técnicas'!$C$10:$L$643,,2)=AB301),INDEX('Tablas Técnicas'!$C$10:$L$643,,9))))</f>
        <v/>
      </c>
      <c r="AH301" s="2496">
        <f>P284</f>
        <v>1</v>
      </c>
      <c r="AI301" s="4328"/>
      <c r="AJ301" s="2785" t="s">
        <v>9597</v>
      </c>
      <c r="AK301" s="2785"/>
      <c r="AL301" s="2785">
        <f>MAX(0,SUM(AT288:AT292)+ABS($AC293*2/5))+IF(AM310,0,Y293)+IF(S284="Si",3*P284,0)</f>
        <v>0</v>
      </c>
      <c r="AM301" s="2785">
        <f t="array" ref="AM301">IF(ISNUMBER(SEARCH("Mantenido",K288&amp;K289&amp;K290&amp;K291&amp;K292)),MAX(0,SUM(VALUE(RIGHT($P288:$P292,2)))),0)</f>
        <v>0</v>
      </c>
      <c r="AN301" s="2787"/>
      <c r="AO301" s="2787"/>
      <c r="AP301" s="2792"/>
      <c r="AQ301" s="2792"/>
      <c r="AR301" s="2792"/>
      <c r="AS301" s="2792"/>
      <c r="AT301" s="2792"/>
      <c r="AU301" s="2792"/>
      <c r="AV301" s="2792"/>
      <c r="AW301" s="2792"/>
      <c r="AX301" s="2792"/>
      <c r="AY301" s="2785"/>
    </row>
    <row r="302" spans="1:51" ht="12.75" customHeight="1" x14ac:dyDescent="0.2">
      <c r="A302" s="2487"/>
      <c r="B302" s="2368">
        <f t="shared" si="71"/>
        <v>9</v>
      </c>
      <c r="C302" s="4325"/>
      <c r="D302" s="4200"/>
      <c r="E302" s="4201"/>
      <c r="F302" s="4201"/>
      <c r="G302" s="4201"/>
      <c r="H302" s="4201"/>
      <c r="I302" s="2210" t="str">
        <f>IF(OR(D297="",D302=""),"",MAX(1,SUMPRODUCT(--(INDEX('Tablas Técnicas'!$C$10:$L$643,,1)=D297),--(INDEX('Tablas Técnicas'!$C$10:$L$643,,2)=D302),INDEX('Tablas Técnicas'!$C$10:$L$643,,9))))</f>
        <v/>
      </c>
      <c r="J302" s="4200"/>
      <c r="K302" s="4201"/>
      <c r="L302" s="4201"/>
      <c r="M302" s="4201"/>
      <c r="N302" s="4201"/>
      <c r="O302" s="2210" t="str">
        <f>IF(OR(J297="",J302=""),"",MAX(1,SUMPRODUCT(--(INDEX('Tablas Técnicas'!$C$10:$L$643,,1)=J297),--(INDEX('Tablas Técnicas'!$C$10:$L$643,,2)=J302),INDEX('Tablas Técnicas'!$C$10:$L$643,,9))))</f>
        <v/>
      </c>
      <c r="P302" s="4200"/>
      <c r="Q302" s="4201"/>
      <c r="R302" s="4201"/>
      <c r="S302" s="4201"/>
      <c r="T302" s="4201"/>
      <c r="U302" s="2210" t="str">
        <f>IF(OR(P297="",P302=""),"",MAX(1,SUMPRODUCT(--(INDEX('Tablas Técnicas'!$C$10:$L$643,,1)=P297),--(INDEX('Tablas Técnicas'!$C$10:$L$643,,2)=P302),INDEX('Tablas Técnicas'!$C$10:$L$643,,9))))</f>
        <v/>
      </c>
      <c r="V302" s="4200"/>
      <c r="W302" s="4201"/>
      <c r="X302" s="4201"/>
      <c r="Y302" s="4201"/>
      <c r="Z302" s="4201"/>
      <c r="AA302" s="2210" t="str">
        <f>IF(OR(V297="",V302=""),"",MAX(1,SUMPRODUCT(--(INDEX('Tablas Técnicas'!$C$10:$L$643,,1)=V297),--(INDEX('Tablas Técnicas'!$C$10:$L$643,,2)=V302),INDEX('Tablas Técnicas'!$C$10:$L$643,,9))))</f>
        <v/>
      </c>
      <c r="AB302" s="4200"/>
      <c r="AC302" s="4201"/>
      <c r="AD302" s="4201"/>
      <c r="AE302" s="4201"/>
      <c r="AF302" s="4201"/>
      <c r="AG302" s="2211" t="str">
        <f>IF(OR(AB297="",AB302=""),"",MAX(1,SUMPRODUCT(--(INDEX('Tablas Técnicas'!$C$10:$L$643,,1)=AB297),--(INDEX('Tablas Técnicas'!$C$10:$L$643,,2)=AB302),INDEX('Tablas Técnicas'!$C$10:$L$643,,9))))</f>
        <v/>
      </c>
      <c r="AH302" s="2496">
        <f>P284</f>
        <v>1</v>
      </c>
      <c r="AI302" s="4328"/>
      <c r="AJ302" s="2785" t="s">
        <v>9099</v>
      </c>
      <c r="AK302" s="2785"/>
      <c r="AL302" s="2785">
        <f>SUM(V288:V292,X288:X292,Z288:Z292,AB288:AB292,AD288:AD292,AF288:AF292)+SUM(V295:AG295)</f>
        <v>0</v>
      </c>
      <c r="AM302" s="2785">
        <f>SUM(W288:W292,Y288:Y292,AA288:AA292,AC288:AC292,AE288:AE292,AG288:AG292)</f>
        <v>0</v>
      </c>
      <c r="AN302" s="2785"/>
      <c r="AO302" s="2785"/>
      <c r="AP302" s="2785"/>
      <c r="AQ302" s="2785"/>
      <c r="AR302" s="2785"/>
      <c r="AS302" s="2785"/>
      <c r="AT302" s="2785"/>
      <c r="AU302" s="2785"/>
      <c r="AV302" s="2785"/>
      <c r="AW302" s="2787"/>
      <c r="AX302" s="2785"/>
      <c r="AY302" s="2785"/>
    </row>
    <row r="303" spans="1:51" ht="12.75" customHeight="1" x14ac:dyDescent="0.2">
      <c r="A303" s="2487"/>
      <c r="B303" s="2368">
        <f t="shared" si="71"/>
        <v>9</v>
      </c>
      <c r="C303" s="4325"/>
      <c r="D303" s="4200"/>
      <c r="E303" s="4201"/>
      <c r="F303" s="4201"/>
      <c r="G303" s="4201"/>
      <c r="H303" s="4201"/>
      <c r="I303" s="2210" t="str">
        <f>IF(OR(D297="",D303=""),"",MAX(1,SUMPRODUCT(--(INDEX('Tablas Técnicas'!$C$10:$L$643,,1)=D297),--(INDEX('Tablas Técnicas'!$C$10:$L$643,,2)=D303),INDEX('Tablas Técnicas'!$C$10:$L$643,,9))))</f>
        <v/>
      </c>
      <c r="J303" s="4200"/>
      <c r="K303" s="4201"/>
      <c r="L303" s="4201"/>
      <c r="M303" s="4201"/>
      <c r="N303" s="4201"/>
      <c r="O303" s="2210" t="str">
        <f>IF(OR(J297="",J303=""),"",MAX(1,SUMPRODUCT(--(INDEX('Tablas Técnicas'!$C$10:$L$643,,1)=J297),--(INDEX('Tablas Técnicas'!$C$10:$L$643,,2)=J303),INDEX('Tablas Técnicas'!$C$10:$L$643,,9))))</f>
        <v/>
      </c>
      <c r="P303" s="4200"/>
      <c r="Q303" s="4201"/>
      <c r="R303" s="4201"/>
      <c r="S303" s="4201"/>
      <c r="T303" s="4201"/>
      <c r="U303" s="2210" t="str">
        <f>IF(OR(P297="",P303=""),"",MAX(1,SUMPRODUCT(--(INDEX('Tablas Técnicas'!$C$10:$L$643,,1)=P297),--(INDEX('Tablas Técnicas'!$C$10:$L$643,,2)=P303),INDEX('Tablas Técnicas'!$C$10:$L$643,,9))))</f>
        <v/>
      </c>
      <c r="V303" s="4200"/>
      <c r="W303" s="4201"/>
      <c r="X303" s="4201"/>
      <c r="Y303" s="4201"/>
      <c r="Z303" s="4201"/>
      <c r="AA303" s="2210" t="str">
        <f>IF(OR(V297="",V303=""),"",MAX(1,SUMPRODUCT(--(INDEX('Tablas Técnicas'!$C$10:$L$643,,1)=V297),--(INDEX('Tablas Técnicas'!$C$10:$L$643,,2)=V303),INDEX('Tablas Técnicas'!$C$10:$L$643,,9))))</f>
        <v/>
      </c>
      <c r="AB303" s="4200"/>
      <c r="AC303" s="4201"/>
      <c r="AD303" s="4201"/>
      <c r="AE303" s="4201"/>
      <c r="AF303" s="4201"/>
      <c r="AG303" s="2211" t="str">
        <f>IF(OR(AB297="",AB303=""),"",MAX(1,SUMPRODUCT(--(INDEX('Tablas Técnicas'!$C$10:$L$643,,1)=AB297),--(INDEX('Tablas Técnicas'!$C$10:$L$643,,2)=AB303),INDEX('Tablas Técnicas'!$C$10:$L$643,,9))))</f>
        <v/>
      </c>
      <c r="AH303" s="2496">
        <f>P284</f>
        <v>1</v>
      </c>
      <c r="AI303" s="4328"/>
      <c r="AJ303" s="2785"/>
      <c r="AK303" s="2785"/>
      <c r="AL303" s="2785"/>
      <c r="AM303" s="2785"/>
      <c r="AN303" s="2785"/>
      <c r="AO303" s="2785"/>
      <c r="AP303" s="2785"/>
      <c r="AQ303" s="2785"/>
      <c r="AR303" s="2785"/>
      <c r="AS303" s="2785"/>
      <c r="AT303" s="2785"/>
      <c r="AU303" s="2785"/>
      <c r="AV303" s="2785"/>
      <c r="AW303" s="2787"/>
      <c r="AX303" s="2787"/>
      <c r="AY303" s="2785"/>
    </row>
    <row r="304" spans="1:51" ht="12.75" customHeight="1" x14ac:dyDescent="0.2">
      <c r="A304" s="2487"/>
      <c r="B304" s="2368">
        <f t="shared" si="71"/>
        <v>9</v>
      </c>
      <c r="C304" s="4325"/>
      <c r="D304" s="4200"/>
      <c r="E304" s="4201"/>
      <c r="F304" s="4201"/>
      <c r="G304" s="4201"/>
      <c r="H304" s="4201"/>
      <c r="I304" s="2210" t="str">
        <f>IF(OR(D297="",D304=""),"",MAX(1,SUMPRODUCT(--(INDEX('Tablas Técnicas'!$C$10:$L$643,,1)=D297),--(INDEX('Tablas Técnicas'!$C$10:$L$643,,2)=D304),INDEX('Tablas Técnicas'!$C$10:$L$643,,9))))</f>
        <v/>
      </c>
      <c r="J304" s="4200"/>
      <c r="K304" s="4201"/>
      <c r="L304" s="4201"/>
      <c r="M304" s="4201"/>
      <c r="N304" s="4201"/>
      <c r="O304" s="2210" t="str">
        <f>IF(OR(J297="",J304=""),"",MAX(1,SUMPRODUCT(--(INDEX('Tablas Técnicas'!$C$10:$L$643,,1)=J297),--(INDEX('Tablas Técnicas'!$C$10:$L$643,,2)=J304),INDEX('Tablas Técnicas'!$C$10:$L$643,,9))))</f>
        <v/>
      </c>
      <c r="P304" s="4200"/>
      <c r="Q304" s="4201"/>
      <c r="R304" s="4201"/>
      <c r="S304" s="4201"/>
      <c r="T304" s="4201"/>
      <c r="U304" s="2210" t="str">
        <f>IF(OR(P297="",P304=""),"",MAX(1,SUMPRODUCT(--(INDEX('Tablas Técnicas'!$C$10:$L$643,,1)=P297),--(INDEX('Tablas Técnicas'!$C$10:$L$643,,2)=P304),INDEX('Tablas Técnicas'!$C$10:$L$643,,9))))</f>
        <v/>
      </c>
      <c r="V304" s="4200"/>
      <c r="W304" s="4201"/>
      <c r="X304" s="4201"/>
      <c r="Y304" s="4201"/>
      <c r="Z304" s="4201"/>
      <c r="AA304" s="2210" t="str">
        <f>IF(OR(V297="",V304=""),"",MAX(1,SUMPRODUCT(--(INDEX('Tablas Técnicas'!$C$10:$L$643,,1)=V297),--(INDEX('Tablas Técnicas'!$C$10:$L$643,,2)=V304),INDEX('Tablas Técnicas'!$C$10:$L$643,,9))))</f>
        <v/>
      </c>
      <c r="AB304" s="4200"/>
      <c r="AC304" s="4201"/>
      <c r="AD304" s="4201"/>
      <c r="AE304" s="4201"/>
      <c r="AF304" s="4201"/>
      <c r="AG304" s="2211" t="str">
        <f>IF(OR(AB297="",AB304=""),"",MAX(1,SUMPRODUCT(--(INDEX('Tablas Técnicas'!$C$10:$L$643,,1)=AB297),--(INDEX('Tablas Técnicas'!$C$10:$L$643,,2)=AB304),INDEX('Tablas Técnicas'!$C$10:$L$643,,9))))</f>
        <v/>
      </c>
      <c r="AH304" s="2496">
        <f>P284</f>
        <v>1</v>
      </c>
      <c r="AI304" s="4328"/>
      <c r="AJ304" s="2785"/>
      <c r="AK304" s="2785"/>
      <c r="AL304" s="2785"/>
      <c r="AM304" s="2785"/>
      <c r="AN304" s="2785"/>
      <c r="AO304" s="2785"/>
      <c r="AP304" s="2785"/>
      <c r="AQ304" s="2786"/>
      <c r="AR304" s="2787"/>
      <c r="AS304" s="2787"/>
      <c r="AT304" s="2787"/>
      <c r="AU304" s="2787"/>
      <c r="AV304" s="2787"/>
      <c r="AW304" s="2787"/>
      <c r="AX304" s="2787"/>
      <c r="AY304" s="2785"/>
    </row>
    <row r="305" spans="1:51" ht="12.75" customHeight="1" x14ac:dyDescent="0.2">
      <c r="A305" s="2487"/>
      <c r="B305" s="2368">
        <f t="shared" si="71"/>
        <v>9</v>
      </c>
      <c r="C305" s="4325"/>
      <c r="D305" s="4200"/>
      <c r="E305" s="4201"/>
      <c r="F305" s="4201"/>
      <c r="G305" s="4201"/>
      <c r="H305" s="4201"/>
      <c r="I305" s="2210" t="str">
        <f>IF(OR(D297="",D305=""),"",MAX(1,SUMPRODUCT(--(INDEX('Tablas Técnicas'!$C$10:$L$643,,1)=D297),--(INDEX('Tablas Técnicas'!$C$10:$L$643,,2)=D305),INDEX('Tablas Técnicas'!$C$10:$L$643,,9))))</f>
        <v/>
      </c>
      <c r="J305" s="4200"/>
      <c r="K305" s="4201"/>
      <c r="L305" s="4201"/>
      <c r="M305" s="4201"/>
      <c r="N305" s="4201"/>
      <c r="O305" s="2210" t="str">
        <f>IF(OR(J297="",J305=""),"",MAX(1,SUMPRODUCT(--(INDEX('Tablas Técnicas'!$C$10:$L$643,,1)=J297),--(INDEX('Tablas Técnicas'!$C$10:$L$643,,2)=J305),INDEX('Tablas Técnicas'!$C$10:$L$643,,9))))</f>
        <v/>
      </c>
      <c r="P305" s="4200"/>
      <c r="Q305" s="4201"/>
      <c r="R305" s="4201"/>
      <c r="S305" s="4201"/>
      <c r="T305" s="4201"/>
      <c r="U305" s="2210" t="str">
        <f>IF(OR(P297="",P305=""),"",MAX(1,SUMPRODUCT(--(INDEX('Tablas Técnicas'!$C$10:$L$643,,1)=P297),--(INDEX('Tablas Técnicas'!$C$10:$L$643,,2)=P305),INDEX('Tablas Técnicas'!$C$10:$L$643,,9))))</f>
        <v/>
      </c>
      <c r="V305" s="4200"/>
      <c r="W305" s="4201"/>
      <c r="X305" s="4201"/>
      <c r="Y305" s="4201"/>
      <c r="Z305" s="4201"/>
      <c r="AA305" s="2210" t="str">
        <f>IF(OR(V297="",V305=""),"",MAX(1,SUMPRODUCT(--(INDEX('Tablas Técnicas'!$C$10:$L$643,,1)=V297),--(INDEX('Tablas Técnicas'!$C$10:$L$643,,2)=V305),INDEX('Tablas Técnicas'!$C$10:$L$643,,9))))</f>
        <v/>
      </c>
      <c r="AB305" s="4200"/>
      <c r="AC305" s="4201"/>
      <c r="AD305" s="4201"/>
      <c r="AE305" s="4201"/>
      <c r="AF305" s="4201"/>
      <c r="AG305" s="2211" t="str">
        <f>IF(OR(AB297="",AB305=""),"",MAX(1,SUMPRODUCT(--(INDEX('Tablas Técnicas'!$C$10:$L$643,,1)=AB297),--(INDEX('Tablas Técnicas'!$C$10:$L$643,,2)=AB305),INDEX('Tablas Técnicas'!$C$10:$L$643,,9))))</f>
        <v/>
      </c>
      <c r="AH305" s="2496">
        <f>P284</f>
        <v>1</v>
      </c>
      <c r="AI305" s="4328"/>
      <c r="AJ305" s="2785" t="s">
        <v>9100</v>
      </c>
      <c r="AK305" s="2785"/>
      <c r="AL305" s="2785"/>
      <c r="AM305" s="2785"/>
      <c r="AN305" s="2785"/>
      <c r="AO305" s="2785"/>
      <c r="AP305" s="2785"/>
      <c r="AQ305" s="2785"/>
      <c r="AR305" s="2787"/>
      <c r="AS305" s="2787"/>
      <c r="AT305" s="2787"/>
      <c r="AU305" s="2787"/>
      <c r="AV305" s="2787"/>
      <c r="AW305" s="2787"/>
      <c r="AX305" s="2787"/>
      <c r="AY305" s="2785"/>
    </row>
    <row r="306" spans="1:51" ht="12.75" customHeight="1" x14ac:dyDescent="0.2">
      <c r="A306" s="2487"/>
      <c r="B306" s="2368">
        <f t="shared" si="71"/>
        <v>9</v>
      </c>
      <c r="C306" s="4325"/>
      <c r="D306" s="4200"/>
      <c r="E306" s="4201"/>
      <c r="F306" s="4201"/>
      <c r="G306" s="4201"/>
      <c r="H306" s="4201"/>
      <c r="I306" s="2210" t="str">
        <f>IF(OR(D297="",D306=""),"",MAX(1,SUMPRODUCT(--(INDEX('Tablas Técnicas'!$C$10:$L$643,,1)=D297),--(INDEX('Tablas Técnicas'!$C$10:$L$643,,2)=D306),INDEX('Tablas Técnicas'!$C$10:$L$643,,9))))</f>
        <v/>
      </c>
      <c r="J306" s="4200"/>
      <c r="K306" s="4201"/>
      <c r="L306" s="4201"/>
      <c r="M306" s="4201"/>
      <c r="N306" s="4201"/>
      <c r="O306" s="2210" t="str">
        <f>IF(OR(J297="",J306=""),"",MAX(1,SUMPRODUCT(--(INDEX('Tablas Técnicas'!$C$10:$L$643,,1)=J297),--(INDEX('Tablas Técnicas'!$C$10:$L$643,,2)=J306),INDEX('Tablas Técnicas'!$C$10:$L$643,,9))))</f>
        <v/>
      </c>
      <c r="P306" s="4200"/>
      <c r="Q306" s="4201"/>
      <c r="R306" s="4201"/>
      <c r="S306" s="4201"/>
      <c r="T306" s="4201"/>
      <c r="U306" s="2210" t="str">
        <f>IF(OR(P297="",P306=""),"",MAX(1,SUMPRODUCT(--(INDEX('Tablas Técnicas'!$C$10:$L$643,,1)=P297),--(INDEX('Tablas Técnicas'!$C$10:$L$643,,2)=P306),INDEX('Tablas Técnicas'!$C$10:$L$643,,9))))</f>
        <v/>
      </c>
      <c r="V306" s="4200"/>
      <c r="W306" s="4201"/>
      <c r="X306" s="4201"/>
      <c r="Y306" s="4201"/>
      <c r="Z306" s="4201"/>
      <c r="AA306" s="2210" t="str">
        <f>IF(OR(V297="",V306=""),"",MAX(1,SUMPRODUCT(--(INDEX('Tablas Técnicas'!$C$10:$L$643,,1)=V297),--(INDEX('Tablas Técnicas'!$C$10:$L$643,,2)=V306),INDEX('Tablas Técnicas'!$C$10:$L$643,,9))))</f>
        <v/>
      </c>
      <c r="AB306" s="4200"/>
      <c r="AC306" s="4201"/>
      <c r="AD306" s="4201"/>
      <c r="AE306" s="4201"/>
      <c r="AF306" s="4201"/>
      <c r="AG306" s="2211" t="str">
        <f>IF(OR(AB297="",AB306=""),"",MAX(1,SUMPRODUCT(--(INDEX('Tablas Técnicas'!$C$10:$L$643,,1)=AB297),--(INDEX('Tablas Técnicas'!$C$10:$L$643,,2)=AB306),INDEX('Tablas Técnicas'!$C$10:$L$643,,9))))</f>
        <v/>
      </c>
      <c r="AH306" s="2496">
        <f>P284</f>
        <v>1</v>
      </c>
      <c r="AI306" s="4328"/>
      <c r="AJ306" s="2785" t="s">
        <v>9101</v>
      </c>
      <c r="AK306" s="2785"/>
      <c r="AL306" s="2785"/>
      <c r="AM306" s="2785" t="b">
        <f t="array" ref="AM306">MAX(I301:I307,O301:O307,U301:U307,AA301:AA307,AG301:AG307,RIGHT(S293:S295,1))&gt;P284</f>
        <v>0</v>
      </c>
      <c r="AN306" s="2785"/>
      <c r="AO306" s="2785"/>
      <c r="AP306" s="2785"/>
      <c r="AQ306" s="2786"/>
      <c r="AR306" s="2787"/>
      <c r="AS306" s="2787"/>
      <c r="AT306" s="2787"/>
      <c r="AU306" s="2787"/>
      <c r="AV306" s="2787"/>
      <c r="AW306" s="2787"/>
      <c r="AX306" s="2787"/>
      <c r="AY306" s="2785"/>
    </row>
    <row r="307" spans="1:51" ht="12.75" customHeight="1" x14ac:dyDescent="0.2">
      <c r="A307" s="2487"/>
      <c r="B307" s="2368">
        <f t="shared" si="71"/>
        <v>9</v>
      </c>
      <c r="C307" s="4325"/>
      <c r="D307" s="4230"/>
      <c r="E307" s="4231"/>
      <c r="F307" s="4231"/>
      <c r="G307" s="4231"/>
      <c r="H307" s="4231"/>
      <c r="I307" s="2212" t="str">
        <f>IF(OR(D297="",D307=""),"",MAX(1,SUMPRODUCT(--(INDEX('Tablas Técnicas'!$C$10:$L$643,,1)=D297),--(INDEX('Tablas Técnicas'!$C$10:$L$643,,2)=D307),INDEX('Tablas Técnicas'!$C$10:$L$643,,9))))</f>
        <v/>
      </c>
      <c r="J307" s="4230"/>
      <c r="K307" s="4231"/>
      <c r="L307" s="4231"/>
      <c r="M307" s="4231"/>
      <c r="N307" s="4231"/>
      <c r="O307" s="2212" t="str">
        <f>IF(OR(J297="",J307=""),"",MAX(1,SUMPRODUCT(--(INDEX('Tablas Técnicas'!$C$10:$L$643,,1)=J297),--(INDEX('Tablas Técnicas'!$C$10:$L$643,,2)=J307),INDEX('Tablas Técnicas'!$C$10:$L$643,,9))))</f>
        <v/>
      </c>
      <c r="P307" s="4230"/>
      <c r="Q307" s="4231"/>
      <c r="R307" s="4231"/>
      <c r="S307" s="4231"/>
      <c r="T307" s="4231"/>
      <c r="U307" s="2212" t="str">
        <f>IF(OR(P297="",P307=""),"",MAX(1,SUMPRODUCT(--(INDEX('Tablas Técnicas'!$C$10:$L$643,,1)=P297),--(INDEX('Tablas Técnicas'!$C$10:$L$643,,2)=P307),INDEX('Tablas Técnicas'!$C$10:$L$643,,9))))</f>
        <v/>
      </c>
      <c r="V307" s="4230"/>
      <c r="W307" s="4231"/>
      <c r="X307" s="4231"/>
      <c r="Y307" s="4231"/>
      <c r="Z307" s="4231"/>
      <c r="AA307" s="2212" t="str">
        <f>IF(OR(V297="",V307=""),"",MAX(1,SUMPRODUCT(--(INDEX('Tablas Técnicas'!$C$10:$L$643,,1)=V297),--(INDEX('Tablas Técnicas'!$C$10:$L$643,,2)=V307),INDEX('Tablas Técnicas'!$C$10:$L$643,,9))))</f>
        <v/>
      </c>
      <c r="AB307" s="4230"/>
      <c r="AC307" s="4231"/>
      <c r="AD307" s="4231"/>
      <c r="AE307" s="4231"/>
      <c r="AF307" s="4231"/>
      <c r="AG307" s="2213" t="str">
        <f>IF(OR(AB297="",AB307=""),"",MAX(1,SUMPRODUCT(--(INDEX('Tablas Técnicas'!$C$10:$L$643,,1)=AB297),--(INDEX('Tablas Técnicas'!$C$10:$L$643,,2)=AB307),INDEX('Tablas Técnicas'!$C$10:$L$643,,9))))</f>
        <v/>
      </c>
      <c r="AH307" s="2496">
        <f>P284</f>
        <v>1</v>
      </c>
      <c r="AI307" s="4328"/>
      <c r="AJ307" s="2785" t="s">
        <v>9614</v>
      </c>
      <c r="AK307" s="2785"/>
      <c r="AL307" s="2785"/>
      <c r="AM307" s="2785" t="b">
        <f>AND(COUNTIF(K288:M292,"Mantenido"),OR(COUNTIF(K288:M292,"Sostenimiento Menor"),COUNTIF(K288:M292,"Sostenimiento Mayor")))</f>
        <v>0</v>
      </c>
      <c r="AN307" s="2786"/>
      <c r="AO307" s="2785"/>
      <c r="AP307" s="2785"/>
      <c r="AQ307" s="2785"/>
      <c r="AR307" s="2785"/>
      <c r="AS307" s="2785"/>
      <c r="AT307" s="2785"/>
      <c r="AU307" s="2787"/>
      <c r="AV307" s="2787"/>
      <c r="AW307" s="2787"/>
      <c r="AX307" s="2787"/>
      <c r="AY307" s="2785"/>
    </row>
    <row r="308" spans="1:51" ht="12.75" customHeight="1" x14ac:dyDescent="0.2">
      <c r="A308" s="2487"/>
      <c r="B308" s="2368">
        <f t="shared" si="71"/>
        <v>9</v>
      </c>
      <c r="C308" s="4325"/>
      <c r="D308" s="4213" t="s">
        <v>1558</v>
      </c>
      <c r="E308" s="4214"/>
      <c r="F308" s="4214"/>
      <c r="G308" s="4214"/>
      <c r="H308" s="4214"/>
      <c r="I308" s="4214"/>
      <c r="J308" s="4214"/>
      <c r="K308" s="4214"/>
      <c r="L308" s="4214"/>
      <c r="M308" s="4214"/>
      <c r="N308" s="4214"/>
      <c r="O308" s="4214"/>
      <c r="P308" s="4214"/>
      <c r="Q308" s="4214"/>
      <c r="R308" s="4214"/>
      <c r="S308" s="4214"/>
      <c r="T308" s="4214"/>
      <c r="U308" s="4214"/>
      <c r="V308" s="4214"/>
      <c r="W308" s="4214"/>
      <c r="X308" s="4214"/>
      <c r="Y308" s="4214"/>
      <c r="Z308" s="4214"/>
      <c r="AA308" s="4214"/>
      <c r="AB308" s="4214"/>
      <c r="AC308" s="4214"/>
      <c r="AD308" s="4214"/>
      <c r="AE308" s="4214"/>
      <c r="AF308" s="4214"/>
      <c r="AG308" s="4270"/>
      <c r="AH308" s="2496"/>
      <c r="AI308" s="4328"/>
      <c r="AJ308" s="2785" t="s">
        <v>9613</v>
      </c>
      <c r="AK308" s="2785"/>
      <c r="AL308" s="2785"/>
      <c r="AM308" s="278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5"/>
      <c r="AO308" s="2785"/>
      <c r="AP308" s="2785"/>
      <c r="AQ308" s="2786"/>
      <c r="AR308" s="2785"/>
      <c r="AS308" s="2785"/>
      <c r="AT308" s="2785"/>
      <c r="AU308" s="2787"/>
      <c r="AV308" s="2787"/>
      <c r="AW308" s="2787"/>
      <c r="AX308" s="2787"/>
      <c r="AY308" s="2785"/>
    </row>
    <row r="309" spans="1:51" ht="12.75" customHeight="1" x14ac:dyDescent="0.2">
      <c r="A309" s="2487"/>
      <c r="B309" s="2368">
        <f t="shared" si="71"/>
        <v>9</v>
      </c>
      <c r="C309" s="4325"/>
      <c r="D309" s="4271"/>
      <c r="E309" s="4272"/>
      <c r="F309" s="4272"/>
      <c r="G309" s="4272"/>
      <c r="H309" s="4272"/>
      <c r="I309" s="4272"/>
      <c r="J309" s="4272"/>
      <c r="K309" s="4272"/>
      <c r="L309" s="4272"/>
      <c r="M309" s="4272"/>
      <c r="N309" s="4272"/>
      <c r="O309" s="4272"/>
      <c r="P309" s="4272"/>
      <c r="Q309" s="4272"/>
      <c r="R309" s="4272"/>
      <c r="S309" s="4272"/>
      <c r="T309" s="4272"/>
      <c r="U309" s="4272"/>
      <c r="V309" s="4272"/>
      <c r="W309" s="4272"/>
      <c r="X309" s="4272"/>
      <c r="Y309" s="4272"/>
      <c r="Z309" s="4272"/>
      <c r="AA309" s="4272"/>
      <c r="AB309" s="4272"/>
      <c r="AC309" s="4272"/>
      <c r="AD309" s="4272"/>
      <c r="AE309" s="4272"/>
      <c r="AF309" s="4272"/>
      <c r="AG309" s="4273"/>
      <c r="AH309" s="2496"/>
      <c r="AI309" s="4328"/>
      <c r="AJ309" s="2785" t="s">
        <v>9621</v>
      </c>
      <c r="AK309" s="2785"/>
      <c r="AL309" s="2785"/>
      <c r="AM309" s="278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5"/>
      <c r="AO309" s="2785"/>
      <c r="AP309" s="2785"/>
      <c r="AQ309" s="2786"/>
      <c r="AR309" s="2785"/>
      <c r="AS309" s="2785"/>
      <c r="AT309" s="2785"/>
      <c r="AU309" s="2787"/>
      <c r="AV309" s="2787"/>
      <c r="AW309" s="2787"/>
      <c r="AX309" s="2787"/>
      <c r="AY309" s="2785"/>
    </row>
    <row r="310" spans="1:51" ht="12.75" customHeight="1" x14ac:dyDescent="0.2">
      <c r="A310" s="2487"/>
      <c r="B310" s="2368">
        <f t="shared" si="71"/>
        <v>9</v>
      </c>
      <c r="C310" s="4325"/>
      <c r="D310" s="4271"/>
      <c r="E310" s="4272"/>
      <c r="F310" s="4272"/>
      <c r="G310" s="4272"/>
      <c r="H310" s="4272"/>
      <c r="I310" s="4272"/>
      <c r="J310" s="4272"/>
      <c r="K310" s="4272"/>
      <c r="L310" s="4272"/>
      <c r="M310" s="4272"/>
      <c r="N310" s="4272"/>
      <c r="O310" s="4272"/>
      <c r="P310" s="4272"/>
      <c r="Q310" s="4272"/>
      <c r="R310" s="4272"/>
      <c r="S310" s="4272"/>
      <c r="T310" s="4272"/>
      <c r="U310" s="4272"/>
      <c r="V310" s="4272"/>
      <c r="W310" s="4272"/>
      <c r="X310" s="4272"/>
      <c r="Y310" s="4272"/>
      <c r="Z310" s="4272"/>
      <c r="AA310" s="4272"/>
      <c r="AB310" s="4272"/>
      <c r="AC310" s="4272"/>
      <c r="AD310" s="4272"/>
      <c r="AE310" s="4272"/>
      <c r="AF310" s="4272"/>
      <c r="AG310" s="4273"/>
      <c r="AH310" s="2496"/>
      <c r="AI310" s="4328"/>
      <c r="AJ310" s="2785" t="s">
        <v>9600</v>
      </c>
      <c r="AK310" s="2785"/>
      <c r="AL310" s="2785"/>
      <c r="AM310" s="2785" t="b">
        <f>AND((IF(SUM(V288:V292)&gt;0,1,0)+IF(SUM(X288:X292)&gt;0,1,0)+IF(SUM(Z288:Z292)&gt;0,1,0)+IF(SUM(AB288:AB292)&gt;0,1,0)+IF(SUM(AD288:AD292,)&gt;0,1,0)+IF(SUM(AF288:AF292)&gt;0,1,0))&lt;3,OR(V295&lt;0,X295&lt;0,Z295&lt;0,AB295&lt;0,AD295&lt;0,AF295&lt;0,Y293&lt;0))</f>
        <v>0</v>
      </c>
      <c r="AN310" s="2785"/>
      <c r="AO310" s="2785"/>
      <c r="AP310" s="2785"/>
      <c r="AQ310" s="2786"/>
      <c r="AR310" s="2785"/>
      <c r="AS310" s="2785"/>
      <c r="AT310" s="2785"/>
      <c r="AU310" s="2787"/>
      <c r="AV310" s="2787"/>
      <c r="AW310" s="2787"/>
      <c r="AX310" s="2787"/>
      <c r="AY310" s="2785"/>
    </row>
    <row r="311" spans="1:51" ht="12.75" customHeight="1" x14ac:dyDescent="0.2">
      <c r="A311" s="2487"/>
      <c r="B311" s="2368">
        <f t="shared" si="71"/>
        <v>9</v>
      </c>
      <c r="C311" s="4325"/>
      <c r="D311" s="4271"/>
      <c r="E311" s="4272"/>
      <c r="F311" s="4272"/>
      <c r="G311" s="4272"/>
      <c r="H311" s="4272"/>
      <c r="I311" s="4272"/>
      <c r="J311" s="4272"/>
      <c r="K311" s="4272"/>
      <c r="L311" s="4272"/>
      <c r="M311" s="4272"/>
      <c r="N311" s="4272"/>
      <c r="O311" s="4272"/>
      <c r="P311" s="4272"/>
      <c r="Q311" s="4272"/>
      <c r="R311" s="4272"/>
      <c r="S311" s="4272"/>
      <c r="T311" s="4272"/>
      <c r="U311" s="4272"/>
      <c r="V311" s="4272"/>
      <c r="W311" s="4272"/>
      <c r="X311" s="4272"/>
      <c r="Y311" s="4272"/>
      <c r="Z311" s="4272"/>
      <c r="AA311" s="4272"/>
      <c r="AB311" s="4272"/>
      <c r="AC311" s="4272"/>
      <c r="AD311" s="4272"/>
      <c r="AE311" s="4272"/>
      <c r="AF311" s="4272"/>
      <c r="AG311" s="4273"/>
      <c r="AH311" s="2496"/>
      <c r="AI311" s="4328"/>
      <c r="AJ311" s="2785" t="s">
        <v>9615</v>
      </c>
      <c r="AK311" s="2785"/>
      <c r="AL311" s="2785"/>
      <c r="AM311" s="2785" t="b">
        <f>OR(-V295&gt;TRUNC(SUM(V288:V292)/2),-X295&gt;TRUNC(SUM(X288:X292)/2),-Z295&gt;TRUNC(SUM(Z288:Z292)/2),-AB295&gt;TRUNC(SUM(AB288:AB292)/2),-AD295&gt;TRUNC(SUM(AD288:AD292)/2),-AF295&gt;TRUNC(SUM(AF288:AF292)/2))</f>
        <v>0</v>
      </c>
      <c r="AN311" s="2785"/>
      <c r="AO311" s="2785"/>
      <c r="AP311" s="2785"/>
      <c r="AQ311" s="2786"/>
      <c r="AR311" s="2785"/>
      <c r="AS311" s="2785"/>
      <c r="AT311" s="2785"/>
      <c r="AU311" s="2787"/>
      <c r="AV311" s="2787"/>
      <c r="AW311" s="2787"/>
      <c r="AX311" s="2787"/>
      <c r="AY311" s="2785"/>
    </row>
    <row r="312" spans="1:51" ht="12.75" customHeight="1" x14ac:dyDescent="0.2">
      <c r="A312" s="2487"/>
      <c r="B312" s="2368">
        <f t="shared" si="71"/>
        <v>9</v>
      </c>
      <c r="C312" s="4325"/>
      <c r="D312" s="4271"/>
      <c r="E312" s="4272"/>
      <c r="F312" s="4272"/>
      <c r="G312" s="4272"/>
      <c r="H312" s="4272"/>
      <c r="I312" s="4272"/>
      <c r="J312" s="4272"/>
      <c r="K312" s="4272"/>
      <c r="L312" s="4272"/>
      <c r="M312" s="4272"/>
      <c r="N312" s="4272"/>
      <c r="O312" s="4272"/>
      <c r="P312" s="4272"/>
      <c r="Q312" s="4272"/>
      <c r="R312" s="4272"/>
      <c r="S312" s="4272"/>
      <c r="T312" s="4272"/>
      <c r="U312" s="4272"/>
      <c r="V312" s="4272"/>
      <c r="W312" s="4272"/>
      <c r="X312" s="4272"/>
      <c r="Y312" s="4272"/>
      <c r="Z312" s="4272"/>
      <c r="AA312" s="4272"/>
      <c r="AB312" s="4272"/>
      <c r="AC312" s="4272"/>
      <c r="AD312" s="4272"/>
      <c r="AE312" s="4272"/>
      <c r="AF312" s="4272"/>
      <c r="AG312" s="4273"/>
      <c r="AH312" s="2496"/>
      <c r="AI312" s="4328"/>
      <c r="AJ312" s="2785" t="s">
        <v>9616</v>
      </c>
      <c r="AK312" s="2785"/>
      <c r="AL312" s="2785"/>
      <c r="AM312" s="2785" t="b">
        <f>COUNTIF(D288:E292,"Primario")&gt;1</f>
        <v>0</v>
      </c>
      <c r="AN312" s="2785"/>
      <c r="AO312" s="2785"/>
      <c r="AP312" s="2785"/>
      <c r="AQ312" s="2786"/>
      <c r="AR312" s="2786"/>
      <c r="AS312" s="2786"/>
      <c r="AT312" s="2786"/>
      <c r="AU312" s="2787"/>
      <c r="AV312" s="2787"/>
      <c r="AW312" s="2787"/>
      <c r="AX312" s="2785"/>
      <c r="AY312" s="2785"/>
    </row>
    <row r="313" spans="1:51" ht="12.75" customHeight="1" x14ac:dyDescent="0.2">
      <c r="A313" s="2487"/>
      <c r="B313" s="2368">
        <f t="shared" si="71"/>
        <v>9</v>
      </c>
      <c r="C313" s="4325"/>
      <c r="D313" s="4271"/>
      <c r="E313" s="4272"/>
      <c r="F313" s="4272"/>
      <c r="G313" s="4272"/>
      <c r="H313" s="4272"/>
      <c r="I313" s="4272"/>
      <c r="J313" s="4272"/>
      <c r="K313" s="4272"/>
      <c r="L313" s="4272"/>
      <c r="M313" s="4272"/>
      <c r="N313" s="4272"/>
      <c r="O313" s="4272"/>
      <c r="P313" s="4272"/>
      <c r="Q313" s="4272"/>
      <c r="R313" s="4272"/>
      <c r="S313" s="4272"/>
      <c r="T313" s="4272"/>
      <c r="U313" s="4272"/>
      <c r="V313" s="4272"/>
      <c r="W313" s="4272"/>
      <c r="X313" s="4272"/>
      <c r="Y313" s="4272"/>
      <c r="Z313" s="4272"/>
      <c r="AA313" s="4272"/>
      <c r="AB313" s="4272"/>
      <c r="AC313" s="4272"/>
      <c r="AD313" s="4272"/>
      <c r="AE313" s="4272"/>
      <c r="AF313" s="4272"/>
      <c r="AG313" s="4273"/>
      <c r="AH313" s="2496"/>
      <c r="AI313" s="4328"/>
      <c r="AJ313" s="2785" t="s">
        <v>9599</v>
      </c>
      <c r="AK313" s="2785"/>
      <c r="AL313" s="2785"/>
      <c r="AM313" s="2785" t="b">
        <f>SUM(V295:AG295)&lt;&gt;Y293+ABS(AC293)*2/5+IF(S284="Si",3*P284,0)</f>
        <v>0</v>
      </c>
      <c r="AN313" s="2785"/>
      <c r="AO313" s="2785"/>
      <c r="AP313" s="2785"/>
      <c r="AQ313" s="2786"/>
      <c r="AR313" s="2786"/>
      <c r="AS313" s="2786"/>
      <c r="AT313" s="2786"/>
      <c r="AU313" s="2787"/>
      <c r="AV313" s="2787"/>
      <c r="AW313" s="2787"/>
      <c r="AX313" s="2785"/>
      <c r="AY313" s="2785"/>
    </row>
    <row r="314" spans="1:51" ht="13.5" customHeight="1" x14ac:dyDescent="0.2">
      <c r="A314" s="2487"/>
      <c r="B314" s="2368">
        <f t="shared" si="71"/>
        <v>9</v>
      </c>
      <c r="C314" s="4325"/>
      <c r="D314" s="4271"/>
      <c r="E314" s="4272"/>
      <c r="F314" s="4272"/>
      <c r="G314" s="4272"/>
      <c r="H314" s="4272"/>
      <c r="I314" s="4272"/>
      <c r="J314" s="4272"/>
      <c r="K314" s="4272"/>
      <c r="L314" s="4272"/>
      <c r="M314" s="4272"/>
      <c r="N314" s="4272"/>
      <c r="O314" s="4272"/>
      <c r="P314" s="4272"/>
      <c r="Q314" s="4272"/>
      <c r="R314" s="4272"/>
      <c r="S314" s="4272"/>
      <c r="T314" s="4272"/>
      <c r="U314" s="4272"/>
      <c r="V314" s="4272"/>
      <c r="W314" s="4272"/>
      <c r="X314" s="4272"/>
      <c r="Y314" s="4272"/>
      <c r="Z314" s="4272"/>
      <c r="AA314" s="4272"/>
      <c r="AB314" s="4272"/>
      <c r="AC314" s="4272"/>
      <c r="AD314" s="4272"/>
      <c r="AE314" s="4272"/>
      <c r="AF314" s="4272"/>
      <c r="AG314" s="4273"/>
      <c r="AH314" s="2496"/>
      <c r="AI314" s="4328"/>
      <c r="AJ314" s="2785" t="s">
        <v>9598</v>
      </c>
      <c r="AK314" s="2785"/>
      <c r="AL314" s="2785"/>
      <c r="AM314" s="2785" t="b">
        <f>AL301-AL302+AM301-AM302&lt;&gt;0</f>
        <v>0</v>
      </c>
      <c r="AN314" s="2787"/>
      <c r="AO314" s="2787"/>
      <c r="AP314" s="2787"/>
      <c r="AQ314" s="2787"/>
      <c r="AR314" s="2786"/>
      <c r="AS314" s="2786"/>
      <c r="AT314" s="2786"/>
      <c r="AU314" s="2787"/>
      <c r="AV314" s="2787"/>
      <c r="AW314" s="2787"/>
      <c r="AX314" s="2785"/>
      <c r="AY314" s="2785"/>
    </row>
    <row r="315" spans="1:51" ht="12.75" customHeight="1" thickBot="1" x14ac:dyDescent="0.25">
      <c r="A315" s="2487"/>
      <c r="B315" s="2368"/>
      <c r="C315" s="4326"/>
      <c r="D315" s="432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330"/>
      <c r="F315" s="4330"/>
      <c r="G315" s="4330"/>
      <c r="H315" s="4330"/>
      <c r="I315" s="4330"/>
      <c r="J315" s="4330"/>
      <c r="K315" s="4330"/>
      <c r="L315" s="4330"/>
      <c r="M315" s="4330"/>
      <c r="N315" s="4330"/>
      <c r="O315" s="4330"/>
      <c r="P315" s="4330"/>
      <c r="Q315" s="4330"/>
      <c r="R315" s="4330"/>
      <c r="S315" s="4330"/>
      <c r="T315" s="4330"/>
      <c r="U315" s="4330"/>
      <c r="V315" s="4330"/>
      <c r="W315" s="4330"/>
      <c r="X315" s="4330"/>
      <c r="Y315" s="4330"/>
      <c r="Z315" s="4330"/>
      <c r="AA315" s="4330"/>
      <c r="AB315" s="4330"/>
      <c r="AC315" s="4330"/>
      <c r="AD315" s="4330"/>
      <c r="AE315" s="4330"/>
      <c r="AF315" s="4330"/>
      <c r="AG315" s="4331"/>
      <c r="AH315" s="2496"/>
      <c r="AI315" s="4328"/>
      <c r="AJ315" s="2785" t="s">
        <v>9635</v>
      </c>
      <c r="AK315" s="2787"/>
      <c r="AL315" s="2787"/>
      <c r="AM315" s="2787" t="b">
        <f>ABS(SUM(N293:N295))&gt;(SUM(N288:N292)-10*Y293+AC293+IF(S284="Si",10*P284,0)+IF(COUNTIF(K288:M292,"Mantenido")&gt;0,P284*10)+MAX(IF(COUNTIF(K288:M292,"Sostenimiento Menor")&gt;0,P284*20)+IF(COUNTIF(K288:M292,"Sostenimiento Mayor")&gt;0,P284*30)))/2</f>
        <v>0</v>
      </c>
      <c r="AN315" s="2785"/>
      <c r="AO315" s="2785"/>
      <c r="AP315" s="2785"/>
      <c r="AQ315" s="2785"/>
      <c r="AR315" s="2786"/>
      <c r="AS315" s="2786"/>
      <c r="AT315" s="2786"/>
      <c r="AU315" s="2787"/>
      <c r="AV315" s="2787"/>
      <c r="AW315" s="2787"/>
      <c r="AX315" s="2785"/>
      <c r="AY315" s="2785"/>
    </row>
    <row r="316" spans="1:51" x14ac:dyDescent="0.2">
      <c r="A316" s="2487"/>
      <c r="B316" s="2368"/>
      <c r="C316" s="4232"/>
      <c r="D316" s="4232" t="str">
        <f>IFERROR(VLOOKUP(D297,'Tablas Técnicas'!$O$9:$T$88,2,FALSE),"")</f>
        <v/>
      </c>
      <c r="E316" s="4232"/>
      <c r="F316" s="4232"/>
      <c r="G316" s="4232"/>
      <c r="H316" s="4232"/>
      <c r="I316" s="4232"/>
      <c r="J316" s="4232" t="str">
        <f>IFERROR(VLOOKUP(J297,'Tablas Técnicas'!$O$9:$T$88,2,FALSE),"")</f>
        <v/>
      </c>
      <c r="K316" s="4232"/>
      <c r="L316" s="4232"/>
      <c r="M316" s="4232"/>
      <c r="N316" s="4232"/>
      <c r="O316" s="4232"/>
      <c r="P316" s="4232" t="str">
        <f>IFERROR(VLOOKUP(P297,'Tablas Técnicas'!$O$9:$T$88,2,FALSE),"")</f>
        <v/>
      </c>
      <c r="Q316" s="4232"/>
      <c r="R316" s="4232"/>
      <c r="S316" s="4232"/>
      <c r="T316" s="4232"/>
      <c r="U316" s="4232"/>
      <c r="V316" s="4232" t="str">
        <f>IFERROR(VLOOKUP(V297,'Tablas Técnicas'!$O$9:$T$88,2,FALSE),"")</f>
        <v/>
      </c>
      <c r="W316" s="4232"/>
      <c r="X316" s="4232"/>
      <c r="Y316" s="4232"/>
      <c r="Z316" s="4232"/>
      <c r="AA316" s="4232"/>
      <c r="AB316" s="4232" t="str">
        <f>IFERROR(VLOOKUP(AB297,'Tablas Técnicas'!$O$9:$T$88,2,FALSE),"")</f>
        <v/>
      </c>
      <c r="AC316" s="4232"/>
      <c r="AD316" s="4232"/>
      <c r="AE316" s="4232"/>
      <c r="AF316" s="4232"/>
      <c r="AG316" s="4232"/>
      <c r="AH316" s="2496"/>
      <c r="AI316" s="2188"/>
      <c r="AJ316" s="2785"/>
      <c r="AK316" s="2785"/>
      <c r="AL316" s="2785"/>
      <c r="AM316" s="2785"/>
      <c r="AN316" s="2785"/>
      <c r="AO316" s="2785"/>
      <c r="AP316" s="2785"/>
      <c r="AQ316" s="2785"/>
      <c r="AR316" s="2786"/>
      <c r="AS316" s="2786"/>
      <c r="AT316" s="2786"/>
      <c r="AU316" s="2787"/>
      <c r="AV316" s="2787"/>
      <c r="AW316" s="2787"/>
      <c r="AX316" s="2787"/>
      <c r="AY316" s="2785"/>
    </row>
    <row r="317" spans="1:51" ht="12" thickBot="1" x14ac:dyDescent="0.25">
      <c r="A317" s="2487"/>
      <c r="B317" s="2368"/>
      <c r="C317" s="4232"/>
      <c r="D317" s="2635"/>
      <c r="E317" s="2370"/>
      <c r="F317" s="2370"/>
      <c r="G317" s="2370"/>
      <c r="H317" s="2370"/>
      <c r="I317" s="2370"/>
      <c r="J317" s="2370"/>
      <c r="K317" s="2370"/>
      <c r="L317" s="2370"/>
      <c r="M317" s="2370"/>
      <c r="N317" s="2370"/>
      <c r="O317" s="2370"/>
      <c r="P317" s="2370"/>
      <c r="Q317" s="2370"/>
      <c r="R317" s="2370"/>
      <c r="S317" s="2370"/>
      <c r="T317" s="2370"/>
      <c r="U317" s="2370"/>
      <c r="V317" s="2636"/>
      <c r="W317" s="2636"/>
      <c r="X317" s="2636"/>
      <c r="Y317" s="2636"/>
      <c r="Z317" s="2636"/>
      <c r="AA317" s="2636"/>
      <c r="AB317" s="2636"/>
      <c r="AC317" s="2636"/>
      <c r="AD317" s="2636"/>
      <c r="AE317" s="2636"/>
      <c r="AF317" s="2370"/>
      <c r="AG317" s="2370"/>
      <c r="AH317" s="2496"/>
      <c r="AI317" s="2188"/>
      <c r="AJ317" s="2793"/>
      <c r="AK317" s="2793"/>
      <c r="AL317" s="2793"/>
      <c r="AM317" s="2793"/>
      <c r="AN317" s="2793"/>
      <c r="AO317" s="2793"/>
      <c r="AP317" s="2785"/>
      <c r="AQ317" s="2786"/>
      <c r="AR317" s="2787"/>
      <c r="AS317" s="2787"/>
      <c r="AT317" s="2787"/>
      <c r="AU317" s="2787"/>
      <c r="AV317" s="2787"/>
      <c r="AW317" s="2787"/>
      <c r="AX317" s="2787"/>
      <c r="AY317" s="2794"/>
    </row>
    <row r="318" spans="1:51" ht="11.25" customHeight="1" x14ac:dyDescent="0.2">
      <c r="A318" s="2487"/>
      <c r="B318" s="2368">
        <f t="shared" ref="B318:B348" si="80">1+B284</f>
        <v>10</v>
      </c>
      <c r="C318" s="4324" t="str">
        <f>"Técnica "&amp;B318</f>
        <v>Técnica 10</v>
      </c>
      <c r="D318" s="4318" t="s">
        <v>8999</v>
      </c>
      <c r="E318" s="4319"/>
      <c r="F318" s="4319"/>
      <c r="G318" s="4319"/>
      <c r="H318" s="4319"/>
      <c r="I318" s="4319"/>
      <c r="J318" s="4319"/>
      <c r="K318" s="4319"/>
      <c r="L318" s="4319"/>
      <c r="M318" s="4319"/>
      <c r="N318" s="4320"/>
      <c r="O318" s="4284" t="s">
        <v>1333</v>
      </c>
      <c r="P318" s="4286">
        <v>1</v>
      </c>
      <c r="Q318" s="4203" t="s">
        <v>9083</v>
      </c>
      <c r="R318" s="4280"/>
      <c r="S318" s="4282" t="s">
        <v>1389</v>
      </c>
      <c r="T318" s="4204" t="s">
        <v>1514</v>
      </c>
      <c r="U318" s="4268">
        <f>MAX(IF(P318=3,60,IF(P318=2,40,20)),MIN(IF(P318=3,200,IF(P318=2,100,50)),SUM(N322:N329)-10*Y327+AC327+IF(S318="Si",10*P318,0)+IF(COUNTIF(K322:M326,"Mantenido")&gt;0,P318*10)+MAX(IF(COUNTIF(K322:M326,"Sostenimiento Menor")&gt;0,P318*20)+IF(COUNTIF(K322:M326,"Sostenimiento Mayor")&gt;0,P318*30))))</f>
        <v>20</v>
      </c>
      <c r="V318" s="4203" t="s">
        <v>9084</v>
      </c>
      <c r="W318" s="4204"/>
      <c r="X318" s="4207" t="str">
        <f>IFERROR(LEFT(AK334&amp;AL334&amp;AM334&amp;AN334&amp;AO334&amp;AP334,LEN(AK334&amp;AL334&amp;AM334&amp;AN334&amp;AO334&amp;AP334)-2),"")</f>
        <v/>
      </c>
      <c r="Y318" s="4207"/>
      <c r="Z318" s="4207"/>
      <c r="AA318" s="4207"/>
      <c r="AB318" s="4207"/>
      <c r="AC318" s="4207"/>
      <c r="AD318" s="4207"/>
      <c r="AE318" s="4207"/>
      <c r="AF318" s="4207"/>
      <c r="AG318" s="4208"/>
      <c r="AH318" s="2496"/>
      <c r="AI318" s="4328"/>
      <c r="AJ318" s="2790" t="s">
        <v>9632</v>
      </c>
      <c r="AK318" s="2790"/>
      <c r="AL318" s="2790"/>
      <c r="AM318" s="2790"/>
      <c r="AN318" s="2790"/>
      <c r="AO318" s="2790"/>
      <c r="AP318" s="2790"/>
      <c r="AQ318" s="2790"/>
      <c r="AR318" s="2790"/>
      <c r="AS318" s="2785"/>
      <c r="AT318" s="2785"/>
      <c r="AU318" s="2785"/>
      <c r="AV318" s="2785"/>
      <c r="AW318" s="2787"/>
      <c r="AX318" s="2787"/>
      <c r="AY318" s="2785"/>
    </row>
    <row r="319" spans="1:51" ht="11.25" customHeight="1" x14ac:dyDescent="0.2">
      <c r="A319" s="2487"/>
      <c r="B319" s="2368">
        <f t="shared" si="80"/>
        <v>10</v>
      </c>
      <c r="C319" s="4325"/>
      <c r="D319" s="4321"/>
      <c r="E319" s="4322"/>
      <c r="F319" s="4322"/>
      <c r="G319" s="4322"/>
      <c r="H319" s="4322"/>
      <c r="I319" s="4322"/>
      <c r="J319" s="4322"/>
      <c r="K319" s="4322"/>
      <c r="L319" s="4322"/>
      <c r="M319" s="4322"/>
      <c r="N319" s="4323"/>
      <c r="O319" s="4285"/>
      <c r="P319" s="4283"/>
      <c r="Q319" s="4205"/>
      <c r="R319" s="4281"/>
      <c r="S319" s="4283"/>
      <c r="T319" s="4206"/>
      <c r="U319" s="4269"/>
      <c r="V319" s="4205"/>
      <c r="W319" s="4206"/>
      <c r="X319" s="4209"/>
      <c r="Y319" s="4209"/>
      <c r="Z319" s="4209"/>
      <c r="AA319" s="4209"/>
      <c r="AB319" s="4209"/>
      <c r="AC319" s="4209"/>
      <c r="AD319" s="4209"/>
      <c r="AE319" s="4209"/>
      <c r="AF319" s="4209"/>
      <c r="AG319" s="4210"/>
      <c r="AH319" s="2496"/>
      <c r="AI319" s="4328"/>
      <c r="AJ319" s="2790"/>
      <c r="AK319" s="2790" t="s">
        <v>9633</v>
      </c>
      <c r="AL319" s="2790" t="s">
        <v>10237</v>
      </c>
      <c r="AM319" s="2791"/>
      <c r="AN319" s="2791"/>
      <c r="AO319" s="2791"/>
      <c r="AP319" s="2791"/>
      <c r="AQ319" s="2791"/>
      <c r="AR319" s="2790"/>
      <c r="AS319" s="2785"/>
      <c r="AT319" s="2785"/>
      <c r="AU319" s="2785"/>
      <c r="AV319" s="2785"/>
      <c r="AW319" s="2787"/>
      <c r="AX319" s="4327" t="s">
        <v>9602</v>
      </c>
      <c r="AY319" s="4327"/>
    </row>
    <row r="320" spans="1:51" ht="12" customHeight="1" x14ac:dyDescent="0.2">
      <c r="A320" s="2487"/>
      <c r="B320" s="2368">
        <f t="shared" si="80"/>
        <v>10</v>
      </c>
      <c r="C320" s="4325"/>
      <c r="D320" s="4213" t="s">
        <v>2910</v>
      </c>
      <c r="E320" s="4214"/>
      <c r="F320" s="4214"/>
      <c r="G320" s="4214"/>
      <c r="H320" s="4214"/>
      <c r="I320" s="4214"/>
      <c r="J320" s="4214"/>
      <c r="K320" s="4290" t="s">
        <v>9935</v>
      </c>
      <c r="L320" s="4290"/>
      <c r="M320" s="4290"/>
      <c r="N320" s="4214" t="s">
        <v>1508</v>
      </c>
      <c r="O320" s="4290" t="s">
        <v>2908</v>
      </c>
      <c r="P320" s="4290" t="s">
        <v>9085</v>
      </c>
      <c r="Q320" s="4214" t="s">
        <v>1372</v>
      </c>
      <c r="R320" s="4214"/>
      <c r="S320" s="4214"/>
      <c r="T320" s="4214"/>
      <c r="U320" s="4214"/>
      <c r="V320" s="4202" t="s">
        <v>1381</v>
      </c>
      <c r="W320" s="4185"/>
      <c r="X320" s="4202" t="s">
        <v>1506</v>
      </c>
      <c r="Y320" s="4287"/>
      <c r="Z320" s="4185" t="s">
        <v>1386</v>
      </c>
      <c r="AA320" s="4185"/>
      <c r="AB320" s="4202" t="s">
        <v>1391</v>
      </c>
      <c r="AC320" s="4287"/>
      <c r="AD320" s="4185" t="s">
        <v>1399</v>
      </c>
      <c r="AE320" s="4185"/>
      <c r="AF320" s="4202" t="s">
        <v>1400</v>
      </c>
      <c r="AG320" s="4186"/>
      <c r="AH320" s="2496"/>
      <c r="AI320" s="4328"/>
      <c r="AJ320" s="2785"/>
      <c r="AK320" s="2785"/>
      <c r="AL320" s="2785" t="s">
        <v>9910</v>
      </c>
      <c r="AM320" s="2785"/>
      <c r="AN320" s="2785"/>
      <c r="AO320" s="2785"/>
      <c r="AP320" s="2785"/>
      <c r="AQ320" s="2785"/>
      <c r="AR320" s="2787"/>
      <c r="AS320" s="2787" t="s">
        <v>9622</v>
      </c>
      <c r="AT320" s="2787" t="s">
        <v>9623</v>
      </c>
      <c r="AU320" s="2785" t="s">
        <v>9611</v>
      </c>
      <c r="AV320" s="2785" t="s">
        <v>9612</v>
      </c>
      <c r="AW320" s="2787" t="s">
        <v>1508</v>
      </c>
      <c r="AX320" s="2787" t="s">
        <v>9087</v>
      </c>
      <c r="AY320" s="2785" t="s">
        <v>9088</v>
      </c>
    </row>
    <row r="321" spans="1:51" ht="12.75" customHeight="1" x14ac:dyDescent="0.2">
      <c r="A321" s="2487"/>
      <c r="B321" s="2368">
        <f t="shared" si="80"/>
        <v>10</v>
      </c>
      <c r="C321" s="4325"/>
      <c r="D321" s="4288"/>
      <c r="E321" s="4289"/>
      <c r="F321" s="4289"/>
      <c r="G321" s="4289"/>
      <c r="H321" s="4289"/>
      <c r="I321" s="4289"/>
      <c r="J321" s="4289"/>
      <c r="K321" s="4291"/>
      <c r="L321" s="4291"/>
      <c r="M321" s="4291"/>
      <c r="N321" s="4215"/>
      <c r="O321" s="4291"/>
      <c r="P321" s="4292"/>
      <c r="Q321" s="4215"/>
      <c r="R321" s="4215"/>
      <c r="S321" s="4215"/>
      <c r="T321" s="4215"/>
      <c r="U321" s="4215"/>
      <c r="V321" s="2373" t="s">
        <v>9601</v>
      </c>
      <c r="W321" s="2488" t="s">
        <v>2914</v>
      </c>
      <c r="X321" s="2373" t="s">
        <v>9601</v>
      </c>
      <c r="Y321" s="2488" t="s">
        <v>2914</v>
      </c>
      <c r="Z321" s="2373" t="s">
        <v>9601</v>
      </c>
      <c r="AA321" s="2488" t="s">
        <v>2914</v>
      </c>
      <c r="AB321" s="2373" t="s">
        <v>9601</v>
      </c>
      <c r="AC321" s="2488" t="s">
        <v>2914</v>
      </c>
      <c r="AD321" s="2373" t="s">
        <v>9601</v>
      </c>
      <c r="AE321" s="2488" t="s">
        <v>2914</v>
      </c>
      <c r="AF321" s="2373" t="s">
        <v>9601</v>
      </c>
      <c r="AG321" s="2195" t="s">
        <v>2914</v>
      </c>
      <c r="AH321" s="2496"/>
      <c r="AI321" s="4328"/>
      <c r="AJ321" s="2785"/>
      <c r="AK321" s="2785" t="s">
        <v>9603</v>
      </c>
      <c r="AL321" s="2785">
        <v>1</v>
      </c>
      <c r="AM321" s="2785">
        <v>2</v>
      </c>
      <c r="AN321" s="2785">
        <v>3</v>
      </c>
      <c r="AO321" s="2785">
        <v>4</v>
      </c>
      <c r="AP321" s="2785">
        <v>5</v>
      </c>
      <c r="AQ321" s="2785">
        <v>6</v>
      </c>
      <c r="AR321" s="2785">
        <v>7</v>
      </c>
      <c r="AS321" s="2787"/>
      <c r="AT321" s="2785" t="s">
        <v>9634</v>
      </c>
      <c r="AU321" s="2787"/>
      <c r="AV321" s="2787"/>
      <c r="AW321" s="2787" t="s">
        <v>9634</v>
      </c>
      <c r="AX321" s="2787"/>
      <c r="AY321" s="2785"/>
    </row>
    <row r="322" spans="1:51" ht="12.75" customHeight="1" x14ac:dyDescent="0.2">
      <c r="A322" s="2487"/>
      <c r="B322" s="2368">
        <f t="shared" si="80"/>
        <v>10</v>
      </c>
      <c r="C322" s="4325"/>
      <c r="D322" s="4293" t="s">
        <v>9089</v>
      </c>
      <c r="E322" s="4294"/>
      <c r="F322" s="4295"/>
      <c r="G322" s="4296"/>
      <c r="H322" s="4296"/>
      <c r="I322" s="4296"/>
      <c r="J322" s="4240"/>
      <c r="K322" s="4297" t="s">
        <v>1464</v>
      </c>
      <c r="L322" s="4298"/>
      <c r="M322" s="4299"/>
      <c r="N322" s="2374">
        <f>IF(AW322&gt;0,IF(VLOOKUP(F322,'Tablas Técnicas'!$O$9:$X$88,10,0),MAX(5,AW322-5),AW322),0)</f>
        <v>0</v>
      </c>
      <c r="O322" s="2374" t="str">
        <f>AS322&amp;" / "&amp;AT322</f>
        <v>0 / 0</v>
      </c>
      <c r="P322" s="2374" t="str">
        <f t="array" ref="P322">W322+Y322+AA322+AC322+AE322+AG322&amp;" / "&amp;IF(K322&lt;&gt;"Mantenido",0,SUM(IF($AL322:$AR322='Tablas Técnicas'!$L$10:$L$643,'Tablas Técnicas'!$H$10:$H$643,0)))</f>
        <v>0 / 0</v>
      </c>
      <c r="Q322" s="4300" t="str">
        <f>IFERROR(VLOOKUP(F322,'Tablas Técnicas'!$O$9:$T$88,5,FALSE),"")</f>
        <v/>
      </c>
      <c r="R322" s="4300"/>
      <c r="S322" s="4300"/>
      <c r="T322" s="4300"/>
      <c r="U322" s="4300"/>
      <c r="V322" s="2324"/>
      <c r="W322" s="2325"/>
      <c r="X322" s="2324"/>
      <c r="Y322" s="2326"/>
      <c r="Z322" s="2327"/>
      <c r="AA322" s="2325"/>
      <c r="AB322" s="2324"/>
      <c r="AC322" s="2326"/>
      <c r="AD322" s="2327"/>
      <c r="AE322" s="2325"/>
      <c r="AF322" s="2324"/>
      <c r="AG322" s="2328"/>
      <c r="AH322" s="2496"/>
      <c r="AI322" s="4328"/>
      <c r="AJ322" s="2785">
        <v>1</v>
      </c>
      <c r="AK322" s="2785">
        <f>P318</f>
        <v>1</v>
      </c>
      <c r="AL322" s="2785" t="str">
        <f>IF(AND(ISNUMBER(MATCH($F322,'Tablas Técnicas'!$L$10:$L$643,0)),INDEX($D335:$D341,Tablas!A$1)="",COUNTIF(AM322:$AS322,$F322)=0),$F322,IF(INDEX($D335:$D341,Tablas!A$1)="","",$F322&amp;INDEX($D335:$D341,Tablas!A$1)))</f>
        <v/>
      </c>
      <c r="AM322" s="2785" t="str">
        <f>IF(AND(ISNUMBER(MATCH($F322,'Tablas Técnicas'!$L$10:$L$643,0)),INDEX($D335:$D341,Tablas!B$1)="",COUNTIF(AN322:$AS322,$F322)=0),$F322,IF(INDEX($D335:$D341,Tablas!B$1)="","",$F322&amp;INDEX($D335:$D341,Tablas!B$1)))</f>
        <v/>
      </c>
      <c r="AN322" s="2785" t="str">
        <f>IF(AND(ISNUMBER(MATCH($F322,'Tablas Técnicas'!$L$10:$L$643,0)),INDEX($D335:$D341,Tablas!C$1)="",COUNTIF(AO322:$AS322,$F322)=0),$F322,IF(INDEX($D335:$D341,Tablas!C$1)="","",$F322&amp;INDEX($D335:$D341,Tablas!C$1)))</f>
        <v/>
      </c>
      <c r="AO322" s="2785" t="str">
        <f>IF(AND(ISNUMBER(MATCH($F322,'Tablas Técnicas'!$L$10:$L$643,0)),INDEX($D335:$D341,Tablas!D$1)="",COUNTIF(AP322:$AS322,$F322)=0),$F322,IF(INDEX($D335:$D341,Tablas!D$1)="","",$F322&amp;INDEX($D335:$D341,Tablas!D$1)))</f>
        <v/>
      </c>
      <c r="AP322" s="2785" t="str">
        <f>IF(AND(ISNUMBER(MATCH($F322,'Tablas Técnicas'!$L$10:$L$643,0)),INDEX($D335:$D341,Tablas!E$1)="",COUNTIF(AQ322:$AS322,$F322)=0),$F322,IF(INDEX($D335:$D341,Tablas!E$1)="","",$F322&amp;INDEX($D335:$D341,Tablas!E$1)))</f>
        <v/>
      </c>
      <c r="AQ322" s="2785" t="str">
        <f>IF(AND(ISNUMBER(MATCH($F322,'Tablas Técnicas'!$L$10:$L$643,0)),INDEX($D335:$D341,Tablas!F$1)="",COUNTIF(AR322:$AS322,$F322)=0),$F322,IF(INDEX($D335:$D341,Tablas!F$1)="","",$F322&amp;INDEX($D335:$D341,Tablas!F$1)))</f>
        <v/>
      </c>
      <c r="AR322" s="2785" t="str">
        <f>IF(AND(ISNUMBER(MATCH($F322,'Tablas Técnicas'!$L$10:$L$643,0)),INDEX($D335:$D341,Tablas!G$1)="",COUNTIF(AS322:$AS322,$F322)=0),$F322,IF(INDEX($D335:$D341,Tablas!G$1)="","",$F322&amp;INDEX($D335:$D341,Tablas!G$1)))</f>
        <v/>
      </c>
      <c r="AS322" s="2787">
        <f>V322+X322+Z322+AB322+AD322+AF322</f>
        <v>0</v>
      </c>
      <c r="AT322" s="2787">
        <f t="array" ref="AT322">SUM(IF($AL322:$AR322='Tablas Técnicas'!$L$10:$L$643,IF(D322="Primario",'Tablas Técnicas'!$E$10:$E$643,'Tablas Técnicas'!$F$10:$F$643)+IF(K322="Sostenimiento menor",'Tablas Técnicas'!$I$10:$I$643,IF(K322="sostenimiento mayor",'Tablas Técnicas'!$J$10:$J$643,0)),0),0)+VALUE(RIGHT(P322,2))+AU322+AV322</f>
        <v>0</v>
      </c>
      <c r="AU322" s="278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7">
        <f>(COUNTIF(AL322:AR322,"*Estado añadido:*")-1)*COUNTIF(AL322:AR322,"*Estado añadido:*")</f>
        <v>0</v>
      </c>
      <c r="AW322" s="2787">
        <f t="array" ref="AW322">SUM(IF($AL322:$AR322='Tablas Técnicas'!$L$10:$L$643,'Tablas Técnicas'!$G$10:$G$643,0))</f>
        <v>0</v>
      </c>
      <c r="AX322" s="2785"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5" t="str">
        <f t="shared" ref="AY322:AY324" si="81">IFERROR(LEFT(AX322,LEN(AX322)-2)&amp;"), ","")</f>
        <v/>
      </c>
    </row>
    <row r="323" spans="1:51" ht="12.75" customHeight="1" x14ac:dyDescent="0.2">
      <c r="A323" s="2487"/>
      <c r="B323" s="2368">
        <f t="shared" si="80"/>
        <v>10</v>
      </c>
      <c r="C323" s="4325"/>
      <c r="D323" s="4221" t="s">
        <v>526</v>
      </c>
      <c r="E323" s="4222"/>
      <c r="F323" s="4304"/>
      <c r="G323" s="4305"/>
      <c r="H323" s="4305"/>
      <c r="I323" s="4305"/>
      <c r="J323" s="4249"/>
      <c r="K323" s="4306" t="s">
        <v>1464</v>
      </c>
      <c r="L323" s="4307"/>
      <c r="M323" s="4308"/>
      <c r="N323" s="2192">
        <f>IF(AW323&gt;0,IF(VLOOKUP(F323,'Tablas Técnicas'!$O$9:$X$88,10,0),MAX(5,AW323-5),AW323),0)</f>
        <v>0</v>
      </c>
      <c r="O323" s="2192" t="str">
        <f>AS323&amp;" / "&amp;AT323</f>
        <v>0 / 0</v>
      </c>
      <c r="P323" s="2192" t="str">
        <f t="array" ref="P323">W323+Y323+AA323+AC323+AE323+AG323&amp;" / "&amp;IF(K323&lt;&gt;"Mantenido",0,SUM(IF($AL323:$AR323='Tablas Técnicas'!$L$10:$L$643,'Tablas Técnicas'!$H$10:$H$643,0)))</f>
        <v>0 / 0</v>
      </c>
      <c r="Q323" s="4223" t="str">
        <f>IFERROR(VLOOKUP(F323,'Tablas Técnicas'!$O$9:$T$88,5,FALSE),"")</f>
        <v/>
      </c>
      <c r="R323" s="4223"/>
      <c r="S323" s="4223"/>
      <c r="T323" s="4223"/>
      <c r="U323" s="4223"/>
      <c r="V323" s="2329"/>
      <c r="W323" s="2330"/>
      <c r="X323" s="2329"/>
      <c r="Y323" s="2331"/>
      <c r="Z323" s="2332"/>
      <c r="AA323" s="2330"/>
      <c r="AB323" s="2329"/>
      <c r="AC323" s="2331"/>
      <c r="AD323" s="2332"/>
      <c r="AE323" s="2330"/>
      <c r="AF323" s="2329"/>
      <c r="AG323" s="2333"/>
      <c r="AH323" s="2496"/>
      <c r="AI323" s="4328"/>
      <c r="AJ323" s="2785">
        <v>2</v>
      </c>
      <c r="AK323" s="2785">
        <f>P318</f>
        <v>1</v>
      </c>
      <c r="AL323" s="2785" t="str">
        <f>IF(AND(ISNUMBER(MATCH($F323,'Tablas Técnicas'!$L$10:$L$643,0)),INDEX($J335:$J341,Tablas!A$1)="",COUNTIF(AM323:$AS323,$F323)=0),$F323,IF(INDEX($J335:$J341,Tablas!A$1)="","",$F323&amp;INDEX($J335:$J341,Tablas!A$1)))</f>
        <v/>
      </c>
      <c r="AM323" s="2785" t="str">
        <f>IF(AND(ISNUMBER(MATCH($F323,'Tablas Técnicas'!$L$10:$L$643,0)),INDEX($J335:$J341,Tablas!B$1)="",COUNTIF(AN323:$AS323,$F323)=0),$F323,IF(INDEX($J335:$J341,Tablas!B$1)="","",$F323&amp;INDEX($J335:$J341,Tablas!B$1)))</f>
        <v/>
      </c>
      <c r="AN323" s="2785" t="str">
        <f>IF(AND(ISNUMBER(MATCH($F323,'Tablas Técnicas'!$L$10:$L$643,0)),INDEX($J335:$J341,Tablas!C$1)="",COUNTIF(AO323:$AS323,$F323)=0),$F323,IF(INDEX($J335:$J341,Tablas!C$1)="","",$F323&amp;INDEX($J335:$J341,Tablas!C$1)))</f>
        <v/>
      </c>
      <c r="AO323" s="2785" t="str">
        <f>IF(AND(ISNUMBER(MATCH($F323,'Tablas Técnicas'!$L$10:$L$643,0)),INDEX($J335:$J341,Tablas!D$1)="",COUNTIF(AP323:$AS323,$F323)=0),$F323,IF(INDEX($J335:$J341,Tablas!D$1)="","",$F323&amp;INDEX($J335:$J341,Tablas!D$1)))</f>
        <v/>
      </c>
      <c r="AP323" s="2785" t="str">
        <f>IF(AND(ISNUMBER(MATCH($F323,'Tablas Técnicas'!$L$10:$L$643,0)),INDEX($J335:$J341,Tablas!E$1)="",COUNTIF(AQ323:$AS323,$F323)=0),$F323,IF(INDEX($J335:$J341,Tablas!E$1)="","",$F323&amp;INDEX($J335:$J341,Tablas!E$1)))</f>
        <v/>
      </c>
      <c r="AQ323" s="2785" t="str">
        <f>IF(AND(ISNUMBER(MATCH($F323,'Tablas Técnicas'!$L$10:$L$643,0)),INDEX($J335:$J341,Tablas!F$1)="",COUNTIF(AR323:$AS323,$F323)=0),$F323,IF(INDEX($J335:$J341,Tablas!F$1)="","",$F323&amp;INDEX($J335:$J341,Tablas!F$1)))</f>
        <v/>
      </c>
      <c r="AR323" s="2785" t="str">
        <f>IF(AND(ISNUMBER(MATCH($F323,'Tablas Técnicas'!$L$10:$L$643,0)),INDEX($J335:$J341,Tablas!G$1)="",COUNTIF(AS323:$AS323,$F323)=0),$F323,IF(INDEX($J335:$J341,Tablas!G$1)="","",$F323&amp;INDEX($J335:$J341,Tablas!G$1)))</f>
        <v/>
      </c>
      <c r="AS323" s="2787">
        <f>V323+X323+Z323+AB323+AD323+AF323</f>
        <v>0</v>
      </c>
      <c r="AT323" s="2787">
        <f t="array" ref="AT323">SUM(IF($AL323:$AR323='Tablas Técnicas'!$L$10:$L$643,IF(D323="Primario",'Tablas Técnicas'!$E$10:$E$643,'Tablas Técnicas'!$F$10:$F$643)+IF(K323="Sostenimiento menor",'Tablas Técnicas'!$I$10:$I$643,IF(K323="sostenimiento mayor",'Tablas Técnicas'!$J$10:$J$643,0)),0),0)+VALUE(RIGHT(P323,2))+AU323+AV323</f>
        <v>0</v>
      </c>
      <c r="AU323" s="278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7">
        <f>(COUNTIF(AL323:AR323,"*Estado añadido:*")-1)*COUNTIF(AL323:AR323,"*Estado añadido:*")</f>
        <v>0</v>
      </c>
      <c r="AW323" s="2787">
        <f t="array" ref="AW323">SUM(IF($AL323:$AR323='Tablas Técnicas'!$L$10:$L$643,'Tablas Técnicas'!$G$10:$G$643,0))</f>
        <v>0</v>
      </c>
      <c r="AX323" s="2785"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5" t="str">
        <f t="shared" si="81"/>
        <v/>
      </c>
    </row>
    <row r="324" spans="1:51" ht="12.75" customHeight="1" x14ac:dyDescent="0.2">
      <c r="A324" s="2487"/>
      <c r="B324" s="2368">
        <f t="shared" si="80"/>
        <v>10</v>
      </c>
      <c r="C324" s="4325"/>
      <c r="D324" s="4312" t="s">
        <v>526</v>
      </c>
      <c r="E324" s="4313"/>
      <c r="F324" s="4227"/>
      <c r="G324" s="4228"/>
      <c r="H324" s="4228"/>
      <c r="I324" s="4228"/>
      <c r="J324" s="4229"/>
      <c r="K324" s="4309" t="s">
        <v>1464</v>
      </c>
      <c r="L324" s="4310"/>
      <c r="M324" s="4311"/>
      <c r="N324" s="2188">
        <f>IF(AW324&gt;0,IF(VLOOKUP(F324,'Tablas Técnicas'!$O$9:$X$88,10,0),MAX(5,AW324-5),AW324),0)</f>
        <v>0</v>
      </c>
      <c r="O324" s="2188" t="str">
        <f>AS324&amp;" / "&amp;AT324</f>
        <v>0 / 0</v>
      </c>
      <c r="P324" s="2188" t="str">
        <f t="array" ref="P324">W324+Y324+AA324+AC324+AE324+AG324&amp;" / "&amp;IF(K324&lt;&gt;"Mantenido",0,SUM(IF($AL324:$AR324='Tablas Técnicas'!$L$10:$L$643,'Tablas Técnicas'!$H$10:$H$643,0)))</f>
        <v>0 / 0</v>
      </c>
      <c r="Q324" s="4314" t="str">
        <f>IFERROR(VLOOKUP(F324,'Tablas Técnicas'!$O$9:$T$88,5,FALSE),"")</f>
        <v/>
      </c>
      <c r="R324" s="4314"/>
      <c r="S324" s="4314"/>
      <c r="T324" s="4314"/>
      <c r="U324" s="4314"/>
      <c r="V324" s="2334"/>
      <c r="W324" s="2335"/>
      <c r="X324" s="2334"/>
      <c r="Y324" s="2336"/>
      <c r="Z324" s="2337"/>
      <c r="AA324" s="2335"/>
      <c r="AB324" s="2334"/>
      <c r="AC324" s="2336"/>
      <c r="AD324" s="2337"/>
      <c r="AE324" s="2335"/>
      <c r="AF324" s="2334"/>
      <c r="AG324" s="2338"/>
      <c r="AH324" s="2496"/>
      <c r="AI324" s="4328"/>
      <c r="AJ324" s="2785">
        <v>3</v>
      </c>
      <c r="AK324" s="2785">
        <f>P318</f>
        <v>1</v>
      </c>
      <c r="AL324" s="2785" t="str">
        <f>IF(AND(ISNUMBER(MATCH($F324,'Tablas Técnicas'!$L$10:$L$643,0)),INDEX($P335:$P341,Tablas!A$1)="",COUNTIF(AM324:$AS324,$F324)=0),$F324,IF(INDEX($P335:$P341,Tablas!A$1)="","",$F324&amp;INDEX($P335:$P341,Tablas!A$1)))</f>
        <v/>
      </c>
      <c r="AM324" s="2785" t="str">
        <f>IF(AND(ISNUMBER(MATCH($F324,'Tablas Técnicas'!$L$10:$L$643,0)),INDEX($P335:$P341,Tablas!B$1)="",COUNTIF(AN324:$AS324,$F324)=0),$F324,IF(INDEX($P335:$P341,Tablas!B$1)="","",$F324&amp;INDEX($P335:$P341,Tablas!B$1)))</f>
        <v/>
      </c>
      <c r="AN324" s="2785" t="str">
        <f>IF(AND(ISNUMBER(MATCH($F324,'Tablas Técnicas'!$L$10:$L$643,0)),INDEX($P335:$P341,Tablas!C$1)="",COUNTIF(AO324:$AS324,$F324)=0),$F324,IF(INDEX($P335:$P341,Tablas!C$1)="","",$F324&amp;INDEX($P335:$P341,Tablas!C$1)))</f>
        <v/>
      </c>
      <c r="AO324" s="2785" t="str">
        <f>IF(AND(ISNUMBER(MATCH($F324,'Tablas Técnicas'!$L$10:$L$643,0)),INDEX($P335:$P341,Tablas!D$1)="",COUNTIF(AP324:$AS324,$F324)=0),$F324,IF(INDEX($P335:$P341,Tablas!D$1)="","",$F324&amp;INDEX($P335:$P341,Tablas!D$1)))</f>
        <v/>
      </c>
      <c r="AP324" s="2785" t="str">
        <f>IF(AND(ISNUMBER(MATCH($F324,'Tablas Técnicas'!$L$10:$L$643,0)),INDEX($P335:$P341,Tablas!E$1)="",COUNTIF(AQ324:$AS324,$F324)=0),$F324,IF(INDEX($P335:$P341,Tablas!E$1)="","",$F324&amp;INDEX($P335:$P341,Tablas!E$1)))</f>
        <v/>
      </c>
      <c r="AQ324" s="2785" t="str">
        <f>IF(AND(ISNUMBER(MATCH($F324,'Tablas Técnicas'!$L$10:$L$643,0)),INDEX($P335:$P341,Tablas!F$1)="",COUNTIF(AR324:$AS324,$F324)=0),$F324,IF(INDEX($P335:$P341,Tablas!F$1)="","",$F324&amp;INDEX($P335:$P341,Tablas!F$1)))</f>
        <v/>
      </c>
      <c r="AR324" s="2785" t="str">
        <f>IF(AND(ISNUMBER(MATCH($F324,'Tablas Técnicas'!$L$10:$L$643,0)),INDEX($P335:$P341,Tablas!G$1)="",COUNTIF(AS324:$AS324,$F324)=0),$F324,IF(INDEX($P335:$P341,Tablas!G$1)="","",$F324&amp;INDEX($P335:$P341,Tablas!G$1)))</f>
        <v/>
      </c>
      <c r="AS324" s="2787">
        <f>V324+X324+Z324+AB324+AD324+AF324</f>
        <v>0</v>
      </c>
      <c r="AT324" s="2787">
        <f t="array" ref="AT324">SUM(IF($AL324:$AR324='Tablas Técnicas'!$L$10:$L$643,IF(D324="Primario",'Tablas Técnicas'!$E$10:$E$643,'Tablas Técnicas'!$F$10:$F$643)+IF(K324="Sostenimiento menor",'Tablas Técnicas'!$I$10:$I$643,IF(K324="sostenimiento mayor",'Tablas Técnicas'!$J$10:$J$643,0)),0),0)+VALUE(RIGHT(P324,2))+AU324+AV324</f>
        <v>0</v>
      </c>
      <c r="AU324" s="278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7">
        <f>(COUNTIF(AL324:AR324,"*Estado añadido:*")-1)*COUNTIF(AL324:AR324,"*Estado añadido:*")</f>
        <v>0</v>
      </c>
      <c r="AW324" s="2787">
        <f t="array" ref="AW324">SUM(IF($AL324:$AR324='Tablas Técnicas'!$L$10:$L$643,'Tablas Técnicas'!$G$10:$G$643,0))</f>
        <v>0</v>
      </c>
      <c r="AX324" s="2785" t="str">
        <f t="shared" si="82"/>
        <v/>
      </c>
      <c r="AY324" s="2785" t="str">
        <f t="shared" si="81"/>
        <v/>
      </c>
    </row>
    <row r="325" spans="1:51" ht="12.75" customHeight="1" x14ac:dyDescent="0.2">
      <c r="A325" s="2487"/>
      <c r="B325" s="2368">
        <f t="shared" si="80"/>
        <v>10</v>
      </c>
      <c r="C325" s="4325"/>
      <c r="D325" s="4221" t="s">
        <v>526</v>
      </c>
      <c r="E325" s="4222"/>
      <c r="F325" s="4304"/>
      <c r="G325" s="4305"/>
      <c r="H325" s="4305"/>
      <c r="I325" s="4305"/>
      <c r="J325" s="4249"/>
      <c r="K325" s="4306" t="s">
        <v>1464</v>
      </c>
      <c r="L325" s="4307"/>
      <c r="M325" s="4308"/>
      <c r="N325" s="2192">
        <f>IF(AW325&gt;0,IF(VLOOKUP(F325,'Tablas Técnicas'!$O$9:$X$88,10,0),MAX(5,AW325-5),AW325),0)</f>
        <v>0</v>
      </c>
      <c r="O325" s="2192" t="str">
        <f>AS325&amp;" / "&amp;AT325</f>
        <v>0 / 0</v>
      </c>
      <c r="P325" s="2192" t="str">
        <f t="array" ref="P325">W325+Y325+AA325+AC325+AE325+AG325&amp;" / "&amp;IF(K325&lt;&gt;"Mantenido",0,SUM(IF($AL325:$AR325='Tablas Técnicas'!$L$10:$L$643,'Tablas Técnicas'!$H$10:$H$643,0)))</f>
        <v>0 / 0</v>
      </c>
      <c r="Q325" s="4223" t="str">
        <f>IFERROR(VLOOKUP(F325,'Tablas Técnicas'!$O$9:$T$88,5,FALSE),"")</f>
        <v/>
      </c>
      <c r="R325" s="4223"/>
      <c r="S325" s="4223"/>
      <c r="T325" s="4223"/>
      <c r="U325" s="4223"/>
      <c r="V325" s="2329"/>
      <c r="W325" s="2330"/>
      <c r="X325" s="2329"/>
      <c r="Y325" s="2331"/>
      <c r="Z325" s="2332"/>
      <c r="AA325" s="2330"/>
      <c r="AB325" s="2329"/>
      <c r="AC325" s="2331"/>
      <c r="AD325" s="2332"/>
      <c r="AE325" s="2330"/>
      <c r="AF325" s="2329"/>
      <c r="AG325" s="2333"/>
      <c r="AH325" s="2496"/>
      <c r="AI325" s="4328"/>
      <c r="AJ325" s="2785">
        <v>4</v>
      </c>
      <c r="AK325" s="2785">
        <f>P318</f>
        <v>1</v>
      </c>
      <c r="AL325" s="2785" t="str">
        <f>IF(AND(ISNUMBER(MATCH($F325,'Tablas Técnicas'!$L$10:$L$643,0)),INDEX($V335:$V341,Tablas!A$1)="",COUNTIF(AM325:$AS325,$F325)=0),$F325,IF(INDEX($V335:$V341,Tablas!A$1)="","",$F325&amp;INDEX($V335:$V341,Tablas!A$1)))</f>
        <v/>
      </c>
      <c r="AM325" s="2785" t="str">
        <f>IF(AND(ISNUMBER(MATCH($F325,'Tablas Técnicas'!$L$10:$L$643,0)),INDEX($V335:$V341,Tablas!B$1)="",COUNTIF(AN325:$AS325,$F325)=0),$F325,IF(INDEX($V335:$V341,Tablas!B$1)="","",$F325&amp;INDEX($V335:$V341,Tablas!B$1)))</f>
        <v/>
      </c>
      <c r="AN325" s="2785" t="str">
        <f>IF(AND(ISNUMBER(MATCH($F325,'Tablas Técnicas'!$L$10:$L$643,0)),INDEX($V335:$V341,Tablas!C$1)="",COUNTIF(AO325:$AS325,$F325)=0),$F325,IF(INDEX($V335:$V341,Tablas!C$1)="","",$F325&amp;INDEX($V335:$V341,Tablas!C$1)))</f>
        <v/>
      </c>
      <c r="AO325" s="2785" t="str">
        <f>IF(AND(ISNUMBER(MATCH($F325,'Tablas Técnicas'!$L$10:$L$643,0)),INDEX($V335:$V341,Tablas!D$1)="",COUNTIF(AP325:$AS325,$F325)=0),$F325,IF(INDEX($V335:$V341,Tablas!D$1)="","",$F325&amp;INDEX($V335:$V341,Tablas!D$1)))</f>
        <v/>
      </c>
      <c r="AP325" s="2785" t="str">
        <f>IF(AND(ISNUMBER(MATCH($F325,'Tablas Técnicas'!$L$10:$L$643,0)),INDEX($V335:$V341,Tablas!E$1)="",COUNTIF(AQ325:$AS325,$F325)=0),$F325,IF(INDEX($V335:$V341,Tablas!E$1)="","",$F325&amp;INDEX($V335:$V341,Tablas!E$1)))</f>
        <v/>
      </c>
      <c r="AQ325" s="2785" t="str">
        <f>IF(AND(ISNUMBER(MATCH($F325,'Tablas Técnicas'!$L$10:$L$643,0)),INDEX($V335:$V341,Tablas!F$1)="",COUNTIF(AR325:$AS325,$F325)=0),$F325,IF(INDEX($V335:$V341,Tablas!F$1)="","",$F325&amp;INDEX($V335:$V341,Tablas!F$1)))</f>
        <v/>
      </c>
      <c r="AR325" s="2785" t="str">
        <f>IF(AND(ISNUMBER(MATCH($F325,'Tablas Técnicas'!$L$10:$L$643,0)),INDEX($V335:$V341,Tablas!G$1)="",COUNTIF(AS325:$AS325,$F325)=0),$F325,IF(INDEX($V335:$V341,Tablas!G$1)="","",$F325&amp;INDEX($V335:$V341,Tablas!G$1)))</f>
        <v/>
      </c>
      <c r="AS325" s="2787">
        <f>V325+X325+Z325+AB325+AD325+AF325</f>
        <v>0</v>
      </c>
      <c r="AT325" s="2787">
        <f t="array" ref="AT325">SUM(IF($AL325:$AR325='Tablas Técnicas'!$L$10:$L$643,IF(D325="Primario",'Tablas Técnicas'!$E$10:$E$643,'Tablas Técnicas'!$F$10:$F$643)+IF(K325="Sostenimiento menor",'Tablas Técnicas'!$I$10:$I$643,IF(K325="sostenimiento mayor",'Tablas Técnicas'!$J$10:$J$643,0)),0),0)+VALUE(RIGHT(P325,2))+AU325+AV325</f>
        <v>0</v>
      </c>
      <c r="AU325" s="278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7">
        <f>(COUNTIF(AL325:AR325,"*Estado añadido:*")-1)*COUNTIF(AL325:AR325,"*Estado añadido:*")</f>
        <v>0</v>
      </c>
      <c r="AW325" s="2787">
        <f t="array" ref="AW325">SUM(IF($AL325:$AR325='Tablas Técnicas'!$L$10:$L$643,'Tablas Técnicas'!$G$10:$G$643,0))</f>
        <v>0</v>
      </c>
      <c r="AX325" s="2785" t="str">
        <f t="shared" si="82"/>
        <v/>
      </c>
      <c r="AY325" s="2785" t="str">
        <f>IFERROR(LEFT(AX325,LEN(AX325)-2)&amp;"), ","")</f>
        <v/>
      </c>
    </row>
    <row r="326" spans="1:51" ht="12.75" customHeight="1" thickBot="1" x14ac:dyDescent="0.25">
      <c r="A326" s="2487"/>
      <c r="B326" s="2368">
        <f t="shared" si="80"/>
        <v>10</v>
      </c>
      <c r="C326" s="4325"/>
      <c r="D326" s="4224" t="s">
        <v>526</v>
      </c>
      <c r="E326" s="4225"/>
      <c r="F326" s="4315"/>
      <c r="G326" s="4316"/>
      <c r="H326" s="4316"/>
      <c r="I326" s="4316"/>
      <c r="J326" s="4317"/>
      <c r="K326" s="4301" t="s">
        <v>1464</v>
      </c>
      <c r="L326" s="4302"/>
      <c r="M326" s="4303"/>
      <c r="N326" s="2489">
        <f>IF(AW326&gt;0,IF(VLOOKUP(F326,'Tablas Técnicas'!$O$9:$X$88,10,0),MAX(5,AW326-5),AW326),0)</f>
        <v>0</v>
      </c>
      <c r="O326" s="2489" t="str">
        <f>AS326&amp;" / "&amp;AT326</f>
        <v>0 / 0</v>
      </c>
      <c r="P326" s="2489" t="str">
        <f t="array" ref="P326">W326+Y326+AA326+AC326+AE326+AG326&amp;" / "&amp;IF(K326&lt;&gt;"Mantenido",0,SUM(IF($AL326:$AR326='Tablas Técnicas'!$L$10:$L$643,'Tablas Técnicas'!$H$10:$H$643,0)))</f>
        <v>0 / 0</v>
      </c>
      <c r="Q326" s="4226" t="str">
        <f>IFERROR(VLOOKUP(F326,'Tablas Técnicas'!$O$9:$T$88,5,FALSE),"")</f>
        <v/>
      </c>
      <c r="R326" s="4226"/>
      <c r="S326" s="4226"/>
      <c r="T326" s="4226"/>
      <c r="U326" s="4226"/>
      <c r="V326" s="2339"/>
      <c r="W326" s="2340"/>
      <c r="X326" s="2339"/>
      <c r="Y326" s="2341"/>
      <c r="Z326" s="2342"/>
      <c r="AA326" s="2340"/>
      <c r="AB326" s="2339"/>
      <c r="AC326" s="2341"/>
      <c r="AD326" s="2342"/>
      <c r="AE326" s="2340"/>
      <c r="AF326" s="2339"/>
      <c r="AG326" s="2343"/>
      <c r="AH326" s="2496"/>
      <c r="AI326" s="4328"/>
      <c r="AJ326" s="2785">
        <v>5</v>
      </c>
      <c r="AK326" s="2785">
        <f>P318</f>
        <v>1</v>
      </c>
      <c r="AL326" s="2785" t="str">
        <f>IF(AND(ISNUMBER(MATCH($F326,'Tablas Técnicas'!$L$10:$L$643,0)),INDEX($AB335:$AB341,Tablas!A$1)="",COUNTIF(AM326:$AS326,$F326)=0),$F326,IF(INDEX($AB335:$AB341,Tablas!A$1)="","",$F326&amp;INDEX($AB335:$AB341,Tablas!A$1)))</f>
        <v/>
      </c>
      <c r="AM326" s="2785" t="str">
        <f>IF(AND(ISNUMBER(MATCH($F326,'Tablas Técnicas'!$L$10:$L$643,0)),INDEX($AB335:$AB341,Tablas!B$1)="",COUNTIF(AN326:$AS326,$F326)=0),$F326,IF(INDEX($AB335:$AB341,Tablas!B$1)="","",$F326&amp;INDEX($AB335:$AB341,Tablas!B$1)))</f>
        <v/>
      </c>
      <c r="AN326" s="2785" t="str">
        <f>IF(AND(ISNUMBER(MATCH($F326,'Tablas Técnicas'!$L$10:$L$643,0)),INDEX($AB335:$AB341,Tablas!C$1)="",COUNTIF(AO326:$AS326,$F326)=0),$F326,IF(INDEX($AB335:$AB341,Tablas!C$1)="","",$F326&amp;INDEX($AB335:$AB341,Tablas!C$1)))</f>
        <v/>
      </c>
      <c r="AO326" s="2785" t="str">
        <f>IF(AND(ISNUMBER(MATCH($F326,'Tablas Técnicas'!$L$10:$L$643,0)),INDEX($AB335:$AB341,Tablas!D$1)="",COUNTIF(AP326:$AS326,$F326)=0),$F326,IF(INDEX($AB335:$AB341,Tablas!D$1)="","",$F326&amp;INDEX($AB335:$AB341,Tablas!D$1)))</f>
        <v/>
      </c>
      <c r="AP326" s="2785" t="str">
        <f>IF(AND(ISNUMBER(MATCH($F326,'Tablas Técnicas'!$L$10:$L$643,0)),INDEX($AB335:$AB341,Tablas!E$1)="",COUNTIF(AQ326:$AS326,$F326)=0),$F326,IF(INDEX($AB335:$AB341,Tablas!E$1)="","",$F326&amp;INDEX($AB335:$AB341,Tablas!E$1)))</f>
        <v/>
      </c>
      <c r="AQ326" s="2785" t="str">
        <f>IF(AND(ISNUMBER(MATCH($F326,'Tablas Técnicas'!$L$10:$L$643,0)),INDEX($AB335:$AB341,Tablas!F$1)="",COUNTIF(AR326:$AS326,$F326)=0),$F326,IF(INDEX($AB335:$AB341,Tablas!F$1)="","",$F326&amp;INDEX($AB335:$AB341,Tablas!F$1)))</f>
        <v/>
      </c>
      <c r="AR326" s="2785" t="str">
        <f>IF(AND(ISNUMBER(MATCH($F326,'Tablas Técnicas'!$L$10:$L$643,0)),INDEX($AB335:$AB341,Tablas!G$1)="",COUNTIF(AS326:$AS326,$F326)=0),$F326,IF(INDEX($AB335:$AB341,Tablas!G$1)="","",$F326&amp;INDEX($AB335:$AB341,Tablas!G$1)))</f>
        <v/>
      </c>
      <c r="AS326" s="2787">
        <f>V326+X326+Z326+AB326+AD326+AF326</f>
        <v>0</v>
      </c>
      <c r="AT326" s="2787">
        <f t="array" ref="AT326">SUM(IF($AL326:$AR326='Tablas Técnicas'!$L$10:$L$643,IF(D326="Primario",'Tablas Técnicas'!$E$10:$E$643,'Tablas Técnicas'!$F$10:$F$643)+IF(K326="Sostenimiento menor",'Tablas Técnicas'!$I$10:$I$643,IF(K326="sostenimiento mayor",'Tablas Técnicas'!$J$10:$J$643,0)),0),0)+VALUE(RIGHT(P326,2))+AU326+AV326</f>
        <v>0</v>
      </c>
      <c r="AU326" s="278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7">
        <f>(COUNTIF(AL326:AR326,"*Estado añadido:*")-1)*COUNTIF(AL326:AR326,"*Estado añadido:*")</f>
        <v>0</v>
      </c>
      <c r="AW326" s="2787">
        <f t="array" ref="AW326">SUM(IF($AL326:$AR326='Tablas Técnicas'!$L$10:$L$643,'Tablas Técnicas'!$G$10:$G$643,0))</f>
        <v>0</v>
      </c>
      <c r="AX326" s="2785" t="str">
        <f t="shared" si="82"/>
        <v/>
      </c>
      <c r="AY326" s="2785" t="str">
        <f t="shared" ref="AY326" si="83">IFERROR(LEFT(AX326,LEN(AX326)-2)&amp;"), ","")</f>
        <v/>
      </c>
    </row>
    <row r="327" spans="1:51" ht="12.75" customHeight="1" x14ac:dyDescent="0.2">
      <c r="A327" s="2487"/>
      <c r="B327" s="2368">
        <f t="shared" si="80"/>
        <v>10</v>
      </c>
      <c r="C327" s="4325"/>
      <c r="D327" s="4274" t="s">
        <v>2905</v>
      </c>
      <c r="E327" s="4275"/>
      <c r="F327" s="4264"/>
      <c r="G327" s="4265"/>
      <c r="H327" s="4265"/>
      <c r="I327" s="4265"/>
      <c r="J327" s="4266"/>
      <c r="K327" s="4240"/>
      <c r="L327" s="4241"/>
      <c r="M327" s="4242"/>
      <c r="N327" s="2196" t="str">
        <f>IFERROR(INDEX('Tablas Técnicas'!$Q$200:$Q$299,MATCH(F327&amp;K327,'Tablas Técnicas'!$S$200:$S$299,0)),"")</f>
        <v/>
      </c>
      <c r="O327" s="4243"/>
      <c r="P327" s="4244"/>
      <c r="Q327" s="4245"/>
      <c r="R327" s="4244"/>
      <c r="S327" s="2374" t="str">
        <f>IFERROR("Nivel: "&amp;MAX(1,INDEX('Tablas Técnicas'!$R$200:$R$299,MATCH(F327&amp;K327,'Tablas Técnicas'!$S$200:$S$299,0))),"")</f>
        <v/>
      </c>
      <c r="T327" s="2197"/>
      <c r="U327" s="2198" t="str">
        <f>IFERROR("("&amp;VLOOKUP(F327,'Tablas Técnicas'!$V$199:$X$225,3,FALSE)&amp;")","")</f>
        <v/>
      </c>
      <c r="V327" s="4187" t="s">
        <v>9924</v>
      </c>
      <c r="W327" s="4188"/>
      <c r="X327" s="4189"/>
      <c r="Y327" s="2666">
        <v>0</v>
      </c>
      <c r="Z327" s="4190" t="s">
        <v>9094</v>
      </c>
      <c r="AA327" s="4191"/>
      <c r="AB327" s="4192"/>
      <c r="AC327" s="2666">
        <v>0</v>
      </c>
      <c r="AD327" s="4193" t="str">
        <f>"Ki sin repartir: "&amp;AL335-AL336&amp;IF(AM335=0,""," ("&amp;AM335-AM336&amp;")")</f>
        <v>Ki sin repartir: 0</v>
      </c>
      <c r="AE327" s="4194"/>
      <c r="AF327" s="4194"/>
      <c r="AG327" s="4195"/>
      <c r="AH327" s="2496"/>
      <c r="AI327" s="4328"/>
      <c r="AJ327" s="2785">
        <v>1</v>
      </c>
      <c r="AK327" s="2785">
        <f>P318</f>
        <v>1</v>
      </c>
      <c r="AL327" s="2785" t="e">
        <f>VLOOKUP(F327,'Tablas Técnicas'!$V$199:$X$221,2,FALSE)</f>
        <v>#N/A</v>
      </c>
      <c r="AM327" s="2785"/>
      <c r="AN327" s="2786"/>
      <c r="AO327" s="2785"/>
      <c r="AP327" s="2785"/>
      <c r="AQ327" s="2786"/>
      <c r="AR327" s="2785"/>
      <c r="AS327" s="2785"/>
      <c r="AT327" s="2785"/>
      <c r="AU327" s="2785"/>
      <c r="AV327" s="2785"/>
      <c r="AW327" s="2787"/>
      <c r="AX327" s="2787"/>
      <c r="AY327" s="2785" t="str">
        <f>IF(F327="","",F327&amp;IF(K327="",""," ("&amp;IF(F327="Atadura Elemental",O327&amp;IF(Q327="","",", "&amp;Q327),K327)&amp;")")&amp;", ")</f>
        <v/>
      </c>
    </row>
    <row r="328" spans="1:51" ht="11.25" customHeight="1" x14ac:dyDescent="0.2">
      <c r="A328" s="2487"/>
      <c r="B328" s="2368">
        <f t="shared" si="80"/>
        <v>10</v>
      </c>
      <c r="C328" s="4325"/>
      <c r="D328" s="4276"/>
      <c r="E328" s="4277"/>
      <c r="F328" s="4246"/>
      <c r="G328" s="4247"/>
      <c r="H328" s="4247"/>
      <c r="I328" s="4247"/>
      <c r="J328" s="4248"/>
      <c r="K328" s="4249"/>
      <c r="L328" s="4250"/>
      <c r="M328" s="4251"/>
      <c r="N328" s="2199" t="str">
        <f>IFERROR(INDEX('Tablas Técnicas'!$Q$200:$Q$299,MATCH(F328&amp;K328,'Tablas Técnicas'!$S$200:$S$299,0)),"")</f>
        <v/>
      </c>
      <c r="O328" s="4252"/>
      <c r="P328" s="4253"/>
      <c r="Q328" s="4254"/>
      <c r="R328" s="4253"/>
      <c r="S328" s="2192" t="str">
        <f>IFERROR("Nivel: "&amp;MAX(1,INDEX('Tablas Técnicas'!$R$200:$R$299,MATCH(F328&amp;K328,'Tablas Técnicas'!$S$200:$S$299,0))),"")</f>
        <v/>
      </c>
      <c r="T328" s="2302"/>
      <c r="U328" s="2191" t="str">
        <f>IFERROR("("&amp;VLOOKUP(F328,'Tablas Técnicas'!$V$199:$X$225,3,FALSE)&amp;")","")</f>
        <v/>
      </c>
      <c r="V328" s="4184" t="str">
        <f>"Mod. "&amp;V320</f>
        <v>Mod. AGI</v>
      </c>
      <c r="W328" s="4185"/>
      <c r="X328" s="4184" t="str">
        <f t="shared" ref="X328" si="84">"Mod. "&amp;X320</f>
        <v>Mod. CON</v>
      </c>
      <c r="Y328" s="4185"/>
      <c r="Z328" s="4184" t="str">
        <f t="shared" ref="Z328" si="85">"Mod. "&amp;Z320</f>
        <v>Mod. DES</v>
      </c>
      <c r="AA328" s="4185"/>
      <c r="AB328" s="4184" t="str">
        <f t="shared" ref="AB328" si="86">"Mod. "&amp;AB320</f>
        <v>Mod. FUE</v>
      </c>
      <c r="AC328" s="4185"/>
      <c r="AD328" s="4184" t="str">
        <f t="shared" ref="AD328" si="87">"Mod. "&amp;AD320</f>
        <v>Mod. POD</v>
      </c>
      <c r="AE328" s="4185"/>
      <c r="AF328" s="4184" t="str">
        <f t="shared" ref="AF328" si="88">"Mod. "&amp;AF320</f>
        <v>Mod. VOL</v>
      </c>
      <c r="AG328" s="4186"/>
      <c r="AH328" s="2496"/>
      <c r="AI328" s="4328"/>
      <c r="AJ328" s="2785">
        <v>2</v>
      </c>
      <c r="AK328" s="2785">
        <f>P318</f>
        <v>1</v>
      </c>
      <c r="AL328" s="2785" t="e">
        <f>VLOOKUP(F328,'Tablas Técnicas'!$V$199:$X$221,2,FALSE)</f>
        <v>#N/A</v>
      </c>
      <c r="AM328" s="2785"/>
      <c r="AN328" s="2786"/>
      <c r="AO328" s="2785"/>
      <c r="AP328" s="2785"/>
      <c r="AQ328" s="2786"/>
      <c r="AR328" s="2785"/>
      <c r="AS328" s="2785"/>
      <c r="AT328" s="2785"/>
      <c r="AU328" s="2785"/>
      <c r="AV328" s="2785"/>
      <c r="AW328" s="2787"/>
      <c r="AX328" s="2787"/>
      <c r="AY328" s="2785" t="str">
        <f>IF(F328="","",F328&amp;IF(K328="",""," ("&amp;IF(F328="Atadura Elemental",O328&amp;IF(Q328="","",", "&amp;Q328),K328)&amp;")")&amp;", ")</f>
        <v/>
      </c>
    </row>
    <row r="329" spans="1:51" ht="12.75" customHeight="1" thickBot="1" x14ac:dyDescent="0.25">
      <c r="A329" s="2487"/>
      <c r="B329" s="2368">
        <f t="shared" si="80"/>
        <v>10</v>
      </c>
      <c r="C329" s="4325"/>
      <c r="D329" s="4278"/>
      <c r="E329" s="4279"/>
      <c r="F329" s="4255"/>
      <c r="G329" s="4256"/>
      <c r="H329" s="4256"/>
      <c r="I329" s="4256"/>
      <c r="J329" s="4257"/>
      <c r="K329" s="4258"/>
      <c r="L329" s="4259"/>
      <c r="M329" s="4260"/>
      <c r="N329" s="2200" t="str">
        <f>IFERROR(INDEX('Tablas Técnicas'!$Q$200:$Q$299,MATCH(F329&amp;K329,'Tablas Técnicas'!$S$200:$S$299,0)),"")</f>
        <v/>
      </c>
      <c r="O329" s="4261"/>
      <c r="P329" s="4262"/>
      <c r="Q329" s="4263"/>
      <c r="R329" s="4262"/>
      <c r="S329" s="2489" t="str">
        <f>IFERROR("Nivel: "&amp;MAX(1,INDEX('Tablas Técnicas'!$R$200:$R$299,MATCH(F329&amp;K329,'Tablas Técnicas'!$S$200:$S$299,0))),"")</f>
        <v/>
      </c>
      <c r="T329" s="2490"/>
      <c r="U329" s="2303" t="str">
        <f>IFERROR("("&amp;VLOOKUP(F329,'Tablas Técnicas'!$V$199:$X$225,3,FALSE)&amp;")","")</f>
        <v/>
      </c>
      <c r="V329" s="4199"/>
      <c r="W329" s="4198"/>
      <c r="X329" s="4198"/>
      <c r="Y329" s="4198"/>
      <c r="Z329" s="4198"/>
      <c r="AA329" s="4198"/>
      <c r="AB329" s="4198"/>
      <c r="AC329" s="4198"/>
      <c r="AD329" s="4198"/>
      <c r="AE329" s="4198"/>
      <c r="AF329" s="4198"/>
      <c r="AG329" s="4267"/>
      <c r="AH329" s="2496"/>
      <c r="AI329" s="4328"/>
      <c r="AJ329" s="2785">
        <v>3</v>
      </c>
      <c r="AK329" s="2785">
        <f>P318</f>
        <v>1</v>
      </c>
      <c r="AL329" s="2785" t="e">
        <f>VLOOKUP(F329,'Tablas Técnicas'!$V$199:$X$221,2,FALSE)</f>
        <v>#N/A</v>
      </c>
      <c r="AM329" s="2785"/>
      <c r="AN329" s="2786"/>
      <c r="AO329" s="2785"/>
      <c r="AP329" s="2785"/>
      <c r="AQ329" s="2786"/>
      <c r="AR329" s="2787"/>
      <c r="AS329" s="2787"/>
      <c r="AT329" s="2787"/>
      <c r="AU329" s="2787"/>
      <c r="AV329" s="2787"/>
      <c r="AW329" s="2787"/>
      <c r="AX329" s="2787"/>
      <c r="AY329" s="2785" t="str">
        <f>IF(F329="","",F329&amp;IF(K329="",""," ("&amp;IF(F329="Atadura Elemental",O329&amp;IF(Q329="","",", "&amp;Q329),K329)&amp;")")&amp;", ")</f>
        <v/>
      </c>
    </row>
    <row r="330" spans="1:51" ht="12.75" customHeight="1" x14ac:dyDescent="0.2">
      <c r="A330" s="2487"/>
      <c r="B330" s="2368">
        <f t="shared" si="80"/>
        <v>10</v>
      </c>
      <c r="C330" s="4325"/>
      <c r="D330" s="4213" t="s">
        <v>9596</v>
      </c>
      <c r="E330" s="4214"/>
      <c r="F330" s="4214"/>
      <c r="G330" s="4214"/>
      <c r="H330" s="4214"/>
      <c r="I330" s="4214"/>
      <c r="J330" s="4214"/>
      <c r="K330" s="4214"/>
      <c r="L330" s="4214"/>
      <c r="M330" s="4214"/>
      <c r="N330" s="4214"/>
      <c r="O330" s="4214"/>
      <c r="P330" s="4214"/>
      <c r="Q330" s="4214"/>
      <c r="R330" s="4214"/>
      <c r="S330" s="4214"/>
      <c r="T330" s="4214"/>
      <c r="U330" s="4214"/>
      <c r="V330" s="4215"/>
      <c r="W330" s="4215"/>
      <c r="X330" s="4215"/>
      <c r="Y330" s="4215"/>
      <c r="Z330" s="4215"/>
      <c r="AA330" s="4215"/>
      <c r="AB330" s="4215"/>
      <c r="AC330" s="4215"/>
      <c r="AD330" s="4215"/>
      <c r="AE330" s="4215"/>
      <c r="AF330" s="4215"/>
      <c r="AG330" s="4216"/>
      <c r="AH330" s="2496"/>
      <c r="AI330" s="4328"/>
      <c r="AJ330" s="2785"/>
      <c r="AK330" s="2785"/>
      <c r="AL330" s="2785"/>
      <c r="AM330" s="2785"/>
      <c r="AN330" s="2786" t="s">
        <v>9095</v>
      </c>
      <c r="AO330" s="2785" t="e">
        <f>LEFT(AY322&amp;AY323&amp;AY324&amp;AY325&amp;AY326,LEN(AY322&amp;AY323&amp;AY324&amp;AY325&amp;AY326)-2)</f>
        <v>#VALUE!</v>
      </c>
      <c r="AP330" s="2785"/>
      <c r="AQ330" s="2786"/>
      <c r="AR330" s="2787"/>
      <c r="AS330" s="2787"/>
      <c r="AT330" s="2787"/>
      <c r="AU330" s="2786"/>
      <c r="AV330" s="2786"/>
      <c r="AW330" s="2787"/>
      <c r="AX330" s="2787"/>
      <c r="AY330" s="2785"/>
    </row>
    <row r="331" spans="1:51" ht="12.75" customHeight="1" x14ac:dyDescent="0.2">
      <c r="A331" s="2487"/>
      <c r="B331" s="2368">
        <f t="shared" si="80"/>
        <v>10</v>
      </c>
      <c r="C331" s="4325"/>
      <c r="D331" s="4217" t="str">
        <f>IF(F322="","",F322)</f>
        <v/>
      </c>
      <c r="E331" s="4211"/>
      <c r="F331" s="4211"/>
      <c r="G331" s="4211"/>
      <c r="H331" s="4211"/>
      <c r="I331" s="4218"/>
      <c r="J331" s="4217" t="str">
        <f>IF(F323="","",F323)</f>
        <v/>
      </c>
      <c r="K331" s="4211"/>
      <c r="L331" s="4211"/>
      <c r="M331" s="4211"/>
      <c r="N331" s="4211"/>
      <c r="O331" s="4218"/>
      <c r="P331" s="4211" t="str">
        <f>IF(F324="","",F324)</f>
        <v/>
      </c>
      <c r="Q331" s="4211"/>
      <c r="R331" s="4211"/>
      <c r="S331" s="4211"/>
      <c r="T331" s="4211"/>
      <c r="U331" s="4218"/>
      <c r="V331" s="4217" t="str">
        <f>IF(F325="","",F325)</f>
        <v/>
      </c>
      <c r="W331" s="4211"/>
      <c r="X331" s="4211"/>
      <c r="Y331" s="4211"/>
      <c r="Z331" s="4211"/>
      <c r="AA331" s="4218"/>
      <c r="AB331" s="4211" t="str">
        <f>IF(F326="","",F326)</f>
        <v/>
      </c>
      <c r="AC331" s="4211"/>
      <c r="AD331" s="4211"/>
      <c r="AE331" s="4211"/>
      <c r="AF331" s="4211"/>
      <c r="AG331" s="4212"/>
      <c r="AH331" s="2496"/>
      <c r="AI331" s="4328"/>
      <c r="AJ331" s="2785"/>
      <c r="AK331" s="2785"/>
      <c r="AL331" s="2785"/>
      <c r="AM331" s="2785"/>
      <c r="AN331" s="2786" t="s">
        <v>9096</v>
      </c>
      <c r="AO331" s="2785" t="e">
        <f>LEFT(AY327&amp;AY328&amp;AY329,LEN(AY327&amp;AY328&amp;AY329)-2)</f>
        <v>#VALUE!</v>
      </c>
      <c r="AP331" s="2785"/>
      <c r="AQ331" s="2786"/>
      <c r="AR331" s="2787"/>
      <c r="AS331" s="2787"/>
      <c r="AT331" s="2787"/>
      <c r="AU331" s="2786"/>
      <c r="AV331" s="2786"/>
      <c r="AW331" s="2787"/>
      <c r="AX331" s="2787"/>
      <c r="AY331" s="2785"/>
    </row>
    <row r="332" spans="1:51" ht="12.75" customHeight="1" x14ac:dyDescent="0.2">
      <c r="A332" s="2487"/>
      <c r="B332" s="2368">
        <f t="shared" si="80"/>
        <v>10</v>
      </c>
      <c r="C332" s="4325"/>
      <c r="D332" s="2312" t="s">
        <v>1845</v>
      </c>
      <c r="E332" s="2188" t="str">
        <f>IFERROR(VLOOKUP(D331,'Tablas Técnicas'!$O$9:$T$88,3,FALSE),"")</f>
        <v/>
      </c>
      <c r="F332" s="2305"/>
      <c r="G332" s="2304"/>
      <c r="H332" s="2304" t="s">
        <v>1371</v>
      </c>
      <c r="I332" s="2188" t="str">
        <f>IFERROR(VLOOKUP(D331,'Tablas Técnicas'!$O$9:$T$88,4,FALSE),"")</f>
        <v/>
      </c>
      <c r="J332" s="2312" t="s">
        <v>1845</v>
      </c>
      <c r="K332" s="2188" t="str">
        <f>IFERROR(VLOOKUP(J331,'Tablas Técnicas'!$O$9:$T$88,3,FALSE),"")</f>
        <v/>
      </c>
      <c r="L332" s="2305"/>
      <c r="M332" s="2304"/>
      <c r="N332" s="2304" t="s">
        <v>1371</v>
      </c>
      <c r="O332" s="2201" t="str">
        <f>IFERROR(VLOOKUP(J331,'Tablas Técnicas'!$O$9:$T$88,4,FALSE),"")</f>
        <v/>
      </c>
      <c r="P332" s="2304" t="s">
        <v>1845</v>
      </c>
      <c r="Q332" s="2188" t="str">
        <f>IFERROR(VLOOKUP(P331,'Tablas Técnicas'!$O$9:$T$88,3,FALSE),"")</f>
        <v/>
      </c>
      <c r="R332" s="2305"/>
      <c r="S332" s="2304"/>
      <c r="T332" s="2304" t="s">
        <v>1371</v>
      </c>
      <c r="U332" s="2188" t="str">
        <f>IFERROR(VLOOKUP(P331,'Tablas Técnicas'!$O$9:$T$88,4,FALSE),"")</f>
        <v/>
      </c>
      <c r="V332" s="2312" t="s">
        <v>1845</v>
      </c>
      <c r="W332" s="2188" t="str">
        <f>IFERROR(VLOOKUP(V331,'Tablas Técnicas'!$O$9:$T$88,3,FALSE),"")</f>
        <v/>
      </c>
      <c r="X332" s="2305"/>
      <c r="Y332" s="2304"/>
      <c r="Z332" s="2304" t="s">
        <v>1371</v>
      </c>
      <c r="AA332" s="2201" t="str">
        <f>IFERROR(VLOOKUP(V331,'Tablas Técnicas'!$O$9:$T$88,4,FALSE),"")</f>
        <v/>
      </c>
      <c r="AB332" s="2304" t="s">
        <v>1845</v>
      </c>
      <c r="AC332" s="2188" t="str">
        <f>IFERROR(VLOOKUP(AB331,'Tablas Técnicas'!$O$9:$T$88,3,FALSE),"")</f>
        <v/>
      </c>
      <c r="AD332" s="2305"/>
      <c r="AE332" s="2304"/>
      <c r="AF332" s="2304" t="s">
        <v>1371</v>
      </c>
      <c r="AG332" s="2202" t="str">
        <f>IFERROR(VLOOKUP(AB331,'Tablas Técnicas'!$O$9:$T$88,4,FALSE),"")</f>
        <v/>
      </c>
      <c r="AH332" s="2496"/>
      <c r="AI332" s="4328"/>
      <c r="AJ332" s="2785"/>
      <c r="AK332" s="2785"/>
      <c r="AL332" s="2785"/>
      <c r="AM332" s="2785"/>
      <c r="AN332" s="2786"/>
      <c r="AO332" s="2785"/>
      <c r="AP332" s="2785"/>
      <c r="AQ332" s="2786"/>
      <c r="AR332" s="2787"/>
      <c r="AS332" s="2787"/>
      <c r="AT332" s="2787"/>
      <c r="AU332" s="2787"/>
      <c r="AV332" s="2787"/>
      <c r="AW332" s="2787"/>
      <c r="AX332" s="2787"/>
      <c r="AY332" s="2785"/>
    </row>
    <row r="333" spans="1:51" ht="12.75" customHeight="1" x14ac:dyDescent="0.2">
      <c r="A333" s="2487"/>
      <c r="B333" s="2368">
        <f t="shared" si="80"/>
        <v>10</v>
      </c>
      <c r="C333" s="4325"/>
      <c r="D333" s="2313" t="s">
        <v>9097</v>
      </c>
      <c r="E333" s="2304"/>
      <c r="F333" s="2305"/>
      <c r="G333" s="2306"/>
      <c r="H333" s="2306"/>
      <c r="I333" s="2303" t="str">
        <f>IFERROR(IF(D331="Ataque Elemental",IF(NOT(ISNA(VLOOKUP(D335,'Tablas Técnicas'!$Z$25:$Z$30,1,0))),D335,"Variable"),VLOOKUP(D331,'Tablas Técnicas'!$O$9:$W$88,9,FALSE)),"")</f>
        <v/>
      </c>
      <c r="J333" s="2203" t="s">
        <v>9097</v>
      </c>
      <c r="K333" s="2491"/>
      <c r="L333" s="2492"/>
      <c r="M333" s="2493"/>
      <c r="N333" s="2493"/>
      <c r="O333" s="2204" t="str">
        <f>IFERROR(IF(J331="Ataque Elemental",IF(NOT(ISNA(VLOOKUP(J335,'Tablas Técnicas'!$Z$25:$Z$30,1,0))),J335,"Variable"),VLOOKUP(J331,'Tablas Técnicas'!$O$9:$W$88,9,FALSE)),"")</f>
        <v/>
      </c>
      <c r="P333" s="2494" t="s">
        <v>9097</v>
      </c>
      <c r="Q333" s="2491"/>
      <c r="R333" s="2492"/>
      <c r="S333" s="2493"/>
      <c r="T333" s="2493"/>
      <c r="U333" s="2303" t="str">
        <f>IFERROR(IF(P331="Ataque Elemental",IF(NOT(ISNA(VLOOKUP(P335,'Tablas Técnicas'!$Z$25:$Z$30,1,0))),P335,"Variable"),VLOOKUP(P331,'Tablas Técnicas'!$O$9:$W$88,9,FALSE)),"")</f>
        <v/>
      </c>
      <c r="V333" s="2203" t="s">
        <v>9097</v>
      </c>
      <c r="W333" s="2491"/>
      <c r="X333" s="2492"/>
      <c r="Y333" s="2493"/>
      <c r="Z333" s="2493"/>
      <c r="AA333" s="2204" t="str">
        <f>IFERROR(IF(V331="Ataque Elemental",IF(NOT(ISNA(VLOOKUP(V335,'Tablas Técnicas'!$Z$25:$Z$30,1,0))),V335,"Variable"),VLOOKUP(V331,'Tablas Técnicas'!$O$9:$W$88,9,FALSE)),"")</f>
        <v/>
      </c>
      <c r="AB333" s="2494" t="s">
        <v>9097</v>
      </c>
      <c r="AC333" s="2491"/>
      <c r="AD333" s="2492"/>
      <c r="AE333" s="2493"/>
      <c r="AF333" s="2493"/>
      <c r="AG333" s="2319" t="str">
        <f>IFERROR(IF(AB331="Ataque Elemental",IF(NOT(ISNA(VLOOKUP(AB335,'Tablas Técnicas'!$Z$25:$Z$30,1,0))),AB335,"Variable"),VLOOKUP(AB331,'Tablas Técnicas'!$O$9:$W$88,9,FALSE)),"")</f>
        <v/>
      </c>
      <c r="AH333" s="2496"/>
      <c r="AI333" s="4328"/>
      <c r="AJ333" s="2785"/>
      <c r="AK333" s="2787" t="s">
        <v>1381</v>
      </c>
      <c r="AL333" s="2787" t="s">
        <v>1506</v>
      </c>
      <c r="AM333" s="2787" t="s">
        <v>1386</v>
      </c>
      <c r="AN333" s="2787" t="s">
        <v>1391</v>
      </c>
      <c r="AO333" s="2787" t="s">
        <v>1399</v>
      </c>
      <c r="AP333" s="2787" t="s">
        <v>1400</v>
      </c>
      <c r="AQ333" s="2786"/>
      <c r="AR333" s="2787"/>
      <c r="AS333" s="2787"/>
      <c r="AT333" s="2787"/>
      <c r="AU333" s="2787"/>
      <c r="AV333" s="2787"/>
      <c r="AW333" s="2787"/>
      <c r="AX333" s="2787"/>
      <c r="AY333" s="2785"/>
    </row>
    <row r="334" spans="1:51" ht="12.75" customHeight="1" x14ac:dyDescent="0.2">
      <c r="A334" s="2487"/>
      <c r="B334" s="2368">
        <f t="shared" si="80"/>
        <v>10</v>
      </c>
      <c r="C334" s="4325"/>
      <c r="D334" s="4217" t="s">
        <v>2913</v>
      </c>
      <c r="E334" s="4211"/>
      <c r="F334" s="4211"/>
      <c r="G334" s="4211"/>
      <c r="H334" s="4218"/>
      <c r="I334" s="2205" t="s">
        <v>1411</v>
      </c>
      <c r="J334" s="4217" t="s">
        <v>2913</v>
      </c>
      <c r="K334" s="4211"/>
      <c r="L334" s="4211"/>
      <c r="M334" s="4211"/>
      <c r="N334" s="4218"/>
      <c r="O334" s="2206" t="s">
        <v>1411</v>
      </c>
      <c r="P334" s="4217" t="s">
        <v>2913</v>
      </c>
      <c r="Q334" s="4211"/>
      <c r="R334" s="4211"/>
      <c r="S334" s="4211"/>
      <c r="T334" s="4218"/>
      <c r="U334" s="2206" t="s">
        <v>1411</v>
      </c>
      <c r="V334" s="4217"/>
      <c r="W334" s="4211"/>
      <c r="X334" s="4211"/>
      <c r="Y334" s="4211"/>
      <c r="Z334" s="4218"/>
      <c r="AA334" s="2206" t="s">
        <v>1411</v>
      </c>
      <c r="AB334" s="4217" t="s">
        <v>2913</v>
      </c>
      <c r="AC334" s="4211"/>
      <c r="AD334" s="4211"/>
      <c r="AE334" s="4211"/>
      <c r="AF334" s="4218"/>
      <c r="AG334" s="2207" t="s">
        <v>1411</v>
      </c>
      <c r="AH334" s="2496"/>
      <c r="AI334" s="4328"/>
      <c r="AJ334" s="2790" t="s">
        <v>9633</v>
      </c>
      <c r="AK334" s="2785" t="str">
        <f>IF(V320="","",IF(SUM(V322:V326)=0,"",V320&amp;" "&amp;SUM(V322:V326)+V329&amp;IF(SUM(W322:W326)=0,""," ("&amp;SUM(W322:W326)&amp;")")&amp;", "))</f>
        <v/>
      </c>
      <c r="AL334" s="2785" t="str">
        <f>IF(X320="","",IF(SUM(X322:X326)=0,"",X320&amp;" "&amp;SUM(X322:X326)+X329&amp;IF(SUM(Y322:Y326)=0,""," ("&amp;SUM(Y322:Y326)&amp;")")&amp;", "))</f>
        <v/>
      </c>
      <c r="AM334" s="2785" t="str">
        <f>IF(Z320="","",IF(SUM(Z322:Z326)=0,"",Z320&amp;" "&amp;SUM(Z322:Z326)+Z329&amp;IF(SUM(AA322:AA326)=0,""," ("&amp;SUM(AA322:AA326)&amp;")")&amp;", "))</f>
        <v/>
      </c>
      <c r="AN334" s="2785" t="str">
        <f>IF(AB320="","",IF(SUM(AB322:AB326)=0,"",AB320&amp;" "&amp;SUM(AB322:AB326)+AB329&amp;IF(SUM(AC322:AC326)=0,""," ("&amp;SUM(AC322:AC326)&amp;")")&amp;", "))</f>
        <v/>
      </c>
      <c r="AO334" s="2785" t="str">
        <f>IF(AD320="","",IF(SUM(AD322:AD326)=0,"",AD320&amp;" "&amp;SUM(AD322:AD326)+AD329&amp;IF(SUM(AE322:AE326)=0,""," ("&amp;SUM(AE322:AE326)&amp;")")&amp;", "))</f>
        <v/>
      </c>
      <c r="AP334" s="2785" t="str">
        <f>IF(AF320="","",IF(SUM(AF322:AF326)=0,"",AF320&amp;" "&amp;SUM(AF322:AF326)+AF329&amp;IF(SUM(AG322:AG326)=0,""," ("&amp;SUM(AG322:AG326)&amp;")")&amp;", "))</f>
        <v/>
      </c>
      <c r="AQ334" s="2785"/>
      <c r="AR334" s="2785"/>
      <c r="AS334" s="2785"/>
      <c r="AT334" s="2785"/>
      <c r="AU334" s="2785"/>
      <c r="AV334" s="2785"/>
      <c r="AW334" s="2785"/>
      <c r="AX334" s="2785"/>
      <c r="AY334" s="2785"/>
    </row>
    <row r="335" spans="1:51" ht="12.75" customHeight="1" x14ac:dyDescent="0.2">
      <c r="A335" s="2487"/>
      <c r="B335" s="2368">
        <f t="shared" si="80"/>
        <v>10</v>
      </c>
      <c r="C335" s="4325"/>
      <c r="D335" s="4219"/>
      <c r="E335" s="4197"/>
      <c r="F335" s="4197"/>
      <c r="G335" s="4197"/>
      <c r="H335" s="4197"/>
      <c r="I335" s="2208" t="str">
        <f>IF(OR(D331="",D335=""),"",MAX(1,SUMPRODUCT(--(INDEX('Tablas Técnicas'!$C$10:$L$643,,1)=D331),--(INDEX('Tablas Técnicas'!$C$10:$L$643,,2)=D335),INDEX('Tablas Técnicas'!$C$10:$L$643,,9))))</f>
        <v/>
      </c>
      <c r="J335" s="4196"/>
      <c r="K335" s="4197"/>
      <c r="L335" s="4197"/>
      <c r="M335" s="4197"/>
      <c r="N335" s="4197"/>
      <c r="O335" s="2208" t="str">
        <f>IF(OR(J331="",J335=""),"",MAX(1,SUMPRODUCT(--(INDEX('Tablas Técnicas'!$C$10:$L$643,,1)=J331),--(INDEX('Tablas Técnicas'!$C$10:$L$643,,2)=J335),INDEX('Tablas Técnicas'!$C$10:$L$643,,9))))</f>
        <v/>
      </c>
      <c r="P335" s="4196"/>
      <c r="Q335" s="4197"/>
      <c r="R335" s="4197"/>
      <c r="S335" s="4197"/>
      <c r="T335" s="4197"/>
      <c r="U335" s="2208" t="str">
        <f>IF(OR(P331="",P335=""),"",MAX(1,SUMPRODUCT(--(INDEX('Tablas Técnicas'!$C$10:$L$643,,1)=P331),--(INDEX('Tablas Técnicas'!$C$10:$L$643,,2)=P335),INDEX('Tablas Técnicas'!$C$10:$L$643,,9))))</f>
        <v/>
      </c>
      <c r="V335" s="4196"/>
      <c r="W335" s="4197"/>
      <c r="X335" s="4197"/>
      <c r="Y335" s="4197"/>
      <c r="Z335" s="4197"/>
      <c r="AA335" s="2208" t="str">
        <f>IF(OR(V331="",V335=""),"",MAX(1,SUMPRODUCT(--(INDEX('Tablas Técnicas'!$C$10:$L$643,,1)=V331),--(INDEX('Tablas Técnicas'!$C$10:$L$643,,2)=V335),INDEX('Tablas Técnicas'!$C$10:$L$643,,9))))</f>
        <v/>
      </c>
      <c r="AB335" s="4196"/>
      <c r="AC335" s="4197"/>
      <c r="AD335" s="4197"/>
      <c r="AE335" s="4197"/>
      <c r="AF335" s="4197"/>
      <c r="AG335" s="2209" t="str">
        <f>IF(OR(AB331="",AB335=""),"",MAX(1,SUMPRODUCT(--(INDEX('Tablas Técnicas'!$C$10:$L$643,,1)=AB331),--(INDEX('Tablas Técnicas'!$C$10:$L$643,,2)=AB335),INDEX('Tablas Técnicas'!$C$10:$L$643,,9))))</f>
        <v/>
      </c>
      <c r="AH335" s="2496">
        <f>P318</f>
        <v>1</v>
      </c>
      <c r="AI335" s="4328"/>
      <c r="AJ335" s="2785" t="s">
        <v>9597</v>
      </c>
      <c r="AK335" s="2785"/>
      <c r="AL335" s="2785">
        <f>MAX(0,SUM(AT322:AT326)+ABS($AC327*2/5))+IF(AM344,0,Y327)+IF(S318="Si",3*P318,0)</f>
        <v>0</v>
      </c>
      <c r="AM335" s="2785">
        <f t="array" ref="AM335">IF(ISNUMBER(SEARCH("Mantenido",K322&amp;K323&amp;K324&amp;K325&amp;K326)),MAX(0,SUM(VALUE(RIGHT($P322:$P326,2)))),0)</f>
        <v>0</v>
      </c>
      <c r="AN335" s="2787"/>
      <c r="AO335" s="2787"/>
      <c r="AP335" s="2792"/>
      <c r="AQ335" s="2792"/>
      <c r="AR335" s="2792"/>
      <c r="AS335" s="2792"/>
      <c r="AT335" s="2792"/>
      <c r="AU335" s="2792"/>
      <c r="AV335" s="2792"/>
      <c r="AW335" s="2792"/>
      <c r="AX335" s="2792"/>
      <c r="AY335" s="2785"/>
    </row>
    <row r="336" spans="1:51" ht="12.75" customHeight="1" x14ac:dyDescent="0.2">
      <c r="A336" s="2487"/>
      <c r="B336" s="2368">
        <f t="shared" si="80"/>
        <v>10</v>
      </c>
      <c r="C336" s="4325"/>
      <c r="D336" s="4200"/>
      <c r="E336" s="4201"/>
      <c r="F336" s="4201"/>
      <c r="G336" s="4201"/>
      <c r="H336" s="4201"/>
      <c r="I336" s="2210" t="str">
        <f>IF(OR(D331="",D336=""),"",MAX(1,SUMPRODUCT(--(INDEX('Tablas Técnicas'!$C$10:$L$643,,1)=D331),--(INDEX('Tablas Técnicas'!$C$10:$L$643,,2)=D336),INDEX('Tablas Técnicas'!$C$10:$L$643,,9))))</f>
        <v/>
      </c>
      <c r="J336" s="4200"/>
      <c r="K336" s="4201"/>
      <c r="L336" s="4201"/>
      <c r="M336" s="4201"/>
      <c r="N336" s="4201"/>
      <c r="O336" s="2210" t="str">
        <f>IF(OR(J331="",J336=""),"",MAX(1,SUMPRODUCT(--(INDEX('Tablas Técnicas'!$C$10:$L$643,,1)=J331),--(INDEX('Tablas Técnicas'!$C$10:$L$643,,2)=J336),INDEX('Tablas Técnicas'!$C$10:$L$643,,9))))</f>
        <v/>
      </c>
      <c r="P336" s="4200"/>
      <c r="Q336" s="4201"/>
      <c r="R336" s="4201"/>
      <c r="S336" s="4201"/>
      <c r="T336" s="4201"/>
      <c r="U336" s="2210" t="str">
        <f>IF(OR(P331="",P336=""),"",MAX(1,SUMPRODUCT(--(INDEX('Tablas Técnicas'!$C$10:$L$643,,1)=P331),--(INDEX('Tablas Técnicas'!$C$10:$L$643,,2)=P336),INDEX('Tablas Técnicas'!$C$10:$L$643,,9))))</f>
        <v/>
      </c>
      <c r="V336" s="4200"/>
      <c r="W336" s="4201"/>
      <c r="X336" s="4201"/>
      <c r="Y336" s="4201"/>
      <c r="Z336" s="4201"/>
      <c r="AA336" s="2210" t="str">
        <f>IF(OR(V331="",V336=""),"",MAX(1,SUMPRODUCT(--(INDEX('Tablas Técnicas'!$C$10:$L$643,,1)=V331),--(INDEX('Tablas Técnicas'!$C$10:$L$643,,2)=V336),INDEX('Tablas Técnicas'!$C$10:$L$643,,9))))</f>
        <v/>
      </c>
      <c r="AB336" s="4200"/>
      <c r="AC336" s="4201"/>
      <c r="AD336" s="4201"/>
      <c r="AE336" s="4201"/>
      <c r="AF336" s="4201"/>
      <c r="AG336" s="2211" t="str">
        <f>IF(OR(AB331="",AB336=""),"",MAX(1,SUMPRODUCT(--(INDEX('Tablas Técnicas'!$C$10:$L$643,,1)=AB331),--(INDEX('Tablas Técnicas'!$C$10:$L$643,,2)=AB336),INDEX('Tablas Técnicas'!$C$10:$L$643,,9))))</f>
        <v/>
      </c>
      <c r="AH336" s="2496">
        <f>P318</f>
        <v>1</v>
      </c>
      <c r="AI336" s="4328"/>
      <c r="AJ336" s="2785" t="s">
        <v>9099</v>
      </c>
      <c r="AK336" s="2785"/>
      <c r="AL336" s="2785">
        <f>SUM(V322:V326,X322:X326,Z322:Z326,AB322:AB326,AD322:AD326,AF322:AF326)+SUM(V329:AG329)</f>
        <v>0</v>
      </c>
      <c r="AM336" s="2785">
        <f>SUM(W322:W326,Y322:Y326,AA322:AA326,AC322:AC326,AE322:AE326,AG322:AG326)</f>
        <v>0</v>
      </c>
      <c r="AN336" s="2785"/>
      <c r="AO336" s="2785"/>
      <c r="AP336" s="2785"/>
      <c r="AQ336" s="2785"/>
      <c r="AR336" s="2785"/>
      <c r="AS336" s="2785"/>
      <c r="AT336" s="2785"/>
      <c r="AU336" s="2785"/>
      <c r="AV336" s="2785"/>
      <c r="AW336" s="2787"/>
      <c r="AX336" s="2785"/>
      <c r="AY336" s="2785"/>
    </row>
    <row r="337" spans="1:51" ht="12.75" customHeight="1" x14ac:dyDescent="0.2">
      <c r="A337" s="2487"/>
      <c r="B337" s="2368">
        <f t="shared" si="80"/>
        <v>10</v>
      </c>
      <c r="C337" s="4325"/>
      <c r="D337" s="4200"/>
      <c r="E337" s="4201"/>
      <c r="F337" s="4201"/>
      <c r="G337" s="4201"/>
      <c r="H337" s="4201"/>
      <c r="I337" s="2210" t="str">
        <f>IF(OR(D331="",D337=""),"",MAX(1,SUMPRODUCT(--(INDEX('Tablas Técnicas'!$C$10:$L$643,,1)=D331),--(INDEX('Tablas Técnicas'!$C$10:$L$643,,2)=D337),INDEX('Tablas Técnicas'!$C$10:$L$643,,9))))</f>
        <v/>
      </c>
      <c r="J337" s="4200"/>
      <c r="K337" s="4201"/>
      <c r="L337" s="4201"/>
      <c r="M337" s="4201"/>
      <c r="N337" s="4201"/>
      <c r="O337" s="2210" t="str">
        <f>IF(OR(J331="",J337=""),"",MAX(1,SUMPRODUCT(--(INDEX('Tablas Técnicas'!$C$10:$L$643,,1)=J331),--(INDEX('Tablas Técnicas'!$C$10:$L$643,,2)=J337),INDEX('Tablas Técnicas'!$C$10:$L$643,,9))))</f>
        <v/>
      </c>
      <c r="P337" s="4200"/>
      <c r="Q337" s="4201"/>
      <c r="R337" s="4201"/>
      <c r="S337" s="4201"/>
      <c r="T337" s="4201"/>
      <c r="U337" s="2210" t="str">
        <f>IF(OR(P331="",P337=""),"",MAX(1,SUMPRODUCT(--(INDEX('Tablas Técnicas'!$C$10:$L$643,,1)=P331),--(INDEX('Tablas Técnicas'!$C$10:$L$643,,2)=P337),INDEX('Tablas Técnicas'!$C$10:$L$643,,9))))</f>
        <v/>
      </c>
      <c r="V337" s="4200"/>
      <c r="W337" s="4201"/>
      <c r="X337" s="4201"/>
      <c r="Y337" s="4201"/>
      <c r="Z337" s="4201"/>
      <c r="AA337" s="2210" t="str">
        <f>IF(OR(V331="",V337=""),"",MAX(1,SUMPRODUCT(--(INDEX('Tablas Técnicas'!$C$10:$L$643,,1)=V331),--(INDEX('Tablas Técnicas'!$C$10:$L$643,,2)=V337),INDEX('Tablas Técnicas'!$C$10:$L$643,,9))))</f>
        <v/>
      </c>
      <c r="AB337" s="4200"/>
      <c r="AC337" s="4201"/>
      <c r="AD337" s="4201"/>
      <c r="AE337" s="4201"/>
      <c r="AF337" s="4201"/>
      <c r="AG337" s="2211" t="str">
        <f>IF(OR(AB331="",AB337=""),"",MAX(1,SUMPRODUCT(--(INDEX('Tablas Técnicas'!$C$10:$L$643,,1)=AB331),--(INDEX('Tablas Técnicas'!$C$10:$L$643,,2)=AB337),INDEX('Tablas Técnicas'!$C$10:$L$643,,9))))</f>
        <v/>
      </c>
      <c r="AH337" s="2496">
        <f>P318</f>
        <v>1</v>
      </c>
      <c r="AI337" s="4328"/>
      <c r="AJ337" s="2785"/>
      <c r="AK337" s="2785"/>
      <c r="AL337" s="2785"/>
      <c r="AM337" s="2785"/>
      <c r="AN337" s="2785"/>
      <c r="AO337" s="2785"/>
      <c r="AP337" s="2785"/>
      <c r="AQ337" s="2785"/>
      <c r="AR337" s="2785"/>
      <c r="AS337" s="2785"/>
      <c r="AT337" s="2785"/>
      <c r="AU337" s="2785"/>
      <c r="AV337" s="2785"/>
      <c r="AW337" s="2787"/>
      <c r="AX337" s="2787"/>
      <c r="AY337" s="2785"/>
    </row>
    <row r="338" spans="1:51" ht="12.75" customHeight="1" x14ac:dyDescent="0.2">
      <c r="A338" s="2487"/>
      <c r="B338" s="2368">
        <f t="shared" si="80"/>
        <v>10</v>
      </c>
      <c r="C338" s="4325"/>
      <c r="D338" s="4200"/>
      <c r="E338" s="4201"/>
      <c r="F338" s="4201"/>
      <c r="G338" s="4201"/>
      <c r="H338" s="4201"/>
      <c r="I338" s="2210" t="str">
        <f>IF(OR(D331="",D338=""),"",MAX(1,SUMPRODUCT(--(INDEX('Tablas Técnicas'!$C$10:$L$643,,1)=D331),--(INDEX('Tablas Técnicas'!$C$10:$L$643,,2)=D338),INDEX('Tablas Técnicas'!$C$10:$L$643,,9))))</f>
        <v/>
      </c>
      <c r="J338" s="4200"/>
      <c r="K338" s="4201"/>
      <c r="L338" s="4201"/>
      <c r="M338" s="4201"/>
      <c r="N338" s="4201"/>
      <c r="O338" s="2210" t="str">
        <f>IF(OR(J331="",J338=""),"",MAX(1,SUMPRODUCT(--(INDEX('Tablas Técnicas'!$C$10:$L$643,,1)=J331),--(INDEX('Tablas Técnicas'!$C$10:$L$643,,2)=J338),INDEX('Tablas Técnicas'!$C$10:$L$643,,9))))</f>
        <v/>
      </c>
      <c r="P338" s="4200"/>
      <c r="Q338" s="4201"/>
      <c r="R338" s="4201"/>
      <c r="S338" s="4201"/>
      <c r="T338" s="4201"/>
      <c r="U338" s="2210" t="str">
        <f>IF(OR(P331="",P338=""),"",MAX(1,SUMPRODUCT(--(INDEX('Tablas Técnicas'!$C$10:$L$643,,1)=P331),--(INDEX('Tablas Técnicas'!$C$10:$L$643,,2)=P338),INDEX('Tablas Técnicas'!$C$10:$L$643,,9))))</f>
        <v/>
      </c>
      <c r="V338" s="4200"/>
      <c r="W338" s="4201"/>
      <c r="X338" s="4201"/>
      <c r="Y338" s="4201"/>
      <c r="Z338" s="4201"/>
      <c r="AA338" s="2210" t="str">
        <f>IF(OR(V331="",V338=""),"",MAX(1,SUMPRODUCT(--(INDEX('Tablas Técnicas'!$C$10:$L$643,,1)=V331),--(INDEX('Tablas Técnicas'!$C$10:$L$643,,2)=V338),INDEX('Tablas Técnicas'!$C$10:$L$643,,9))))</f>
        <v/>
      </c>
      <c r="AB338" s="4200"/>
      <c r="AC338" s="4201"/>
      <c r="AD338" s="4201"/>
      <c r="AE338" s="4201"/>
      <c r="AF338" s="4201"/>
      <c r="AG338" s="2211" t="str">
        <f>IF(OR(AB331="",AB338=""),"",MAX(1,SUMPRODUCT(--(INDEX('Tablas Técnicas'!$C$10:$L$643,,1)=AB331),--(INDEX('Tablas Técnicas'!$C$10:$L$643,,2)=AB338),INDEX('Tablas Técnicas'!$C$10:$L$643,,9))))</f>
        <v/>
      </c>
      <c r="AH338" s="2496">
        <f>P318</f>
        <v>1</v>
      </c>
      <c r="AI338" s="4328"/>
      <c r="AJ338" s="2785"/>
      <c r="AK338" s="2785"/>
      <c r="AL338" s="2785"/>
      <c r="AM338" s="2785"/>
      <c r="AN338" s="2785"/>
      <c r="AO338" s="2785"/>
      <c r="AP338" s="2785"/>
      <c r="AQ338" s="2786"/>
      <c r="AR338" s="2787"/>
      <c r="AS338" s="2787"/>
      <c r="AT338" s="2787"/>
      <c r="AU338" s="2787"/>
      <c r="AV338" s="2787"/>
      <c r="AW338" s="2787"/>
      <c r="AX338" s="2787"/>
      <c r="AY338" s="2785"/>
    </row>
    <row r="339" spans="1:51" ht="12.75" customHeight="1" x14ac:dyDescent="0.2">
      <c r="A339" s="2487"/>
      <c r="B339" s="2368">
        <f t="shared" si="80"/>
        <v>10</v>
      </c>
      <c r="C339" s="4325"/>
      <c r="D339" s="4200"/>
      <c r="E339" s="4201"/>
      <c r="F339" s="4201"/>
      <c r="G339" s="4201"/>
      <c r="H339" s="4201"/>
      <c r="I339" s="2210" t="str">
        <f>IF(OR(D331="",D339=""),"",MAX(1,SUMPRODUCT(--(INDEX('Tablas Técnicas'!$C$10:$L$643,,1)=D331),--(INDEX('Tablas Técnicas'!$C$10:$L$643,,2)=D339),INDEX('Tablas Técnicas'!$C$10:$L$643,,9))))</f>
        <v/>
      </c>
      <c r="J339" s="4200"/>
      <c r="K339" s="4201"/>
      <c r="L339" s="4201"/>
      <c r="M339" s="4201"/>
      <c r="N339" s="4201"/>
      <c r="O339" s="2210" t="str">
        <f>IF(OR(J331="",J339=""),"",MAX(1,SUMPRODUCT(--(INDEX('Tablas Técnicas'!$C$10:$L$643,,1)=J331),--(INDEX('Tablas Técnicas'!$C$10:$L$643,,2)=J339),INDEX('Tablas Técnicas'!$C$10:$L$643,,9))))</f>
        <v/>
      </c>
      <c r="P339" s="4200"/>
      <c r="Q339" s="4201"/>
      <c r="R339" s="4201"/>
      <c r="S339" s="4201"/>
      <c r="T339" s="4201"/>
      <c r="U339" s="2210" t="str">
        <f>IF(OR(P331="",P339=""),"",MAX(1,SUMPRODUCT(--(INDEX('Tablas Técnicas'!$C$10:$L$643,,1)=P331),--(INDEX('Tablas Técnicas'!$C$10:$L$643,,2)=P339),INDEX('Tablas Técnicas'!$C$10:$L$643,,9))))</f>
        <v/>
      </c>
      <c r="V339" s="4200"/>
      <c r="W339" s="4201"/>
      <c r="X339" s="4201"/>
      <c r="Y339" s="4201"/>
      <c r="Z339" s="4201"/>
      <c r="AA339" s="2210" t="str">
        <f>IF(OR(V331="",V339=""),"",MAX(1,SUMPRODUCT(--(INDEX('Tablas Técnicas'!$C$10:$L$643,,1)=V331),--(INDEX('Tablas Técnicas'!$C$10:$L$643,,2)=V339),INDEX('Tablas Técnicas'!$C$10:$L$643,,9))))</f>
        <v/>
      </c>
      <c r="AB339" s="4200"/>
      <c r="AC339" s="4201"/>
      <c r="AD339" s="4201"/>
      <c r="AE339" s="4201"/>
      <c r="AF339" s="4201"/>
      <c r="AG339" s="2211" t="str">
        <f>IF(OR(AB331="",AB339=""),"",MAX(1,SUMPRODUCT(--(INDEX('Tablas Técnicas'!$C$10:$L$643,,1)=AB331),--(INDEX('Tablas Técnicas'!$C$10:$L$643,,2)=AB339),INDEX('Tablas Técnicas'!$C$10:$L$643,,9))))</f>
        <v/>
      </c>
      <c r="AH339" s="2496">
        <f>P318</f>
        <v>1</v>
      </c>
      <c r="AI339" s="4328"/>
      <c r="AJ339" s="2785" t="s">
        <v>9100</v>
      </c>
      <c r="AK339" s="2785"/>
      <c r="AL339" s="2785"/>
      <c r="AM339" s="2785"/>
      <c r="AN339" s="2785"/>
      <c r="AO339" s="2785"/>
      <c r="AP339" s="2785"/>
      <c r="AQ339" s="2785"/>
      <c r="AR339" s="2787"/>
      <c r="AS339" s="2787"/>
      <c r="AT339" s="2787"/>
      <c r="AU339" s="2787"/>
      <c r="AV339" s="2787"/>
      <c r="AW339" s="2787"/>
      <c r="AX339" s="2787"/>
      <c r="AY339" s="2785"/>
    </row>
    <row r="340" spans="1:51" ht="12.75" customHeight="1" x14ac:dyDescent="0.2">
      <c r="A340" s="2487"/>
      <c r="B340" s="2368">
        <f t="shared" si="80"/>
        <v>10</v>
      </c>
      <c r="C340" s="4325"/>
      <c r="D340" s="4200"/>
      <c r="E340" s="4201"/>
      <c r="F340" s="4201"/>
      <c r="G340" s="4201"/>
      <c r="H340" s="4201"/>
      <c r="I340" s="2210" t="str">
        <f>IF(OR(D331="",D340=""),"",MAX(1,SUMPRODUCT(--(INDEX('Tablas Técnicas'!$C$10:$L$643,,1)=D331),--(INDEX('Tablas Técnicas'!$C$10:$L$643,,2)=D340),INDEX('Tablas Técnicas'!$C$10:$L$643,,9))))</f>
        <v/>
      </c>
      <c r="J340" s="4200"/>
      <c r="K340" s="4201"/>
      <c r="L340" s="4201"/>
      <c r="M340" s="4201"/>
      <c r="N340" s="4201"/>
      <c r="O340" s="2210" t="str">
        <f>IF(OR(J331="",J340=""),"",MAX(1,SUMPRODUCT(--(INDEX('Tablas Técnicas'!$C$10:$L$643,,1)=J331),--(INDEX('Tablas Técnicas'!$C$10:$L$643,,2)=J340),INDEX('Tablas Técnicas'!$C$10:$L$643,,9))))</f>
        <v/>
      </c>
      <c r="P340" s="4200"/>
      <c r="Q340" s="4201"/>
      <c r="R340" s="4201"/>
      <c r="S340" s="4201"/>
      <c r="T340" s="4201"/>
      <c r="U340" s="2210" t="str">
        <f>IF(OR(P331="",P340=""),"",MAX(1,SUMPRODUCT(--(INDEX('Tablas Técnicas'!$C$10:$L$643,,1)=P331),--(INDEX('Tablas Técnicas'!$C$10:$L$643,,2)=P340),INDEX('Tablas Técnicas'!$C$10:$L$643,,9))))</f>
        <v/>
      </c>
      <c r="V340" s="4200"/>
      <c r="W340" s="4201"/>
      <c r="X340" s="4201"/>
      <c r="Y340" s="4201"/>
      <c r="Z340" s="4201"/>
      <c r="AA340" s="2210" t="str">
        <f>IF(OR(V331="",V340=""),"",MAX(1,SUMPRODUCT(--(INDEX('Tablas Técnicas'!$C$10:$L$643,,1)=V331),--(INDEX('Tablas Técnicas'!$C$10:$L$643,,2)=V340),INDEX('Tablas Técnicas'!$C$10:$L$643,,9))))</f>
        <v/>
      </c>
      <c r="AB340" s="4200"/>
      <c r="AC340" s="4201"/>
      <c r="AD340" s="4201"/>
      <c r="AE340" s="4201"/>
      <c r="AF340" s="4201"/>
      <c r="AG340" s="2211" t="str">
        <f>IF(OR(AB331="",AB340=""),"",MAX(1,SUMPRODUCT(--(INDEX('Tablas Técnicas'!$C$10:$L$643,,1)=AB331),--(INDEX('Tablas Técnicas'!$C$10:$L$643,,2)=AB340),INDEX('Tablas Técnicas'!$C$10:$L$643,,9))))</f>
        <v/>
      </c>
      <c r="AH340" s="2496">
        <f>P318</f>
        <v>1</v>
      </c>
      <c r="AI340" s="4328"/>
      <c r="AJ340" s="2785" t="s">
        <v>9101</v>
      </c>
      <c r="AK340" s="2785"/>
      <c r="AL340" s="2785"/>
      <c r="AM340" s="2785" t="b">
        <f t="array" ref="AM340">MAX(I335:I341,O335:O341,U335:U341,AA335:AA341,AG335:AG341,RIGHT(S327:S329,1))&gt;P318</f>
        <v>0</v>
      </c>
      <c r="AN340" s="2785"/>
      <c r="AO340" s="2785"/>
      <c r="AP340" s="2785"/>
      <c r="AQ340" s="2786"/>
      <c r="AR340" s="2787"/>
      <c r="AS340" s="2787"/>
      <c r="AT340" s="2787"/>
      <c r="AU340" s="2787"/>
      <c r="AV340" s="2787"/>
      <c r="AW340" s="2787"/>
      <c r="AX340" s="2787"/>
      <c r="AY340" s="2785"/>
    </row>
    <row r="341" spans="1:51" ht="12.75" customHeight="1" x14ac:dyDescent="0.2">
      <c r="A341" s="2487"/>
      <c r="B341" s="2368">
        <f t="shared" si="80"/>
        <v>10</v>
      </c>
      <c r="C341" s="4325"/>
      <c r="D341" s="4230"/>
      <c r="E341" s="4231"/>
      <c r="F341" s="4231"/>
      <c r="G341" s="4231"/>
      <c r="H341" s="4231"/>
      <c r="I341" s="2212" t="str">
        <f>IF(OR(D331="",D341=""),"",MAX(1,SUMPRODUCT(--(INDEX('Tablas Técnicas'!$C$10:$L$643,,1)=D331),--(INDEX('Tablas Técnicas'!$C$10:$L$643,,2)=D341),INDEX('Tablas Técnicas'!$C$10:$L$643,,9))))</f>
        <v/>
      </c>
      <c r="J341" s="4230"/>
      <c r="K341" s="4231"/>
      <c r="L341" s="4231"/>
      <c r="M341" s="4231"/>
      <c r="N341" s="4231"/>
      <c r="O341" s="2212" t="str">
        <f>IF(OR(J331="",J341=""),"",MAX(1,SUMPRODUCT(--(INDEX('Tablas Técnicas'!$C$10:$L$643,,1)=J331),--(INDEX('Tablas Técnicas'!$C$10:$L$643,,2)=J341),INDEX('Tablas Técnicas'!$C$10:$L$643,,9))))</f>
        <v/>
      </c>
      <c r="P341" s="4230"/>
      <c r="Q341" s="4231"/>
      <c r="R341" s="4231"/>
      <c r="S341" s="4231"/>
      <c r="T341" s="4231"/>
      <c r="U341" s="2212" t="str">
        <f>IF(OR(P331="",P341=""),"",MAX(1,SUMPRODUCT(--(INDEX('Tablas Técnicas'!$C$10:$L$643,,1)=P331),--(INDEX('Tablas Técnicas'!$C$10:$L$643,,2)=P341),INDEX('Tablas Técnicas'!$C$10:$L$643,,9))))</f>
        <v/>
      </c>
      <c r="V341" s="4230"/>
      <c r="W341" s="4231"/>
      <c r="X341" s="4231"/>
      <c r="Y341" s="4231"/>
      <c r="Z341" s="4231"/>
      <c r="AA341" s="2212" t="str">
        <f>IF(OR(V331="",V341=""),"",MAX(1,SUMPRODUCT(--(INDEX('Tablas Técnicas'!$C$10:$L$643,,1)=V331),--(INDEX('Tablas Técnicas'!$C$10:$L$643,,2)=V341),INDEX('Tablas Técnicas'!$C$10:$L$643,,9))))</f>
        <v/>
      </c>
      <c r="AB341" s="4230"/>
      <c r="AC341" s="4231"/>
      <c r="AD341" s="4231"/>
      <c r="AE341" s="4231"/>
      <c r="AF341" s="4231"/>
      <c r="AG341" s="2213" t="str">
        <f>IF(OR(AB331="",AB341=""),"",MAX(1,SUMPRODUCT(--(INDEX('Tablas Técnicas'!$C$10:$L$643,,1)=AB331),--(INDEX('Tablas Técnicas'!$C$10:$L$643,,2)=AB341),INDEX('Tablas Técnicas'!$C$10:$L$643,,9))))</f>
        <v/>
      </c>
      <c r="AH341" s="2496">
        <f>P318</f>
        <v>1</v>
      </c>
      <c r="AI341" s="4328"/>
      <c r="AJ341" s="2785" t="s">
        <v>9614</v>
      </c>
      <c r="AK341" s="2785"/>
      <c r="AL341" s="2785"/>
      <c r="AM341" s="2785" t="b">
        <f>AND(COUNTIF(K322:M326,"Mantenido"),OR(COUNTIF(K322:M326,"Sostenimiento Menor"),COUNTIF(K322:M326,"Sostenimiento Mayor")))</f>
        <v>0</v>
      </c>
      <c r="AN341" s="2786"/>
      <c r="AO341" s="2785"/>
      <c r="AP341" s="2785"/>
      <c r="AQ341" s="2785"/>
      <c r="AR341" s="2785"/>
      <c r="AS341" s="2785"/>
      <c r="AT341" s="2785"/>
      <c r="AU341" s="2787"/>
      <c r="AV341" s="2787"/>
      <c r="AW341" s="2787"/>
      <c r="AX341" s="2787"/>
      <c r="AY341" s="2785"/>
    </row>
    <row r="342" spans="1:51" ht="12.75" customHeight="1" x14ac:dyDescent="0.2">
      <c r="A342" s="2487"/>
      <c r="B342" s="2368">
        <f t="shared" si="80"/>
        <v>10</v>
      </c>
      <c r="C342" s="4325"/>
      <c r="D342" s="4213" t="s">
        <v>1558</v>
      </c>
      <c r="E342" s="4214"/>
      <c r="F342" s="4214"/>
      <c r="G342" s="4214"/>
      <c r="H342" s="4214"/>
      <c r="I342" s="4214"/>
      <c r="J342" s="4214"/>
      <c r="K342" s="4214"/>
      <c r="L342" s="4214"/>
      <c r="M342" s="4214"/>
      <c r="N342" s="4214"/>
      <c r="O342" s="4214"/>
      <c r="P342" s="4214"/>
      <c r="Q342" s="4214"/>
      <c r="R342" s="4214"/>
      <c r="S342" s="4214"/>
      <c r="T342" s="4214"/>
      <c r="U342" s="4214"/>
      <c r="V342" s="4214"/>
      <c r="W342" s="4214"/>
      <c r="X342" s="4214"/>
      <c r="Y342" s="4214"/>
      <c r="Z342" s="4214"/>
      <c r="AA342" s="4214"/>
      <c r="AB342" s="4214"/>
      <c r="AC342" s="4214"/>
      <c r="AD342" s="4214"/>
      <c r="AE342" s="4214"/>
      <c r="AF342" s="4214"/>
      <c r="AG342" s="4270"/>
      <c r="AH342" s="2496"/>
      <c r="AI342" s="4328"/>
      <c r="AJ342" s="2785" t="s">
        <v>9613</v>
      </c>
      <c r="AK342" s="2785"/>
      <c r="AL342" s="2785"/>
      <c r="AM342" s="278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5"/>
      <c r="AO342" s="2785"/>
      <c r="AP342" s="2785"/>
      <c r="AQ342" s="2786"/>
      <c r="AR342" s="2785"/>
      <c r="AS342" s="2785"/>
      <c r="AT342" s="2785"/>
      <c r="AU342" s="2787"/>
      <c r="AV342" s="2787"/>
      <c r="AW342" s="2787"/>
      <c r="AX342" s="2787"/>
      <c r="AY342" s="2785"/>
    </row>
    <row r="343" spans="1:51" ht="12.75" customHeight="1" x14ac:dyDescent="0.2">
      <c r="A343" s="2487"/>
      <c r="B343" s="2368">
        <f t="shared" si="80"/>
        <v>10</v>
      </c>
      <c r="C343" s="4325"/>
      <c r="D343" s="4271"/>
      <c r="E343" s="4272"/>
      <c r="F343" s="4272"/>
      <c r="G343" s="4272"/>
      <c r="H343" s="4272"/>
      <c r="I343" s="4272"/>
      <c r="J343" s="4272"/>
      <c r="K343" s="4272"/>
      <c r="L343" s="4272"/>
      <c r="M343" s="4272"/>
      <c r="N343" s="4272"/>
      <c r="O343" s="4272"/>
      <c r="P343" s="4272"/>
      <c r="Q343" s="4272"/>
      <c r="R343" s="4272"/>
      <c r="S343" s="4272"/>
      <c r="T343" s="4272"/>
      <c r="U343" s="4272"/>
      <c r="V343" s="4272"/>
      <c r="W343" s="4272"/>
      <c r="X343" s="4272"/>
      <c r="Y343" s="4272"/>
      <c r="Z343" s="4272"/>
      <c r="AA343" s="4272"/>
      <c r="AB343" s="4272"/>
      <c r="AC343" s="4272"/>
      <c r="AD343" s="4272"/>
      <c r="AE343" s="4272"/>
      <c r="AF343" s="4272"/>
      <c r="AG343" s="4273"/>
      <c r="AH343" s="2496"/>
      <c r="AI343" s="4328"/>
      <c r="AJ343" s="2785" t="s">
        <v>9621</v>
      </c>
      <c r="AK343" s="2785"/>
      <c r="AL343" s="2785"/>
      <c r="AM343" s="278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5"/>
      <c r="AO343" s="2785"/>
      <c r="AP343" s="2785"/>
      <c r="AQ343" s="2786"/>
      <c r="AR343" s="2785"/>
      <c r="AS343" s="2785"/>
      <c r="AT343" s="2785"/>
      <c r="AU343" s="2787"/>
      <c r="AV343" s="2787"/>
      <c r="AW343" s="2787"/>
      <c r="AX343" s="2787"/>
      <c r="AY343" s="2785"/>
    </row>
    <row r="344" spans="1:51" ht="12.75" customHeight="1" x14ac:dyDescent="0.2">
      <c r="A344" s="2487"/>
      <c r="B344" s="2368">
        <f t="shared" si="80"/>
        <v>10</v>
      </c>
      <c r="C344" s="4325"/>
      <c r="D344" s="4271"/>
      <c r="E344" s="4272"/>
      <c r="F344" s="4272"/>
      <c r="G344" s="4272"/>
      <c r="H344" s="4272"/>
      <c r="I344" s="4272"/>
      <c r="J344" s="4272"/>
      <c r="K344" s="4272"/>
      <c r="L344" s="4272"/>
      <c r="M344" s="4272"/>
      <c r="N344" s="4272"/>
      <c r="O344" s="4272"/>
      <c r="P344" s="4272"/>
      <c r="Q344" s="4272"/>
      <c r="R344" s="4272"/>
      <c r="S344" s="4272"/>
      <c r="T344" s="4272"/>
      <c r="U344" s="4272"/>
      <c r="V344" s="4272"/>
      <c r="W344" s="4272"/>
      <c r="X344" s="4272"/>
      <c r="Y344" s="4272"/>
      <c r="Z344" s="4272"/>
      <c r="AA344" s="4272"/>
      <c r="AB344" s="4272"/>
      <c r="AC344" s="4272"/>
      <c r="AD344" s="4272"/>
      <c r="AE344" s="4272"/>
      <c r="AF344" s="4272"/>
      <c r="AG344" s="4273"/>
      <c r="AH344" s="2496"/>
      <c r="AI344" s="4328"/>
      <c r="AJ344" s="2785" t="s">
        <v>9600</v>
      </c>
      <c r="AK344" s="2785"/>
      <c r="AL344" s="2785"/>
      <c r="AM344" s="2785" t="b">
        <f>AND((IF(SUM(V322:V326)&gt;0,1,0)+IF(SUM(X322:X326)&gt;0,1,0)+IF(SUM(Z322:Z326)&gt;0,1,0)+IF(SUM(AB322:AB326)&gt;0,1,0)+IF(SUM(AD322:AD326,)&gt;0,1,0)+IF(SUM(AF322:AF326)&gt;0,1,0))&lt;3,OR(V329&lt;0,X329&lt;0,Z329&lt;0,AB329&lt;0,AD329&lt;0,AF329&lt;0,Y327&lt;0))</f>
        <v>0</v>
      </c>
      <c r="AN344" s="2785"/>
      <c r="AO344" s="2785"/>
      <c r="AP344" s="2785"/>
      <c r="AQ344" s="2786"/>
      <c r="AR344" s="2785"/>
      <c r="AS344" s="2785"/>
      <c r="AT344" s="2785"/>
      <c r="AU344" s="2787"/>
      <c r="AV344" s="2787"/>
      <c r="AW344" s="2787"/>
      <c r="AX344" s="2787"/>
      <c r="AY344" s="2785"/>
    </row>
    <row r="345" spans="1:51" ht="12.75" customHeight="1" x14ac:dyDescent="0.2">
      <c r="A345" s="2487"/>
      <c r="B345" s="2368">
        <f t="shared" si="80"/>
        <v>10</v>
      </c>
      <c r="C345" s="4325"/>
      <c r="D345" s="4271"/>
      <c r="E345" s="4272"/>
      <c r="F345" s="4272"/>
      <c r="G345" s="4272"/>
      <c r="H345" s="4272"/>
      <c r="I345" s="4272"/>
      <c r="J345" s="4272"/>
      <c r="K345" s="4272"/>
      <c r="L345" s="4272"/>
      <c r="M345" s="4272"/>
      <c r="N345" s="4272"/>
      <c r="O345" s="4272"/>
      <c r="P345" s="4272"/>
      <c r="Q345" s="4272"/>
      <c r="R345" s="4272"/>
      <c r="S345" s="4272"/>
      <c r="T345" s="4272"/>
      <c r="U345" s="4272"/>
      <c r="V345" s="4272"/>
      <c r="W345" s="4272"/>
      <c r="X345" s="4272"/>
      <c r="Y345" s="4272"/>
      <c r="Z345" s="4272"/>
      <c r="AA345" s="4272"/>
      <c r="AB345" s="4272"/>
      <c r="AC345" s="4272"/>
      <c r="AD345" s="4272"/>
      <c r="AE345" s="4272"/>
      <c r="AF345" s="4272"/>
      <c r="AG345" s="4273"/>
      <c r="AH345" s="2496"/>
      <c r="AI345" s="4328"/>
      <c r="AJ345" s="2785" t="s">
        <v>9615</v>
      </c>
      <c r="AK345" s="2785"/>
      <c r="AL345" s="2785"/>
      <c r="AM345" s="2785" t="b">
        <f>OR(-V329&gt;TRUNC(SUM(V322:V326)/2),-X329&gt;TRUNC(SUM(X322:X326)/2),-Z329&gt;TRUNC(SUM(Z322:Z326)/2),-AB329&gt;TRUNC(SUM(AB322:AB326)/2),-AD329&gt;TRUNC(SUM(AD322:AD326)/2),-AF329&gt;TRUNC(SUM(AF322:AF326)/2))</f>
        <v>0</v>
      </c>
      <c r="AN345" s="2785"/>
      <c r="AO345" s="2785"/>
      <c r="AP345" s="2785"/>
      <c r="AQ345" s="2786"/>
      <c r="AR345" s="2785"/>
      <c r="AS345" s="2785"/>
      <c r="AT345" s="2785"/>
      <c r="AU345" s="2787"/>
      <c r="AV345" s="2787"/>
      <c r="AW345" s="2787"/>
      <c r="AX345" s="2787"/>
      <c r="AY345" s="2785"/>
    </row>
    <row r="346" spans="1:51" ht="12.75" customHeight="1" x14ac:dyDescent="0.2">
      <c r="A346" s="2487"/>
      <c r="B346" s="2368">
        <f t="shared" si="80"/>
        <v>10</v>
      </c>
      <c r="C346" s="4325"/>
      <c r="D346" s="4271"/>
      <c r="E346" s="4272"/>
      <c r="F346" s="4272"/>
      <c r="G346" s="4272"/>
      <c r="H346" s="4272"/>
      <c r="I346" s="4272"/>
      <c r="J346" s="4272"/>
      <c r="K346" s="4272"/>
      <c r="L346" s="4272"/>
      <c r="M346" s="4272"/>
      <c r="N346" s="4272"/>
      <c r="O346" s="4272"/>
      <c r="P346" s="4272"/>
      <c r="Q346" s="4272"/>
      <c r="R346" s="4272"/>
      <c r="S346" s="4272"/>
      <c r="T346" s="4272"/>
      <c r="U346" s="4272"/>
      <c r="V346" s="4272"/>
      <c r="W346" s="4272"/>
      <c r="X346" s="4272"/>
      <c r="Y346" s="4272"/>
      <c r="Z346" s="4272"/>
      <c r="AA346" s="4272"/>
      <c r="AB346" s="4272"/>
      <c r="AC346" s="4272"/>
      <c r="AD346" s="4272"/>
      <c r="AE346" s="4272"/>
      <c r="AF346" s="4272"/>
      <c r="AG346" s="4273"/>
      <c r="AH346" s="2496"/>
      <c r="AI346" s="4328"/>
      <c r="AJ346" s="2785" t="s">
        <v>9616</v>
      </c>
      <c r="AK346" s="2785"/>
      <c r="AL346" s="2785"/>
      <c r="AM346" s="2785" t="b">
        <f>COUNTIF(D322:E326,"Primario")&gt;1</f>
        <v>0</v>
      </c>
      <c r="AN346" s="2785"/>
      <c r="AO346" s="2785"/>
      <c r="AP346" s="2785"/>
      <c r="AQ346" s="2786"/>
      <c r="AR346" s="2786"/>
      <c r="AS346" s="2786"/>
      <c r="AT346" s="2786"/>
      <c r="AU346" s="2787"/>
      <c r="AV346" s="2787"/>
      <c r="AW346" s="2787"/>
      <c r="AX346" s="2785"/>
      <c r="AY346" s="2785"/>
    </row>
    <row r="347" spans="1:51" ht="12.75" customHeight="1" x14ac:dyDescent="0.2">
      <c r="A347" s="2487"/>
      <c r="B347" s="2368">
        <f t="shared" si="80"/>
        <v>10</v>
      </c>
      <c r="C347" s="4325"/>
      <c r="D347" s="4271"/>
      <c r="E347" s="4272"/>
      <c r="F347" s="4272"/>
      <c r="G347" s="4272"/>
      <c r="H347" s="4272"/>
      <c r="I347" s="4272"/>
      <c r="J347" s="4272"/>
      <c r="K347" s="4272"/>
      <c r="L347" s="4272"/>
      <c r="M347" s="4272"/>
      <c r="N347" s="4272"/>
      <c r="O347" s="4272"/>
      <c r="P347" s="4272"/>
      <c r="Q347" s="4272"/>
      <c r="R347" s="4272"/>
      <c r="S347" s="4272"/>
      <c r="T347" s="4272"/>
      <c r="U347" s="4272"/>
      <c r="V347" s="4272"/>
      <c r="W347" s="4272"/>
      <c r="X347" s="4272"/>
      <c r="Y347" s="4272"/>
      <c r="Z347" s="4272"/>
      <c r="AA347" s="4272"/>
      <c r="AB347" s="4272"/>
      <c r="AC347" s="4272"/>
      <c r="AD347" s="4272"/>
      <c r="AE347" s="4272"/>
      <c r="AF347" s="4272"/>
      <c r="AG347" s="4273"/>
      <c r="AH347" s="2496"/>
      <c r="AI347" s="4328"/>
      <c r="AJ347" s="2785" t="s">
        <v>9599</v>
      </c>
      <c r="AK347" s="2785"/>
      <c r="AL347" s="2785"/>
      <c r="AM347" s="2785" t="b">
        <f>SUM(V329:AG329)&lt;&gt;Y327+ABS(AC327)*2/5+IF(S318="Si",3*P318,0)</f>
        <v>0</v>
      </c>
      <c r="AN347" s="2785"/>
      <c r="AO347" s="2785"/>
      <c r="AP347" s="2785"/>
      <c r="AQ347" s="2786"/>
      <c r="AR347" s="2786"/>
      <c r="AS347" s="2786"/>
      <c r="AT347" s="2786"/>
      <c r="AU347" s="2787"/>
      <c r="AV347" s="2787"/>
      <c r="AW347" s="2787"/>
      <c r="AX347" s="2785"/>
      <c r="AY347" s="2785"/>
    </row>
    <row r="348" spans="1:51" ht="13.5" customHeight="1" x14ac:dyDescent="0.2">
      <c r="A348" s="2487"/>
      <c r="B348" s="2368">
        <f t="shared" si="80"/>
        <v>10</v>
      </c>
      <c r="C348" s="4325"/>
      <c r="D348" s="4271"/>
      <c r="E348" s="4272"/>
      <c r="F348" s="4272"/>
      <c r="G348" s="4272"/>
      <c r="H348" s="4272"/>
      <c r="I348" s="4272"/>
      <c r="J348" s="4272"/>
      <c r="K348" s="4272"/>
      <c r="L348" s="4272"/>
      <c r="M348" s="4272"/>
      <c r="N348" s="4272"/>
      <c r="O348" s="4272"/>
      <c r="P348" s="4272"/>
      <c r="Q348" s="4272"/>
      <c r="R348" s="4272"/>
      <c r="S348" s="4272"/>
      <c r="T348" s="4272"/>
      <c r="U348" s="4272"/>
      <c r="V348" s="4272"/>
      <c r="W348" s="4272"/>
      <c r="X348" s="4272"/>
      <c r="Y348" s="4272"/>
      <c r="Z348" s="4272"/>
      <c r="AA348" s="4272"/>
      <c r="AB348" s="4272"/>
      <c r="AC348" s="4272"/>
      <c r="AD348" s="4272"/>
      <c r="AE348" s="4272"/>
      <c r="AF348" s="4272"/>
      <c r="AG348" s="4273"/>
      <c r="AH348" s="2496"/>
      <c r="AI348" s="4328"/>
      <c r="AJ348" s="2785" t="s">
        <v>9598</v>
      </c>
      <c r="AK348" s="2785"/>
      <c r="AL348" s="2785"/>
      <c r="AM348" s="2785" t="b">
        <f>AL335-AL336+AM335-AM336&lt;&gt;0</f>
        <v>0</v>
      </c>
      <c r="AN348" s="2787"/>
      <c r="AO348" s="2787"/>
      <c r="AP348" s="2787"/>
      <c r="AQ348" s="2787"/>
      <c r="AR348" s="2786"/>
      <c r="AS348" s="2786"/>
      <c r="AT348" s="2786"/>
      <c r="AU348" s="2787"/>
      <c r="AV348" s="2787"/>
      <c r="AW348" s="2787"/>
      <c r="AX348" s="2785"/>
      <c r="AY348" s="2785"/>
    </row>
    <row r="349" spans="1:51" ht="12.75" customHeight="1" thickBot="1" x14ac:dyDescent="0.25">
      <c r="A349" s="2487"/>
      <c r="B349" s="2368"/>
      <c r="C349" s="4326"/>
      <c r="D349" s="432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330"/>
      <c r="F349" s="4330"/>
      <c r="G349" s="4330"/>
      <c r="H349" s="4330"/>
      <c r="I349" s="4330"/>
      <c r="J349" s="4330"/>
      <c r="K349" s="4330"/>
      <c r="L349" s="4330"/>
      <c r="M349" s="4330"/>
      <c r="N349" s="4330"/>
      <c r="O349" s="4330"/>
      <c r="P349" s="4330"/>
      <c r="Q349" s="4330"/>
      <c r="R349" s="4330"/>
      <c r="S349" s="4330"/>
      <c r="T349" s="4330"/>
      <c r="U349" s="4330"/>
      <c r="V349" s="4330"/>
      <c r="W349" s="4330"/>
      <c r="X349" s="4330"/>
      <c r="Y349" s="4330"/>
      <c r="Z349" s="4330"/>
      <c r="AA349" s="4330"/>
      <c r="AB349" s="4330"/>
      <c r="AC349" s="4330"/>
      <c r="AD349" s="4330"/>
      <c r="AE349" s="4330"/>
      <c r="AF349" s="4330"/>
      <c r="AG349" s="4331"/>
      <c r="AH349" s="2496"/>
      <c r="AI349" s="4328"/>
      <c r="AJ349" s="2785" t="s">
        <v>9635</v>
      </c>
      <c r="AK349" s="2787"/>
      <c r="AL349" s="2787"/>
      <c r="AM349" s="2787" t="b">
        <f>ABS(SUM(N327:N329))&gt;(SUM(N322:N326)-10*Y327+AC327+IF(S318="Si",10*P318,0)+IF(COUNTIF(K322:M326,"Mantenido")&gt;0,P318*10)+MAX(IF(COUNTIF(K322:M326,"Sostenimiento Menor")&gt;0,P318*20)+IF(COUNTIF(K322:M326,"Sostenimiento Mayor")&gt;0,P318*30)))/2</f>
        <v>0</v>
      </c>
      <c r="AN349" s="2785"/>
      <c r="AO349" s="2785"/>
      <c r="AP349" s="2785"/>
      <c r="AQ349" s="2785"/>
      <c r="AR349" s="2786"/>
      <c r="AS349" s="2786"/>
      <c r="AT349" s="2786"/>
      <c r="AU349" s="2787"/>
      <c r="AV349" s="2787"/>
      <c r="AW349" s="2787"/>
      <c r="AX349" s="2785"/>
      <c r="AY349" s="2785"/>
    </row>
    <row r="350" spans="1:51" x14ac:dyDescent="0.2">
      <c r="A350" s="2487"/>
      <c r="B350" s="2368"/>
      <c r="C350" s="4232"/>
      <c r="D350" s="4232" t="str">
        <f>IFERROR(VLOOKUP(D331,'Tablas Técnicas'!$O$9:$T$88,2,FALSE),"")</f>
        <v/>
      </c>
      <c r="E350" s="4232"/>
      <c r="F350" s="4232"/>
      <c r="G350" s="4232"/>
      <c r="H350" s="4232"/>
      <c r="I350" s="4232"/>
      <c r="J350" s="4232" t="str">
        <f>IFERROR(VLOOKUP(J331,'Tablas Técnicas'!$O$9:$T$88,2,FALSE),"")</f>
        <v/>
      </c>
      <c r="K350" s="4232"/>
      <c r="L350" s="4232"/>
      <c r="M350" s="4232"/>
      <c r="N350" s="4232"/>
      <c r="O350" s="4232"/>
      <c r="P350" s="4232" t="str">
        <f>IFERROR(VLOOKUP(P331,'Tablas Técnicas'!$O$9:$T$88,2,FALSE),"")</f>
        <v/>
      </c>
      <c r="Q350" s="4232"/>
      <c r="R350" s="4232"/>
      <c r="S350" s="4232"/>
      <c r="T350" s="4232"/>
      <c r="U350" s="4232"/>
      <c r="V350" s="4232" t="str">
        <f>IFERROR(VLOOKUP(V331,'Tablas Técnicas'!$O$9:$T$88,2,FALSE),"")</f>
        <v/>
      </c>
      <c r="W350" s="4232"/>
      <c r="X350" s="4232"/>
      <c r="Y350" s="4232"/>
      <c r="Z350" s="4232"/>
      <c r="AA350" s="4232"/>
      <c r="AB350" s="4232" t="str">
        <f>IFERROR(VLOOKUP(AB331,'Tablas Técnicas'!$O$9:$T$88,2,FALSE),"")</f>
        <v/>
      </c>
      <c r="AC350" s="4232"/>
      <c r="AD350" s="4232"/>
      <c r="AE350" s="4232"/>
      <c r="AF350" s="4232"/>
      <c r="AG350" s="4232"/>
      <c r="AH350" s="2496"/>
      <c r="AI350" s="2188"/>
      <c r="AJ350" s="2785"/>
      <c r="AK350" s="2785"/>
      <c r="AL350" s="2785"/>
      <c r="AM350" s="2785"/>
      <c r="AN350" s="2785"/>
      <c r="AO350" s="2785"/>
      <c r="AP350" s="2785"/>
      <c r="AQ350" s="2785"/>
      <c r="AR350" s="2786"/>
      <c r="AS350" s="2786"/>
      <c r="AT350" s="2786"/>
      <c r="AU350" s="2787"/>
      <c r="AV350" s="2787"/>
      <c r="AW350" s="2787"/>
      <c r="AX350" s="2787"/>
      <c r="AY350" s="2785"/>
    </row>
    <row r="351" spans="1:51" ht="12" thickBot="1" x14ac:dyDescent="0.25">
      <c r="A351" s="2487"/>
      <c r="B351" s="2369"/>
      <c r="C351" s="4233"/>
      <c r="D351" s="2632"/>
      <c r="E351" s="2633"/>
      <c r="F351" s="2633"/>
      <c r="G351" s="2633"/>
      <c r="H351" s="2633"/>
      <c r="I351" s="2633"/>
      <c r="J351" s="2633"/>
      <c r="K351" s="2633"/>
      <c r="L351" s="2633"/>
      <c r="M351" s="2633"/>
      <c r="N351" s="2633"/>
      <c r="O351" s="2633"/>
      <c r="P351" s="2633"/>
      <c r="Q351" s="2633"/>
      <c r="R351" s="2633"/>
      <c r="S351" s="2633"/>
      <c r="T351" s="2633"/>
      <c r="U351" s="2633"/>
      <c r="V351" s="2634"/>
      <c r="W351" s="2634"/>
      <c r="X351" s="2634"/>
      <c r="Y351" s="2634"/>
      <c r="Z351" s="2634"/>
      <c r="AA351" s="2634"/>
      <c r="AB351" s="2634"/>
      <c r="AC351" s="2634"/>
      <c r="AD351" s="2634"/>
      <c r="AE351" s="2634"/>
      <c r="AF351" s="2633"/>
      <c r="AG351" s="2633"/>
      <c r="AH351" s="2497"/>
      <c r="AI351" s="2188"/>
      <c r="AJ351" s="2793"/>
      <c r="AK351" s="2793"/>
      <c r="AL351" s="2793"/>
      <c r="AM351" s="2793"/>
      <c r="AN351" s="2793"/>
      <c r="AO351" s="2793"/>
      <c r="AP351" s="2785"/>
      <c r="AQ351" s="2786"/>
      <c r="AR351" s="2787"/>
      <c r="AS351" s="2787"/>
      <c r="AT351" s="2787"/>
      <c r="AU351" s="2787"/>
      <c r="AV351" s="2787"/>
      <c r="AW351" s="2787"/>
      <c r="AX351" s="2787"/>
      <c r="AY351" s="2794"/>
    </row>
    <row r="352" spans="1:51" x14ac:dyDescent="0.2">
      <c r="A352" s="2487"/>
      <c r="B352" s="2366"/>
      <c r="C352" s="2188"/>
      <c r="D352" s="2189"/>
      <c r="E352" s="2188"/>
      <c r="F352" s="2188"/>
      <c r="G352" s="2188"/>
      <c r="H352" s="2188"/>
      <c r="I352" s="2188"/>
      <c r="J352" s="2188"/>
      <c r="K352" s="2188"/>
      <c r="L352" s="2188"/>
      <c r="M352" s="2188"/>
      <c r="N352" s="2188"/>
      <c r="O352" s="2188"/>
      <c r="P352" s="2188"/>
      <c r="Q352" s="2188"/>
      <c r="R352" s="2188"/>
      <c r="S352" s="2188"/>
      <c r="T352" s="2188"/>
      <c r="U352" s="2188"/>
      <c r="V352" s="2188"/>
      <c r="W352" s="2188"/>
      <c r="X352" s="2188"/>
      <c r="Y352" s="2188"/>
      <c r="Z352" s="2188"/>
      <c r="AA352" s="2188"/>
      <c r="AB352" s="2188"/>
      <c r="AC352" s="2188"/>
      <c r="AD352" s="2188"/>
      <c r="AE352" s="2188"/>
      <c r="AF352" s="2188"/>
      <c r="AG352" s="2188"/>
      <c r="AH352" s="2366"/>
      <c r="AI352" s="2314"/>
      <c r="AJ352" s="2785"/>
      <c r="AK352" s="2785"/>
      <c r="AL352" s="2785"/>
      <c r="AM352" s="2785"/>
      <c r="AN352" s="2785"/>
      <c r="AO352" s="2785"/>
      <c r="AP352" s="2785"/>
      <c r="AQ352" s="2786"/>
      <c r="AR352" s="2787"/>
      <c r="AS352" s="2787"/>
      <c r="AT352" s="2787"/>
      <c r="AU352" s="2787"/>
      <c r="AV352" s="2787"/>
      <c r="AW352" s="2787"/>
      <c r="AX352" s="2787"/>
      <c r="AY352" s="2785"/>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982" priority="1574" stopIfTrue="1">
      <formula>$K16&lt;&gt;"Mantenido"</formula>
    </cfRule>
  </conditionalFormatting>
  <conditionalFormatting sqref="O23:R23 O21:R21">
    <cfRule type="expression" dxfId="981" priority="1573" stopIfTrue="1">
      <formula>$F21&lt;&gt;"Atadura Elemental"</formula>
    </cfRule>
  </conditionalFormatting>
  <conditionalFormatting sqref="O22:R22">
    <cfRule type="expression" dxfId="980" priority="1572" stopIfTrue="1">
      <formula>$F22&lt;&gt;"Atadura Elemental"</formula>
    </cfRule>
  </conditionalFormatting>
  <conditionalFormatting sqref="Q21:R23">
    <cfRule type="expression" dxfId="979" priority="1575" stopIfTrue="1">
      <formula>$K21&lt;&gt;"A dos elementos"</formula>
    </cfRule>
  </conditionalFormatting>
  <conditionalFormatting sqref="V16:AG20">
    <cfRule type="cellIs" dxfId="978" priority="1570" stopIfTrue="1" operator="lessThan">
      <formula>0</formula>
    </cfRule>
    <cfRule type="expression" dxfId="977" priority="1571" stopIfTrue="1">
      <formula>NOT(ISNUMBER(SEARCH(V$14,$Q16)))</formula>
    </cfRule>
  </conditionalFormatting>
  <conditionalFormatting sqref="U12:U13">
    <cfRule type="expression" dxfId="976" priority="1569" stopIfTrue="1">
      <formula>OR(AND(P12=1,U12&gt;50),AND(P12=2,U12&gt;100),AND(P12=3,U12&gt;200))</formula>
    </cfRule>
  </conditionalFormatting>
  <conditionalFormatting sqref="D29:AG35">
    <cfRule type="expression" dxfId="975" priority="1576" stopIfTrue="1">
      <formula>AND(ISNUMBER(D29),D29&gt;$AH29)</formula>
    </cfRule>
  </conditionalFormatting>
  <conditionalFormatting sqref="F22:N22 S22 U22">
    <cfRule type="expression" dxfId="974" priority="1577" stopIfTrue="1">
      <formula>$P12&lt;2</formula>
    </cfRule>
  </conditionalFormatting>
  <conditionalFormatting sqref="F23:N23 S23 U23">
    <cfRule type="expression" dxfId="973" priority="1578" stopIfTrue="1">
      <formula>$P12&lt;3</formula>
    </cfRule>
  </conditionalFormatting>
  <conditionalFormatting sqref="O16:P20">
    <cfRule type="expression" dxfId="972" priority="1568" stopIfTrue="1">
      <formula>VALUE(LEFT(O16,2))&lt;&gt;VALUE(RIGHT(O16,2))</formula>
    </cfRule>
  </conditionalFormatting>
  <conditionalFormatting sqref="S21:S23">
    <cfRule type="expression" dxfId="971" priority="1567" stopIfTrue="1">
      <formula>VALUE(RIGHT($S21,1))&gt;$AK21</formula>
    </cfRule>
  </conditionalFormatting>
  <conditionalFormatting sqref="V23:AG23">
    <cfRule type="expression" dxfId="970" priority="1580" stopIfTrue="1">
      <formula>$AM35</formula>
    </cfRule>
    <cfRule type="cellIs" dxfId="969" priority="1581" stopIfTrue="1" operator="lessThan">
      <formula>-TRUNC(SUM(V16:V20)/2)</formula>
    </cfRule>
  </conditionalFormatting>
  <conditionalFormatting sqref="O21:R21">
    <cfRule type="expression" dxfId="968" priority="1582" stopIfTrue="1">
      <formula>$AM37</formula>
    </cfRule>
  </conditionalFormatting>
  <conditionalFormatting sqref="AD21">
    <cfRule type="expression" dxfId="967" priority="1584" stopIfTrue="1">
      <formula>$AM42</formula>
    </cfRule>
  </conditionalFormatting>
  <conditionalFormatting sqref="AM34">
    <cfRule type="expression" dxfId="966" priority="1070" stopIfTrue="1">
      <formula>$Q36&lt;#REF!</formula>
    </cfRule>
  </conditionalFormatting>
  <conditionalFormatting sqref="AM37">
    <cfRule type="expression" dxfId="965" priority="1071" stopIfTrue="1">
      <formula>$AM61</formula>
    </cfRule>
  </conditionalFormatting>
  <conditionalFormatting sqref="Y21">
    <cfRule type="expression" dxfId="964" priority="9479" stopIfTrue="1">
      <formula>AND(AM38,$Y21&lt;&gt;0)</formula>
    </cfRule>
  </conditionalFormatting>
  <conditionalFormatting sqref="AM68">
    <cfRule type="expression" dxfId="963" priority="612" stopIfTrue="1">
      <formula>$Q70&lt;#REF!</formula>
    </cfRule>
  </conditionalFormatting>
  <conditionalFormatting sqref="AM71">
    <cfRule type="expression" dxfId="962" priority="613" stopIfTrue="1">
      <formula>$AM95</formula>
    </cfRule>
  </conditionalFormatting>
  <conditionalFormatting sqref="AM102">
    <cfRule type="expression" dxfId="961" priority="593" stopIfTrue="1">
      <formula>$Q104&lt;#REF!</formula>
    </cfRule>
  </conditionalFormatting>
  <conditionalFormatting sqref="AM105">
    <cfRule type="expression" dxfId="960" priority="594" stopIfTrue="1">
      <formula>$AM129</formula>
    </cfRule>
  </conditionalFormatting>
  <conditionalFormatting sqref="AM136">
    <cfRule type="expression" dxfId="959" priority="574" stopIfTrue="1">
      <formula>$Q138&lt;#REF!</formula>
    </cfRule>
  </conditionalFormatting>
  <conditionalFormatting sqref="AM139">
    <cfRule type="expression" dxfId="958" priority="575" stopIfTrue="1">
      <formula>$AM163</formula>
    </cfRule>
  </conditionalFormatting>
  <conditionalFormatting sqref="AM170">
    <cfRule type="expression" dxfId="957" priority="555" stopIfTrue="1">
      <formula>$Q172&lt;#REF!</formula>
    </cfRule>
  </conditionalFormatting>
  <conditionalFormatting sqref="AM173">
    <cfRule type="expression" dxfId="956" priority="556" stopIfTrue="1">
      <formula>$AM197</formula>
    </cfRule>
  </conditionalFormatting>
  <conditionalFormatting sqref="AM204">
    <cfRule type="expression" dxfId="955" priority="536" stopIfTrue="1">
      <formula>$Q206&lt;#REF!</formula>
    </cfRule>
  </conditionalFormatting>
  <conditionalFormatting sqref="AM207">
    <cfRule type="expression" dxfId="954" priority="537" stopIfTrue="1">
      <formula>$AM231</formula>
    </cfRule>
  </conditionalFormatting>
  <conditionalFormatting sqref="AM238">
    <cfRule type="expression" dxfId="953" priority="517" stopIfTrue="1">
      <formula>$Q240&lt;#REF!</formula>
    </cfRule>
  </conditionalFormatting>
  <conditionalFormatting sqref="AM241">
    <cfRule type="expression" dxfId="952" priority="518" stopIfTrue="1">
      <formula>$AM265</formula>
    </cfRule>
  </conditionalFormatting>
  <conditionalFormatting sqref="AM272">
    <cfRule type="expression" dxfId="951" priority="498" stopIfTrue="1">
      <formula>$Q274&lt;#REF!</formula>
    </cfRule>
  </conditionalFormatting>
  <conditionalFormatting sqref="AM275">
    <cfRule type="expression" dxfId="950" priority="499" stopIfTrue="1">
      <formula>$AM299</formula>
    </cfRule>
  </conditionalFormatting>
  <conditionalFormatting sqref="AM306">
    <cfRule type="expression" dxfId="949" priority="479" stopIfTrue="1">
      <formula>$Q308&lt;#REF!</formula>
    </cfRule>
  </conditionalFormatting>
  <conditionalFormatting sqref="AM309">
    <cfRule type="expression" dxfId="948" priority="480" stopIfTrue="1">
      <formula>$AM333</formula>
    </cfRule>
  </conditionalFormatting>
  <conditionalFormatting sqref="AM340">
    <cfRule type="expression" dxfId="947" priority="460" stopIfTrue="1">
      <formula>$Q342&lt;#REF!</formula>
    </cfRule>
  </conditionalFormatting>
  <conditionalFormatting sqref="AM343">
    <cfRule type="expression" dxfId="946" priority="461" stopIfTrue="1">
      <formula>$AM367</formula>
    </cfRule>
  </conditionalFormatting>
  <conditionalFormatting sqref="W50:W54 Y50:Y54 AA50:AA54 AC50:AC54 AE50:AE54 AG50:AG54">
    <cfRule type="expression" dxfId="945" priority="280" stopIfTrue="1">
      <formula>$K50&lt;&gt;"Mantenido"</formula>
    </cfRule>
  </conditionalFormatting>
  <conditionalFormatting sqref="O57:R57 O55:R55">
    <cfRule type="expression" dxfId="944" priority="279" stopIfTrue="1">
      <formula>$F55&lt;&gt;"Atadura Elemental"</formula>
    </cfRule>
  </conditionalFormatting>
  <conditionalFormatting sqref="O56:R56">
    <cfRule type="expression" dxfId="943" priority="278" stopIfTrue="1">
      <formula>$F56&lt;&gt;"Atadura Elemental"</formula>
    </cfRule>
  </conditionalFormatting>
  <conditionalFormatting sqref="Q55:R57">
    <cfRule type="expression" dxfId="942" priority="281" stopIfTrue="1">
      <formula>$K55&lt;&gt;"A dos elementos"</formula>
    </cfRule>
  </conditionalFormatting>
  <conditionalFormatting sqref="V50:AG54">
    <cfRule type="cellIs" dxfId="941" priority="276" stopIfTrue="1" operator="lessThan">
      <formula>0</formula>
    </cfRule>
    <cfRule type="expression" dxfId="940" priority="277" stopIfTrue="1">
      <formula>NOT(ISNUMBER(SEARCH(V$14,$Q50)))</formula>
    </cfRule>
  </conditionalFormatting>
  <conditionalFormatting sqref="U46:U47">
    <cfRule type="expression" dxfId="939" priority="275" stopIfTrue="1">
      <formula>OR(AND(P46=1,U46&gt;50),AND(P46=2,U46&gt;100),AND(P46=3,U46&gt;200))</formula>
    </cfRule>
  </conditionalFormatting>
  <conditionalFormatting sqref="D63:AG69">
    <cfRule type="expression" dxfId="938" priority="282" stopIfTrue="1">
      <formula>AND(ISNUMBER(D63),D63&gt;$AH63)</formula>
    </cfRule>
  </conditionalFormatting>
  <conditionalFormatting sqref="F56:N56 S56 U56">
    <cfRule type="expression" dxfId="937" priority="283" stopIfTrue="1">
      <formula>$P46&lt;2</formula>
    </cfRule>
  </conditionalFormatting>
  <conditionalFormatting sqref="F57:N57 S57 U57">
    <cfRule type="expression" dxfId="936" priority="284" stopIfTrue="1">
      <formula>$P46&lt;3</formula>
    </cfRule>
  </conditionalFormatting>
  <conditionalFormatting sqref="O50:P54">
    <cfRule type="expression" dxfId="935" priority="274" stopIfTrue="1">
      <formula>VALUE(LEFT(O50,2))&lt;&gt;VALUE(RIGHT(O50,2))</formula>
    </cfRule>
  </conditionalFormatting>
  <conditionalFormatting sqref="S55:S57">
    <cfRule type="expression" dxfId="934" priority="273" stopIfTrue="1">
      <formula>VALUE(RIGHT($S55,1))&gt;$AK55</formula>
    </cfRule>
  </conditionalFormatting>
  <conditionalFormatting sqref="V57:AG57">
    <cfRule type="expression" dxfId="933" priority="285" stopIfTrue="1">
      <formula>$AM69</formula>
    </cfRule>
    <cfRule type="cellIs" dxfId="932" priority="286" stopIfTrue="1" operator="lessThan">
      <formula>-TRUNC(SUM(V50:V54)/2)</formula>
    </cfRule>
  </conditionalFormatting>
  <conditionalFormatting sqref="O55:R55">
    <cfRule type="expression" dxfId="931" priority="287" stopIfTrue="1">
      <formula>$AM71</formula>
    </cfRule>
  </conditionalFormatting>
  <conditionalFormatting sqref="AD55">
    <cfRule type="expression" dxfId="930" priority="288" stopIfTrue="1">
      <formula>$AM76</formula>
    </cfRule>
  </conditionalFormatting>
  <conditionalFormatting sqref="Y55">
    <cfRule type="expression" dxfId="929" priority="289" stopIfTrue="1">
      <formula>AND(AM72,$Y55&lt;&gt;0)</formula>
    </cfRule>
  </conditionalFormatting>
  <conditionalFormatting sqref="W84:W88 Y84:Y88 AA84:AA88 AC84:AC88 AE84:AE88 AG84:AG88">
    <cfRule type="expression" dxfId="928" priority="127" stopIfTrue="1">
      <formula>$K84&lt;&gt;"Mantenido"</formula>
    </cfRule>
  </conditionalFormatting>
  <conditionalFormatting sqref="O91:R91 O89:R89">
    <cfRule type="expression" dxfId="927" priority="126" stopIfTrue="1">
      <formula>$F89&lt;&gt;"Atadura Elemental"</formula>
    </cfRule>
  </conditionalFormatting>
  <conditionalFormatting sqref="O90:R90">
    <cfRule type="expression" dxfId="926" priority="125" stopIfTrue="1">
      <formula>$F90&lt;&gt;"Atadura Elemental"</formula>
    </cfRule>
  </conditionalFormatting>
  <conditionalFormatting sqref="Q89:R91">
    <cfRule type="expression" dxfId="925" priority="128" stopIfTrue="1">
      <formula>$K89&lt;&gt;"A dos elementos"</formula>
    </cfRule>
  </conditionalFormatting>
  <conditionalFormatting sqref="V84:AG88">
    <cfRule type="cellIs" dxfId="924" priority="123" stopIfTrue="1" operator="lessThan">
      <formula>0</formula>
    </cfRule>
    <cfRule type="expression" dxfId="923" priority="124" stopIfTrue="1">
      <formula>NOT(ISNUMBER(SEARCH(V$14,$Q84)))</formula>
    </cfRule>
  </conditionalFormatting>
  <conditionalFormatting sqref="U80:U81">
    <cfRule type="expression" dxfId="922" priority="122" stopIfTrue="1">
      <formula>OR(AND(P80=1,U80&gt;50),AND(P80=2,U80&gt;100),AND(P80=3,U80&gt;200))</formula>
    </cfRule>
  </conditionalFormatting>
  <conditionalFormatting sqref="D97:AG103">
    <cfRule type="expression" dxfId="921" priority="129" stopIfTrue="1">
      <formula>AND(ISNUMBER(D97),D97&gt;$AH97)</formula>
    </cfRule>
  </conditionalFormatting>
  <conditionalFormatting sqref="F90:N90 S90 U90">
    <cfRule type="expression" dxfId="920" priority="130" stopIfTrue="1">
      <formula>$P80&lt;2</formula>
    </cfRule>
  </conditionalFormatting>
  <conditionalFormatting sqref="F91:N91 S91 U91">
    <cfRule type="expression" dxfId="919" priority="131" stopIfTrue="1">
      <formula>$P80&lt;3</formula>
    </cfRule>
  </conditionalFormatting>
  <conditionalFormatting sqref="O84:P88">
    <cfRule type="expression" dxfId="918" priority="121" stopIfTrue="1">
      <formula>VALUE(LEFT(O84,2))&lt;&gt;VALUE(RIGHT(O84,2))</formula>
    </cfRule>
  </conditionalFormatting>
  <conditionalFormatting sqref="S89:S91">
    <cfRule type="expression" dxfId="917" priority="120" stopIfTrue="1">
      <formula>VALUE(RIGHT($S89,1))&gt;$AK89</formula>
    </cfRule>
  </conditionalFormatting>
  <conditionalFormatting sqref="V91:AG91">
    <cfRule type="expression" dxfId="916" priority="132" stopIfTrue="1">
      <formula>$AM103</formula>
    </cfRule>
    <cfRule type="cellIs" dxfId="915" priority="133" stopIfTrue="1" operator="lessThan">
      <formula>-TRUNC(SUM(V84:V88)/2)</formula>
    </cfRule>
  </conditionalFormatting>
  <conditionalFormatting sqref="O89:R89">
    <cfRule type="expression" dxfId="914" priority="134" stopIfTrue="1">
      <formula>$AM105</formula>
    </cfRule>
  </conditionalFormatting>
  <conditionalFormatting sqref="AD89">
    <cfRule type="expression" dxfId="913" priority="135" stopIfTrue="1">
      <formula>$AM110</formula>
    </cfRule>
  </conditionalFormatting>
  <conditionalFormatting sqref="Y89">
    <cfRule type="expression" dxfId="912" priority="136" stopIfTrue="1">
      <formula>AND(AM106,$Y89&lt;&gt;0)</formula>
    </cfRule>
  </conditionalFormatting>
  <conditionalFormatting sqref="W118:W122 Y118:Y122 AA118:AA122 AC118:AC122 AE118:AE122 AG118:AG122">
    <cfRule type="expression" dxfId="911" priority="110" stopIfTrue="1">
      <formula>$K118&lt;&gt;"Mantenido"</formula>
    </cfRule>
  </conditionalFormatting>
  <conditionalFormatting sqref="O125:R125 O123:R123">
    <cfRule type="expression" dxfId="910" priority="109" stopIfTrue="1">
      <formula>$F123&lt;&gt;"Atadura Elemental"</formula>
    </cfRule>
  </conditionalFormatting>
  <conditionalFormatting sqref="O124:R124">
    <cfRule type="expression" dxfId="909" priority="108" stopIfTrue="1">
      <formula>$F124&lt;&gt;"Atadura Elemental"</formula>
    </cfRule>
  </conditionalFormatting>
  <conditionalFormatting sqref="Q123:R125">
    <cfRule type="expression" dxfId="908" priority="111" stopIfTrue="1">
      <formula>$K123&lt;&gt;"A dos elementos"</formula>
    </cfRule>
  </conditionalFormatting>
  <conditionalFormatting sqref="V118:AG122">
    <cfRule type="cellIs" dxfId="907" priority="106" stopIfTrue="1" operator="lessThan">
      <formula>0</formula>
    </cfRule>
    <cfRule type="expression" dxfId="906" priority="107" stopIfTrue="1">
      <formula>NOT(ISNUMBER(SEARCH(V$14,$Q118)))</formula>
    </cfRule>
  </conditionalFormatting>
  <conditionalFormatting sqref="U114:U115">
    <cfRule type="expression" dxfId="905" priority="105" stopIfTrue="1">
      <formula>OR(AND(P114=1,U114&gt;50),AND(P114=2,U114&gt;100),AND(P114=3,U114&gt;200))</formula>
    </cfRule>
  </conditionalFormatting>
  <conditionalFormatting sqref="D131:AG137">
    <cfRule type="expression" dxfId="904" priority="112" stopIfTrue="1">
      <formula>AND(ISNUMBER(D131),D131&gt;$AH131)</formula>
    </cfRule>
  </conditionalFormatting>
  <conditionalFormatting sqref="F124:N124 S124 U124">
    <cfRule type="expression" dxfId="903" priority="113" stopIfTrue="1">
      <formula>$P114&lt;2</formula>
    </cfRule>
  </conditionalFormatting>
  <conditionalFormatting sqref="F125:N125 S125 U125">
    <cfRule type="expression" dxfId="902" priority="114" stopIfTrue="1">
      <formula>$P114&lt;3</formula>
    </cfRule>
  </conditionalFormatting>
  <conditionalFormatting sqref="O118:P122">
    <cfRule type="expression" dxfId="901" priority="104" stopIfTrue="1">
      <formula>VALUE(LEFT(O118,2))&lt;&gt;VALUE(RIGHT(O118,2))</formula>
    </cfRule>
  </conditionalFormatting>
  <conditionalFormatting sqref="S123:S125">
    <cfRule type="expression" dxfId="900" priority="103" stopIfTrue="1">
      <formula>VALUE(RIGHT($S123,1))&gt;$AK123</formula>
    </cfRule>
  </conditionalFormatting>
  <conditionalFormatting sqref="V125:AG125">
    <cfRule type="expression" dxfId="899" priority="115" stopIfTrue="1">
      <formula>$AM137</formula>
    </cfRule>
    <cfRule type="cellIs" dxfId="898" priority="116" stopIfTrue="1" operator="lessThan">
      <formula>-TRUNC(SUM(V118:V122)/2)</formula>
    </cfRule>
  </conditionalFormatting>
  <conditionalFormatting sqref="O123:R123">
    <cfRule type="expression" dxfId="897" priority="117" stopIfTrue="1">
      <formula>$AM139</formula>
    </cfRule>
  </conditionalFormatting>
  <conditionalFormatting sqref="AD123">
    <cfRule type="expression" dxfId="896" priority="118" stopIfTrue="1">
      <formula>$AM144</formula>
    </cfRule>
  </conditionalFormatting>
  <conditionalFormatting sqref="Y123">
    <cfRule type="expression" dxfId="895" priority="119" stopIfTrue="1">
      <formula>AND(AM140,$Y123&lt;&gt;0)</formula>
    </cfRule>
  </conditionalFormatting>
  <conditionalFormatting sqref="W152:W156 Y152:Y156 AA152:AA156 AC152:AC156 AE152:AE156 AG152:AG156">
    <cfRule type="expression" dxfId="894" priority="93" stopIfTrue="1">
      <formula>$K152&lt;&gt;"Mantenido"</formula>
    </cfRule>
  </conditionalFormatting>
  <conditionalFormatting sqref="O159:R159 O157:R157">
    <cfRule type="expression" dxfId="893" priority="92" stopIfTrue="1">
      <formula>$F157&lt;&gt;"Atadura Elemental"</formula>
    </cfRule>
  </conditionalFormatting>
  <conditionalFormatting sqref="O158:R158">
    <cfRule type="expression" dxfId="892" priority="91" stopIfTrue="1">
      <formula>$F158&lt;&gt;"Atadura Elemental"</formula>
    </cfRule>
  </conditionalFormatting>
  <conditionalFormatting sqref="Q157:R159">
    <cfRule type="expression" dxfId="891" priority="94" stopIfTrue="1">
      <formula>$K157&lt;&gt;"A dos elementos"</formula>
    </cfRule>
  </conditionalFormatting>
  <conditionalFormatting sqref="V152:AG156">
    <cfRule type="cellIs" dxfId="890" priority="89" stopIfTrue="1" operator="lessThan">
      <formula>0</formula>
    </cfRule>
    <cfRule type="expression" dxfId="889" priority="90" stopIfTrue="1">
      <formula>NOT(ISNUMBER(SEARCH(V$14,$Q152)))</formula>
    </cfRule>
  </conditionalFormatting>
  <conditionalFormatting sqref="U148:U149">
    <cfRule type="expression" dxfId="888" priority="88" stopIfTrue="1">
      <formula>OR(AND(P148=1,U148&gt;50),AND(P148=2,U148&gt;100),AND(P148=3,U148&gt;200))</formula>
    </cfRule>
  </conditionalFormatting>
  <conditionalFormatting sqref="D165:AG171">
    <cfRule type="expression" dxfId="887" priority="95" stopIfTrue="1">
      <formula>AND(ISNUMBER(D165),D165&gt;$AH165)</formula>
    </cfRule>
  </conditionalFormatting>
  <conditionalFormatting sqref="F158:N158 S158 U158">
    <cfRule type="expression" dxfId="886" priority="96" stopIfTrue="1">
      <formula>$P148&lt;2</formula>
    </cfRule>
  </conditionalFormatting>
  <conditionalFormatting sqref="F159:N159 S159 U159">
    <cfRule type="expression" dxfId="885" priority="97" stopIfTrue="1">
      <formula>$P148&lt;3</formula>
    </cfRule>
  </conditionalFormatting>
  <conditionalFormatting sqref="O152:P156">
    <cfRule type="expression" dxfId="884" priority="87" stopIfTrue="1">
      <formula>VALUE(LEFT(O152,2))&lt;&gt;VALUE(RIGHT(O152,2))</formula>
    </cfRule>
  </conditionalFormatting>
  <conditionalFormatting sqref="S157:S159">
    <cfRule type="expression" dxfId="883" priority="86" stopIfTrue="1">
      <formula>VALUE(RIGHT($S157,1))&gt;$AK157</formula>
    </cfRule>
  </conditionalFormatting>
  <conditionalFormatting sqref="V159:AG159">
    <cfRule type="expression" dxfId="882" priority="98" stopIfTrue="1">
      <formula>$AM171</formula>
    </cfRule>
    <cfRule type="cellIs" dxfId="881" priority="99" stopIfTrue="1" operator="lessThan">
      <formula>-TRUNC(SUM(V152:V156)/2)</formula>
    </cfRule>
  </conditionalFormatting>
  <conditionalFormatting sqref="O157:R157">
    <cfRule type="expression" dxfId="880" priority="100" stopIfTrue="1">
      <formula>$AM173</formula>
    </cfRule>
  </conditionalFormatting>
  <conditionalFormatting sqref="AD157">
    <cfRule type="expression" dxfId="879" priority="101" stopIfTrue="1">
      <formula>$AM178</formula>
    </cfRule>
  </conditionalFormatting>
  <conditionalFormatting sqref="Y157">
    <cfRule type="expression" dxfId="878" priority="102" stopIfTrue="1">
      <formula>AND(AM174,$Y157&lt;&gt;0)</formula>
    </cfRule>
  </conditionalFormatting>
  <conditionalFormatting sqref="W186:W190 Y186:Y190 AA186:AA190 AC186:AC190 AE186:AE190 AG186:AG190">
    <cfRule type="expression" dxfId="877" priority="76" stopIfTrue="1">
      <formula>$K186&lt;&gt;"Mantenido"</formula>
    </cfRule>
  </conditionalFormatting>
  <conditionalFormatting sqref="O193:R193 O191:R191">
    <cfRule type="expression" dxfId="876" priority="75" stopIfTrue="1">
      <formula>$F191&lt;&gt;"Atadura Elemental"</formula>
    </cfRule>
  </conditionalFormatting>
  <conditionalFormatting sqref="O192:R192">
    <cfRule type="expression" dxfId="875" priority="74" stopIfTrue="1">
      <formula>$F192&lt;&gt;"Atadura Elemental"</formula>
    </cfRule>
  </conditionalFormatting>
  <conditionalFormatting sqref="Q191:R193">
    <cfRule type="expression" dxfId="874" priority="77" stopIfTrue="1">
      <formula>$K191&lt;&gt;"A dos elementos"</formula>
    </cfRule>
  </conditionalFormatting>
  <conditionalFormatting sqref="V186:AG190">
    <cfRule type="cellIs" dxfId="873" priority="72" stopIfTrue="1" operator="lessThan">
      <formula>0</formula>
    </cfRule>
    <cfRule type="expression" dxfId="872" priority="73" stopIfTrue="1">
      <formula>NOT(ISNUMBER(SEARCH(V$14,$Q186)))</formula>
    </cfRule>
  </conditionalFormatting>
  <conditionalFormatting sqref="U182:U183">
    <cfRule type="expression" dxfId="871" priority="71" stopIfTrue="1">
      <formula>OR(AND(P182=1,U182&gt;50),AND(P182=2,U182&gt;100),AND(P182=3,U182&gt;200))</formula>
    </cfRule>
  </conditionalFormatting>
  <conditionalFormatting sqref="D199:AG205">
    <cfRule type="expression" dxfId="870" priority="78" stopIfTrue="1">
      <formula>AND(ISNUMBER(D199),D199&gt;$AH199)</formula>
    </cfRule>
  </conditionalFormatting>
  <conditionalFormatting sqref="F192:N192 S192 U192">
    <cfRule type="expression" dxfId="869" priority="79" stopIfTrue="1">
      <formula>$P182&lt;2</formula>
    </cfRule>
  </conditionalFormatting>
  <conditionalFormatting sqref="F193:N193 S193 U193">
    <cfRule type="expression" dxfId="868" priority="80" stopIfTrue="1">
      <formula>$P182&lt;3</formula>
    </cfRule>
  </conditionalFormatting>
  <conditionalFormatting sqref="O186:P190">
    <cfRule type="expression" dxfId="867" priority="70" stopIfTrue="1">
      <formula>VALUE(LEFT(O186,2))&lt;&gt;VALUE(RIGHT(O186,2))</formula>
    </cfRule>
  </conditionalFormatting>
  <conditionalFormatting sqref="S191:S193">
    <cfRule type="expression" dxfId="866" priority="69" stopIfTrue="1">
      <formula>VALUE(RIGHT($S191,1))&gt;$AK191</formula>
    </cfRule>
  </conditionalFormatting>
  <conditionalFormatting sqref="V193:AG193">
    <cfRule type="expression" dxfId="865" priority="81" stopIfTrue="1">
      <formula>$AM205</formula>
    </cfRule>
    <cfRule type="cellIs" dxfId="864" priority="82" stopIfTrue="1" operator="lessThan">
      <formula>-TRUNC(SUM(V186:V190)/2)</formula>
    </cfRule>
  </conditionalFormatting>
  <conditionalFormatting sqref="O191:R191">
    <cfRule type="expression" dxfId="863" priority="83" stopIfTrue="1">
      <formula>$AM207</formula>
    </cfRule>
  </conditionalFormatting>
  <conditionalFormatting sqref="AD191">
    <cfRule type="expression" dxfId="862" priority="84" stopIfTrue="1">
      <formula>$AM212</formula>
    </cfRule>
  </conditionalFormatting>
  <conditionalFormatting sqref="Y191">
    <cfRule type="expression" dxfId="861" priority="85" stopIfTrue="1">
      <formula>AND(AM208,$Y191&lt;&gt;0)</formula>
    </cfRule>
  </conditionalFormatting>
  <conditionalFormatting sqref="W220:W224 Y220:Y224 AA220:AA224 AC220:AC224 AE220:AE224 AG220:AG224">
    <cfRule type="expression" dxfId="860" priority="59" stopIfTrue="1">
      <formula>$K220&lt;&gt;"Mantenido"</formula>
    </cfRule>
  </conditionalFormatting>
  <conditionalFormatting sqref="O227:R227 O225:R225">
    <cfRule type="expression" dxfId="859" priority="58" stopIfTrue="1">
      <formula>$F225&lt;&gt;"Atadura Elemental"</formula>
    </cfRule>
  </conditionalFormatting>
  <conditionalFormatting sqref="O226:R226">
    <cfRule type="expression" dxfId="858" priority="57" stopIfTrue="1">
      <formula>$F226&lt;&gt;"Atadura Elemental"</formula>
    </cfRule>
  </conditionalFormatting>
  <conditionalFormatting sqref="Q225:R227">
    <cfRule type="expression" dxfId="857" priority="60" stopIfTrue="1">
      <formula>$K225&lt;&gt;"A dos elementos"</formula>
    </cfRule>
  </conditionalFormatting>
  <conditionalFormatting sqref="V220:AG224">
    <cfRule type="cellIs" dxfId="856" priority="55" stopIfTrue="1" operator="lessThan">
      <formula>0</formula>
    </cfRule>
    <cfRule type="expression" dxfId="855" priority="56" stopIfTrue="1">
      <formula>NOT(ISNUMBER(SEARCH(V$14,$Q220)))</formula>
    </cfRule>
  </conditionalFormatting>
  <conditionalFormatting sqref="U216:U217">
    <cfRule type="expression" dxfId="854" priority="54" stopIfTrue="1">
      <formula>OR(AND(P216=1,U216&gt;50),AND(P216=2,U216&gt;100),AND(P216=3,U216&gt;200))</formula>
    </cfRule>
  </conditionalFormatting>
  <conditionalFormatting sqref="D233:AG239">
    <cfRule type="expression" dxfId="853" priority="61" stopIfTrue="1">
      <formula>AND(ISNUMBER(D233),D233&gt;$AH233)</formula>
    </cfRule>
  </conditionalFormatting>
  <conditionalFormatting sqref="F226:N226 S226 U226">
    <cfRule type="expression" dxfId="852" priority="62" stopIfTrue="1">
      <formula>$P216&lt;2</formula>
    </cfRule>
  </conditionalFormatting>
  <conditionalFormatting sqref="F227:N227 S227 U227">
    <cfRule type="expression" dxfId="851" priority="63" stopIfTrue="1">
      <formula>$P216&lt;3</formula>
    </cfRule>
  </conditionalFormatting>
  <conditionalFormatting sqref="O220:P224">
    <cfRule type="expression" dxfId="850" priority="53" stopIfTrue="1">
      <formula>VALUE(LEFT(O220,2))&lt;&gt;VALUE(RIGHT(O220,2))</formula>
    </cfRule>
  </conditionalFormatting>
  <conditionalFormatting sqref="S225:S227">
    <cfRule type="expression" dxfId="849" priority="52" stopIfTrue="1">
      <formula>VALUE(RIGHT($S225,1))&gt;$AK225</formula>
    </cfRule>
  </conditionalFormatting>
  <conditionalFormatting sqref="V227:AG227">
    <cfRule type="expression" dxfId="848" priority="64" stopIfTrue="1">
      <formula>$AM239</formula>
    </cfRule>
    <cfRule type="cellIs" dxfId="847" priority="65" stopIfTrue="1" operator="lessThan">
      <formula>-TRUNC(SUM(V220:V224)/2)</formula>
    </cfRule>
  </conditionalFormatting>
  <conditionalFormatting sqref="O225:R225">
    <cfRule type="expression" dxfId="846" priority="66" stopIfTrue="1">
      <formula>$AM241</formula>
    </cfRule>
  </conditionalFormatting>
  <conditionalFormatting sqref="AD225">
    <cfRule type="expression" dxfId="845" priority="67" stopIfTrue="1">
      <formula>$AM246</formula>
    </cfRule>
  </conditionalFormatting>
  <conditionalFormatting sqref="Y225">
    <cfRule type="expression" dxfId="844" priority="68" stopIfTrue="1">
      <formula>AND(AM242,$Y225&lt;&gt;0)</formula>
    </cfRule>
  </conditionalFormatting>
  <conditionalFormatting sqref="W254:W258 Y254:Y258 AA254:AA258 AC254:AC258 AE254:AE258 AG254:AG258">
    <cfRule type="expression" dxfId="843" priority="42" stopIfTrue="1">
      <formula>$K254&lt;&gt;"Mantenido"</formula>
    </cfRule>
  </conditionalFormatting>
  <conditionalFormatting sqref="O261:R261 O259:R259">
    <cfRule type="expression" dxfId="842" priority="41" stopIfTrue="1">
      <formula>$F259&lt;&gt;"Atadura Elemental"</formula>
    </cfRule>
  </conditionalFormatting>
  <conditionalFormatting sqref="O260:R260">
    <cfRule type="expression" dxfId="841" priority="40" stopIfTrue="1">
      <formula>$F260&lt;&gt;"Atadura Elemental"</formula>
    </cfRule>
  </conditionalFormatting>
  <conditionalFormatting sqref="Q259:R261">
    <cfRule type="expression" dxfId="840" priority="43" stopIfTrue="1">
      <formula>$K259&lt;&gt;"A dos elementos"</formula>
    </cfRule>
  </conditionalFormatting>
  <conditionalFormatting sqref="V254:AG258">
    <cfRule type="cellIs" dxfId="839" priority="38" stopIfTrue="1" operator="lessThan">
      <formula>0</formula>
    </cfRule>
    <cfRule type="expression" dxfId="838" priority="39" stopIfTrue="1">
      <formula>NOT(ISNUMBER(SEARCH(V$14,$Q254)))</formula>
    </cfRule>
  </conditionalFormatting>
  <conditionalFormatting sqref="U250:U251">
    <cfRule type="expression" dxfId="837" priority="37" stopIfTrue="1">
      <formula>OR(AND(P250=1,U250&gt;50),AND(P250=2,U250&gt;100),AND(P250=3,U250&gt;200))</formula>
    </cfRule>
  </conditionalFormatting>
  <conditionalFormatting sqref="D267:AG273">
    <cfRule type="expression" dxfId="836" priority="44" stopIfTrue="1">
      <formula>AND(ISNUMBER(D267),D267&gt;$AH267)</formula>
    </cfRule>
  </conditionalFormatting>
  <conditionalFormatting sqref="F260:N260 S260 U260">
    <cfRule type="expression" dxfId="835" priority="45" stopIfTrue="1">
      <formula>$P250&lt;2</formula>
    </cfRule>
  </conditionalFormatting>
  <conditionalFormatting sqref="F261:N261 S261 U261">
    <cfRule type="expression" dxfId="834" priority="46" stopIfTrue="1">
      <formula>$P250&lt;3</formula>
    </cfRule>
  </conditionalFormatting>
  <conditionalFormatting sqref="O254:P258">
    <cfRule type="expression" dxfId="833" priority="36" stopIfTrue="1">
      <formula>VALUE(LEFT(O254,2))&lt;&gt;VALUE(RIGHT(O254,2))</formula>
    </cfRule>
  </conditionalFormatting>
  <conditionalFormatting sqref="S259:S261">
    <cfRule type="expression" dxfId="832" priority="35" stopIfTrue="1">
      <formula>VALUE(RIGHT($S259,1))&gt;$AK259</formula>
    </cfRule>
  </conditionalFormatting>
  <conditionalFormatting sqref="V261:AG261">
    <cfRule type="expression" dxfId="831" priority="47" stopIfTrue="1">
      <formula>$AM273</formula>
    </cfRule>
    <cfRule type="cellIs" dxfId="830" priority="48" stopIfTrue="1" operator="lessThan">
      <formula>-TRUNC(SUM(V254:V258)/2)</formula>
    </cfRule>
  </conditionalFormatting>
  <conditionalFormatting sqref="O259:R259">
    <cfRule type="expression" dxfId="829" priority="49" stopIfTrue="1">
      <formula>$AM275</formula>
    </cfRule>
  </conditionalFormatting>
  <conditionalFormatting sqref="AD259">
    <cfRule type="expression" dxfId="828" priority="50" stopIfTrue="1">
      <formula>$AM280</formula>
    </cfRule>
  </conditionalFormatting>
  <conditionalFormatting sqref="Y259">
    <cfRule type="expression" dxfId="827" priority="51" stopIfTrue="1">
      <formula>AND(AM276,$Y259&lt;&gt;0)</formula>
    </cfRule>
  </conditionalFormatting>
  <conditionalFormatting sqref="W288:W292 Y288:Y292 AA288:AA292 AC288:AC292 AE288:AE292 AG288:AG292">
    <cfRule type="expression" dxfId="826" priority="25" stopIfTrue="1">
      <formula>$K288&lt;&gt;"Mantenido"</formula>
    </cfRule>
  </conditionalFormatting>
  <conditionalFormatting sqref="O295:R295 O293:R293">
    <cfRule type="expression" dxfId="825" priority="24" stopIfTrue="1">
      <formula>$F293&lt;&gt;"Atadura Elemental"</formula>
    </cfRule>
  </conditionalFormatting>
  <conditionalFormatting sqref="O294:R294">
    <cfRule type="expression" dxfId="824" priority="23" stopIfTrue="1">
      <formula>$F294&lt;&gt;"Atadura Elemental"</formula>
    </cfRule>
  </conditionalFormatting>
  <conditionalFormatting sqref="Q293:R295">
    <cfRule type="expression" dxfId="823" priority="26" stopIfTrue="1">
      <formula>$K293&lt;&gt;"A dos elementos"</formula>
    </cfRule>
  </conditionalFormatting>
  <conditionalFormatting sqref="V288:AG292">
    <cfRule type="cellIs" dxfId="822" priority="21" stopIfTrue="1" operator="lessThan">
      <formula>0</formula>
    </cfRule>
    <cfRule type="expression" dxfId="821" priority="22" stopIfTrue="1">
      <formula>NOT(ISNUMBER(SEARCH(V$14,$Q288)))</formula>
    </cfRule>
  </conditionalFormatting>
  <conditionalFormatting sqref="U284:U285">
    <cfRule type="expression" dxfId="820" priority="20" stopIfTrue="1">
      <formula>OR(AND(P284=1,U284&gt;50),AND(P284=2,U284&gt;100),AND(P284=3,U284&gt;200))</formula>
    </cfRule>
  </conditionalFormatting>
  <conditionalFormatting sqref="D301:AG307">
    <cfRule type="expression" dxfId="819" priority="27" stopIfTrue="1">
      <formula>AND(ISNUMBER(D301),D301&gt;$AH301)</formula>
    </cfRule>
  </conditionalFormatting>
  <conditionalFormatting sqref="F294:N294 S294 U294">
    <cfRule type="expression" dxfId="818" priority="28" stopIfTrue="1">
      <formula>$P284&lt;2</formula>
    </cfRule>
  </conditionalFormatting>
  <conditionalFormatting sqref="F295:N295 S295 U295">
    <cfRule type="expression" dxfId="817" priority="29" stopIfTrue="1">
      <formula>$P284&lt;3</formula>
    </cfRule>
  </conditionalFormatting>
  <conditionalFormatting sqref="O288:P292">
    <cfRule type="expression" dxfId="816" priority="19" stopIfTrue="1">
      <formula>VALUE(LEFT(O288,2))&lt;&gt;VALUE(RIGHT(O288,2))</formula>
    </cfRule>
  </conditionalFormatting>
  <conditionalFormatting sqref="S293:S295">
    <cfRule type="expression" dxfId="815" priority="18" stopIfTrue="1">
      <formula>VALUE(RIGHT($S293,1))&gt;$AK293</formula>
    </cfRule>
  </conditionalFormatting>
  <conditionalFormatting sqref="V295:AG295">
    <cfRule type="expression" dxfId="814" priority="30" stopIfTrue="1">
      <formula>$AM307</formula>
    </cfRule>
    <cfRule type="cellIs" dxfId="813" priority="31" stopIfTrue="1" operator="lessThan">
      <formula>-TRUNC(SUM(V288:V292)/2)</formula>
    </cfRule>
  </conditionalFormatting>
  <conditionalFormatting sqref="O293:R293">
    <cfRule type="expression" dxfId="812" priority="32" stopIfTrue="1">
      <formula>$AM309</formula>
    </cfRule>
  </conditionalFormatting>
  <conditionalFormatting sqref="AD293">
    <cfRule type="expression" dxfId="811" priority="33" stopIfTrue="1">
      <formula>$AM314</formula>
    </cfRule>
  </conditionalFormatting>
  <conditionalFormatting sqref="Y293">
    <cfRule type="expression" dxfId="810" priority="34" stopIfTrue="1">
      <formula>AND(AM310,$Y293&lt;&gt;0)</formula>
    </cfRule>
  </conditionalFormatting>
  <conditionalFormatting sqref="W322:W326 Y322:Y326 AA322:AA326 AC322:AC326 AE322:AE326 AG322:AG326">
    <cfRule type="expression" dxfId="809" priority="8" stopIfTrue="1">
      <formula>$K322&lt;&gt;"Mantenido"</formula>
    </cfRule>
  </conditionalFormatting>
  <conditionalFormatting sqref="O329:R329 O327:R327">
    <cfRule type="expression" dxfId="808" priority="7" stopIfTrue="1">
      <formula>$F327&lt;&gt;"Atadura Elemental"</formula>
    </cfRule>
  </conditionalFormatting>
  <conditionalFormatting sqref="O328:R328">
    <cfRule type="expression" dxfId="807" priority="6" stopIfTrue="1">
      <formula>$F328&lt;&gt;"Atadura Elemental"</formula>
    </cfRule>
  </conditionalFormatting>
  <conditionalFormatting sqref="Q327:R329">
    <cfRule type="expression" dxfId="806" priority="9" stopIfTrue="1">
      <formula>$K327&lt;&gt;"A dos elementos"</formula>
    </cfRule>
  </conditionalFormatting>
  <conditionalFormatting sqref="V322:AG326">
    <cfRule type="cellIs" dxfId="805" priority="4" stopIfTrue="1" operator="lessThan">
      <formula>0</formula>
    </cfRule>
    <cfRule type="expression" dxfId="804" priority="5" stopIfTrue="1">
      <formula>NOT(ISNUMBER(SEARCH(V$14,$Q322)))</formula>
    </cfRule>
  </conditionalFormatting>
  <conditionalFormatting sqref="U318:U319">
    <cfRule type="expression" dxfId="803" priority="3" stopIfTrue="1">
      <formula>OR(AND(P318=1,U318&gt;50),AND(P318=2,U318&gt;100),AND(P318=3,U318&gt;200))</formula>
    </cfRule>
  </conditionalFormatting>
  <conditionalFormatting sqref="D335:AG341">
    <cfRule type="expression" dxfId="802" priority="10" stopIfTrue="1">
      <formula>AND(ISNUMBER(D335),D335&gt;$AH335)</formula>
    </cfRule>
  </conditionalFormatting>
  <conditionalFormatting sqref="F328:N328 S328 U328">
    <cfRule type="expression" dxfId="801" priority="11" stopIfTrue="1">
      <formula>$P318&lt;2</formula>
    </cfRule>
  </conditionalFormatting>
  <conditionalFormatting sqref="F329:N329 S329 U329">
    <cfRule type="expression" dxfId="800" priority="12" stopIfTrue="1">
      <formula>$P318&lt;3</formula>
    </cfRule>
  </conditionalFormatting>
  <conditionalFormatting sqref="O322:P326">
    <cfRule type="expression" dxfId="799" priority="2" stopIfTrue="1">
      <formula>VALUE(LEFT(O322,2))&lt;&gt;VALUE(RIGHT(O322,2))</formula>
    </cfRule>
  </conditionalFormatting>
  <conditionalFormatting sqref="S327:S329">
    <cfRule type="expression" dxfId="798" priority="1" stopIfTrue="1">
      <formula>VALUE(RIGHT($S327,1))&gt;$AK327</formula>
    </cfRule>
  </conditionalFormatting>
  <conditionalFormatting sqref="V329:AG329">
    <cfRule type="expression" dxfId="797" priority="13" stopIfTrue="1">
      <formula>$AM341</formula>
    </cfRule>
    <cfRule type="cellIs" dxfId="796" priority="14" stopIfTrue="1" operator="lessThan">
      <formula>-TRUNC(SUM(V322:V326)/2)</formula>
    </cfRule>
  </conditionalFormatting>
  <conditionalFormatting sqref="O327:R327">
    <cfRule type="expression" dxfId="795" priority="15" stopIfTrue="1">
      <formula>$AM343</formula>
    </cfRule>
  </conditionalFormatting>
  <conditionalFormatting sqref="AD327">
    <cfRule type="expression" dxfId="794" priority="16" stopIfTrue="1">
      <formula>$AM348</formula>
    </cfRule>
  </conditionalFormatting>
  <conditionalFormatting sqref="Y327">
    <cfRule type="expression" dxfId="793"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topLeftCell="A43" zoomScaleNormal="100" workbookViewId="0">
      <selection activeCell="C34" sqref="C33:G34"/>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2755" t="s">
        <v>9024</v>
      </c>
      <c r="BA1" s="1986"/>
      <c r="BB1" s="1986"/>
      <c r="BC1" s="1986"/>
      <c r="BD1" s="1986"/>
      <c r="BE1" s="1986"/>
      <c r="BF1" s="1986"/>
      <c r="BG1" s="1986"/>
      <c r="BH1" s="1986"/>
      <c r="BI1" s="1986"/>
      <c r="BJ1" s="1986"/>
      <c r="BK1" s="1986"/>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1986"/>
      <c r="BA2" s="1986" t="s">
        <v>8635</v>
      </c>
      <c r="BB2" s="1986"/>
      <c r="BC2" s="1986"/>
      <c r="BD2" s="1986"/>
      <c r="BE2" s="1986"/>
      <c r="BF2" s="1986"/>
      <c r="BG2" s="1986"/>
      <c r="BH2" s="1986"/>
      <c r="BI2" s="1986"/>
      <c r="BJ2" s="1986"/>
      <c r="BK2" s="1986"/>
    </row>
    <row r="3" spans="1:63" ht="12" customHeight="1" thickBot="1" x14ac:dyDescent="0.25">
      <c r="A3" s="31"/>
      <c r="B3" s="542"/>
      <c r="C3" s="3023"/>
      <c r="D3" s="3023"/>
      <c r="E3" s="3023"/>
      <c r="F3" s="3023"/>
      <c r="G3" s="3023"/>
      <c r="H3" s="3023"/>
      <c r="I3" s="7"/>
      <c r="J3" s="7"/>
      <c r="K3" s="7"/>
      <c r="L3" s="7"/>
      <c r="M3" s="7"/>
      <c r="N3" s="7"/>
      <c r="O3" s="7"/>
      <c r="P3" s="7"/>
      <c r="Q3" s="8"/>
      <c r="S3" s="652"/>
      <c r="T3" s="541"/>
      <c r="U3" s="31"/>
      <c r="V3" s="542"/>
      <c r="W3" s="3023"/>
      <c r="X3" s="3023"/>
      <c r="Y3" s="3023"/>
      <c r="Z3" s="3023"/>
      <c r="AA3" s="3023"/>
      <c r="AB3" s="3023"/>
      <c r="AC3" s="7"/>
      <c r="AD3" s="7"/>
      <c r="AE3" s="7"/>
      <c r="AF3" s="7"/>
      <c r="AG3" s="7"/>
      <c r="AH3" s="7"/>
      <c r="AI3" s="7"/>
      <c r="AJ3" s="7"/>
      <c r="AK3" s="8"/>
      <c r="AL3" s="1209"/>
      <c r="AM3" s="31"/>
      <c r="AN3" s="31"/>
      <c r="AO3" s="827"/>
      <c r="AP3" s="800"/>
      <c r="AQ3" s="584"/>
      <c r="AR3" s="584"/>
      <c r="AS3" s="584"/>
      <c r="AT3" s="584"/>
      <c r="AU3" s="584"/>
      <c r="AV3" s="584"/>
      <c r="AW3" s="586"/>
      <c r="AX3" s="838"/>
      <c r="AY3" s="649"/>
      <c r="AZ3" s="1986"/>
      <c r="BA3" s="2795" t="e">
        <f>IF(VLOOKUP(AE12,ViasMayores,2,FALSE)="Mayor",IF(VLOOKUP(AE12,$C$15:$F$25,3,FALSE)="",NivelesLA_ViaMayorNoSubvía,""),IF(VLOOKUP(AE12,$C$15:$F$25,3,FALSE)="",NivelesLA_ViaMenorNosubvía,NivelesLA_ViaMenorSubvía))</f>
        <v>#N/A</v>
      </c>
      <c r="BB3" s="1986"/>
      <c r="BC3" s="1986"/>
      <c r="BD3" s="1986"/>
      <c r="BE3" s="1986"/>
      <c r="BF3" s="1986"/>
      <c r="BG3" s="1986"/>
      <c r="BH3" s="1986"/>
      <c r="BI3" s="1986"/>
      <c r="BJ3" s="1986"/>
      <c r="BK3" s="1986"/>
    </row>
    <row r="4" spans="1:63" ht="12" customHeight="1" thickBot="1" x14ac:dyDescent="0.25">
      <c r="A4" s="31"/>
      <c r="B4" s="542"/>
      <c r="C4" s="3023"/>
      <c r="D4" s="3023"/>
      <c r="E4" s="3023"/>
      <c r="F4" s="3023"/>
      <c r="G4" s="3023"/>
      <c r="H4" s="3023"/>
      <c r="I4" s="10"/>
      <c r="J4" s="3024" t="s">
        <v>1331</v>
      </c>
      <c r="K4" s="3024"/>
      <c r="L4" s="3025" t="str">
        <f>IF(OR(General!$F$22="",General!$F$22=0),"",General!$F$22)</f>
        <v/>
      </c>
      <c r="M4" s="3025"/>
      <c r="N4" s="3025"/>
      <c r="O4" s="3025"/>
      <c r="P4" s="3025"/>
      <c r="Q4" s="11"/>
      <c r="S4" s="652"/>
      <c r="T4" s="541"/>
      <c r="U4" s="31"/>
      <c r="V4" s="542"/>
      <c r="W4" s="3023"/>
      <c r="X4" s="3023"/>
      <c r="Y4" s="3023"/>
      <c r="Z4" s="3023"/>
      <c r="AA4" s="3023"/>
      <c r="AB4" s="3023"/>
      <c r="AC4" s="10"/>
      <c r="AD4" s="3024" t="s">
        <v>1331</v>
      </c>
      <c r="AE4" s="3024"/>
      <c r="AF4" s="3025" t="str">
        <f>IF(OR(General!$F$22="",General!$F$22=0),"",General!$F$22)</f>
        <v/>
      </c>
      <c r="AG4" s="3025"/>
      <c r="AH4" s="3025"/>
      <c r="AI4" s="3025"/>
      <c r="AJ4" s="3025"/>
      <c r="AK4" s="11"/>
      <c r="AL4" s="1209"/>
      <c r="AM4" s="31"/>
      <c r="AN4" s="31"/>
      <c r="AO4" s="827"/>
      <c r="AP4" s="808"/>
      <c r="AQ4" s="768"/>
      <c r="AR4" s="179"/>
      <c r="AS4" s="179"/>
      <c r="AT4" s="179"/>
      <c r="AU4" s="179"/>
      <c r="AV4" s="179"/>
      <c r="AW4" s="801"/>
      <c r="AX4" s="838"/>
      <c r="AY4" s="649"/>
      <c r="AZ4" s="1986"/>
      <c r="BA4" s="1986"/>
      <c r="BB4" s="1986"/>
      <c r="BC4" s="1986"/>
      <c r="BD4" s="1986"/>
      <c r="BE4" s="1986"/>
      <c r="BF4" s="1986"/>
      <c r="BG4" s="1986"/>
      <c r="BH4" s="1986"/>
      <c r="BI4" s="1986"/>
      <c r="BJ4" s="1986"/>
      <c r="BK4" s="1986"/>
    </row>
    <row r="5" spans="1:63" ht="12" customHeight="1" thickBot="1" x14ac:dyDescent="0.25">
      <c r="A5" s="31"/>
      <c r="B5" s="542"/>
      <c r="C5" s="3023"/>
      <c r="D5" s="3023"/>
      <c r="E5" s="3023"/>
      <c r="F5" s="3023"/>
      <c r="G5" s="3023"/>
      <c r="H5" s="3023"/>
      <c r="I5" s="10"/>
      <c r="J5" s="3017" t="s">
        <v>1332</v>
      </c>
      <c r="K5" s="3017"/>
      <c r="L5" s="2838" t="str">
        <f>PDs!$J$8</f>
        <v>Novel</v>
      </c>
      <c r="M5" s="2838"/>
      <c r="N5" s="2838"/>
      <c r="O5" s="2605" t="s">
        <v>1333</v>
      </c>
      <c r="P5" s="2593" t="str">
        <f>Principal!$O$6</f>
        <v>1</v>
      </c>
      <c r="Q5" s="12"/>
      <c r="S5" s="652"/>
      <c r="T5" s="541"/>
      <c r="U5" s="31"/>
      <c r="V5" s="542"/>
      <c r="W5" s="3023"/>
      <c r="X5" s="3023"/>
      <c r="Y5" s="3023"/>
      <c r="Z5" s="3023"/>
      <c r="AA5" s="3023"/>
      <c r="AB5" s="3023"/>
      <c r="AC5" s="10"/>
      <c r="AD5" s="3017" t="s">
        <v>1332</v>
      </c>
      <c r="AE5" s="3017"/>
      <c r="AF5" s="2838" t="str">
        <f>PDs!$J$8</f>
        <v>Novel</v>
      </c>
      <c r="AG5" s="2838"/>
      <c r="AH5" s="2838"/>
      <c r="AI5" s="2605" t="s">
        <v>1333</v>
      </c>
      <c r="AJ5" s="2593" t="str">
        <f>Principal!$O$6</f>
        <v>1</v>
      </c>
      <c r="AK5" s="12"/>
      <c r="AL5" s="1209"/>
      <c r="AM5" s="31"/>
      <c r="AN5" s="31"/>
      <c r="AO5" s="827"/>
      <c r="AP5" s="807"/>
      <c r="AQ5" s="769"/>
      <c r="AR5" s="583"/>
      <c r="AS5" s="3018" t="s">
        <v>7095</v>
      </c>
      <c r="AT5" s="3018"/>
      <c r="AU5" s="3018"/>
      <c r="AV5" s="3018"/>
      <c r="AW5" s="802"/>
      <c r="AX5" s="838"/>
      <c r="AY5" s="649"/>
      <c r="AZ5" s="1986"/>
      <c r="BA5" s="1986"/>
      <c r="BB5" s="1986"/>
      <c r="BC5" s="1986"/>
      <c r="BD5" s="1986"/>
      <c r="BE5" s="1986"/>
      <c r="BF5" s="1986"/>
      <c r="BG5" s="1986"/>
      <c r="BH5" s="1986"/>
      <c r="BI5" s="1986"/>
      <c r="BJ5" s="1986"/>
      <c r="BK5" s="1986"/>
    </row>
    <row r="6" spans="1:63" ht="12" customHeight="1" thickBot="1" x14ac:dyDescent="0.25">
      <c r="A6" s="31"/>
      <c r="B6" s="542"/>
      <c r="C6" s="3023"/>
      <c r="D6" s="3023"/>
      <c r="E6" s="3023"/>
      <c r="F6" s="3023"/>
      <c r="G6" s="3023"/>
      <c r="H6" s="3023"/>
      <c r="I6" s="10"/>
      <c r="J6" s="3018" t="s">
        <v>1693</v>
      </c>
      <c r="K6" s="3018"/>
      <c r="L6" s="3018"/>
      <c r="M6" s="3018"/>
      <c r="N6" s="3018"/>
      <c r="O6" s="3018"/>
      <c r="P6" s="3018"/>
      <c r="Q6" s="12"/>
      <c r="S6" s="652"/>
      <c r="T6" s="541"/>
      <c r="U6" s="31"/>
      <c r="V6" s="542"/>
      <c r="W6" s="3023"/>
      <c r="X6" s="3023"/>
      <c r="Y6" s="3023"/>
      <c r="Z6" s="3023"/>
      <c r="AA6" s="3023"/>
      <c r="AB6" s="3023"/>
      <c r="AC6" s="10"/>
      <c r="AD6" s="3018" t="s">
        <v>1694</v>
      </c>
      <c r="AE6" s="3018"/>
      <c r="AF6" s="3018"/>
      <c r="AG6" s="3018"/>
      <c r="AH6" s="3018"/>
      <c r="AI6" s="3018"/>
      <c r="AJ6" s="3018"/>
      <c r="AK6" s="12"/>
      <c r="AL6" s="1209"/>
      <c r="AM6" s="31"/>
      <c r="AN6" s="31"/>
      <c r="AO6" s="827"/>
      <c r="AP6" s="803"/>
      <c r="AR6" s="796"/>
      <c r="AS6" s="3018"/>
      <c r="AT6" s="3018"/>
      <c r="AU6" s="3018"/>
      <c r="AV6" s="3018"/>
      <c r="AW6" s="802"/>
      <c r="AX6" s="838"/>
      <c r="AY6" s="649"/>
      <c r="AZ6" s="1986"/>
      <c r="BA6" s="1986"/>
      <c r="BB6" s="1986"/>
      <c r="BC6" s="1986"/>
      <c r="BD6" s="1986"/>
      <c r="BE6" s="1986"/>
      <c r="BF6" s="1986"/>
      <c r="BG6" s="1986"/>
      <c r="BH6" s="1986"/>
      <c r="BI6" s="1986"/>
      <c r="BJ6" s="1986"/>
      <c r="BK6" s="1986"/>
    </row>
    <row r="7" spans="1:63" ht="12" customHeight="1" thickBot="1" x14ac:dyDescent="0.25">
      <c r="A7" s="31"/>
      <c r="B7" s="542"/>
      <c r="C7" s="3023"/>
      <c r="D7" s="3023"/>
      <c r="E7" s="3023"/>
      <c r="F7" s="3023"/>
      <c r="G7" s="3023"/>
      <c r="H7" s="3023"/>
      <c r="I7" s="10"/>
      <c r="J7" s="3018"/>
      <c r="K7" s="3018"/>
      <c r="L7" s="3018"/>
      <c r="M7" s="3018"/>
      <c r="N7" s="3018"/>
      <c r="O7" s="3018"/>
      <c r="P7" s="3018"/>
      <c r="Q7" s="12"/>
      <c r="S7" s="652"/>
      <c r="T7" s="541"/>
      <c r="U7" s="31"/>
      <c r="V7" s="542"/>
      <c r="W7" s="3023"/>
      <c r="X7" s="3023"/>
      <c r="Y7" s="3023"/>
      <c r="Z7" s="3023"/>
      <c r="AA7" s="3023"/>
      <c r="AB7" s="3023"/>
      <c r="AC7" s="10"/>
      <c r="AD7" s="3018"/>
      <c r="AE7" s="3018"/>
      <c r="AF7" s="3018"/>
      <c r="AG7" s="3018"/>
      <c r="AH7" s="3018"/>
      <c r="AI7" s="3018"/>
      <c r="AJ7" s="3018"/>
      <c r="AK7" s="12"/>
      <c r="AL7" s="1209"/>
      <c r="AM7" s="31"/>
      <c r="AN7" s="31"/>
      <c r="AO7" s="827"/>
      <c r="AP7" s="803"/>
      <c r="AQ7" s="796"/>
      <c r="AR7" s="796"/>
      <c r="AS7" s="796"/>
      <c r="AT7" s="796"/>
      <c r="AU7" s="796"/>
      <c r="AV7" s="796"/>
      <c r="AW7" s="802"/>
      <c r="AX7" s="838"/>
      <c r="AY7" s="649"/>
      <c r="AZ7" s="1986"/>
      <c r="BA7" s="1986"/>
      <c r="BB7" s="1986"/>
      <c r="BC7" s="1986"/>
      <c r="BD7" s="1986"/>
      <c r="BE7" s="1986"/>
      <c r="BF7" s="1986"/>
      <c r="BG7" s="1986"/>
      <c r="BH7" s="1986"/>
      <c r="BI7" s="1986"/>
      <c r="BJ7" s="1986"/>
      <c r="BK7" s="1986"/>
    </row>
    <row r="8" spans="1:63" ht="12" customHeight="1" thickBot="1" x14ac:dyDescent="0.25">
      <c r="A8" s="31"/>
      <c r="B8" s="542"/>
      <c r="C8" s="3023"/>
      <c r="D8" s="3023"/>
      <c r="E8" s="3023"/>
      <c r="F8" s="3023"/>
      <c r="G8" s="3023"/>
      <c r="H8" s="3023"/>
      <c r="I8" s="13"/>
      <c r="J8" s="13"/>
      <c r="K8" s="13"/>
      <c r="L8" s="13"/>
      <c r="M8" s="13"/>
      <c r="N8" s="13"/>
      <c r="O8" s="13"/>
      <c r="P8" s="13"/>
      <c r="Q8" s="14"/>
      <c r="S8" s="652"/>
      <c r="T8" s="541"/>
      <c r="U8" s="31"/>
      <c r="V8" s="542"/>
      <c r="W8" s="3023"/>
      <c r="X8" s="3023"/>
      <c r="Y8" s="3023"/>
      <c r="Z8" s="3023"/>
      <c r="AA8" s="3023"/>
      <c r="AB8" s="3023"/>
      <c r="AC8" s="13"/>
      <c r="AD8" s="13"/>
      <c r="AE8" s="13"/>
      <c r="AF8" s="13"/>
      <c r="AG8" s="13"/>
      <c r="AH8" s="13"/>
      <c r="AI8" s="13"/>
      <c r="AJ8" s="13"/>
      <c r="AK8" s="14"/>
      <c r="AL8" s="1209"/>
      <c r="AM8" s="31"/>
      <c r="AN8" s="31"/>
      <c r="AO8" s="827"/>
      <c r="AP8" s="804"/>
      <c r="AQ8" s="805"/>
      <c r="AR8" s="805"/>
      <c r="AS8" s="805"/>
      <c r="AT8" s="805"/>
      <c r="AU8" s="805"/>
      <c r="AV8" s="805"/>
      <c r="AW8" s="806"/>
      <c r="AX8" s="838"/>
      <c r="AY8" s="649"/>
      <c r="AZ8" s="1986"/>
      <c r="BA8" s="1986"/>
      <c r="BB8" s="1986"/>
      <c r="BC8" s="1986"/>
      <c r="BD8" s="1986"/>
      <c r="BE8" s="1986"/>
      <c r="BF8" s="1986"/>
      <c r="BG8" s="1986"/>
      <c r="BH8" s="1986"/>
      <c r="BI8" s="1986"/>
      <c r="BJ8" s="1986"/>
      <c r="BK8" s="1986"/>
    </row>
    <row r="9" spans="1:63" ht="12" customHeight="1" thickBot="1" x14ac:dyDescent="0.25">
      <c r="A9" s="31"/>
      <c r="B9" s="542"/>
      <c r="S9" s="652"/>
      <c r="T9" s="541"/>
      <c r="U9" s="31"/>
      <c r="V9" s="542"/>
      <c r="AL9" s="1209"/>
      <c r="AM9" s="31"/>
      <c r="AN9" s="31"/>
      <c r="AO9" s="827"/>
      <c r="AX9" s="838"/>
      <c r="AY9" s="649"/>
      <c r="AZ9" s="1986"/>
      <c r="BA9" s="1986"/>
      <c r="BB9" s="1986"/>
      <c r="BC9" s="1986"/>
      <c r="BD9" s="1986"/>
      <c r="BE9" s="1986"/>
      <c r="BF9" s="1986"/>
      <c r="BG9" s="1986"/>
      <c r="BH9" s="1986"/>
      <c r="BI9" s="1986"/>
      <c r="BJ9" s="1986"/>
      <c r="BK9" s="1986"/>
    </row>
    <row r="10" spans="1:63" ht="12" customHeight="1" thickBot="1" x14ac:dyDescent="0.25">
      <c r="A10" s="31"/>
      <c r="B10" s="542"/>
      <c r="C10" s="3026" t="s">
        <v>1521</v>
      </c>
      <c r="D10" s="3027"/>
      <c r="E10" s="3027"/>
      <c r="F10" s="3027"/>
      <c r="G10" s="3027"/>
      <c r="H10" s="3028"/>
      <c r="J10" s="3173" t="s">
        <v>1695</v>
      </c>
      <c r="K10" s="4434"/>
      <c r="L10" s="4434"/>
      <c r="M10" s="4435"/>
      <c r="O10" s="3062" t="s">
        <v>1520</v>
      </c>
      <c r="P10" s="3063"/>
      <c r="Q10" s="3134"/>
      <c r="S10" s="652"/>
      <c r="T10" s="541"/>
      <c r="U10" s="31"/>
      <c r="V10" s="542"/>
      <c r="W10" s="2944" t="s">
        <v>9020</v>
      </c>
      <c r="X10" s="2945"/>
      <c r="Y10" s="2945"/>
      <c r="Z10" s="2945"/>
      <c r="AA10" s="2945"/>
      <c r="AB10" s="2945"/>
      <c r="AC10" s="2946"/>
      <c r="AD10" s="1329"/>
      <c r="AE10" s="4436" t="s">
        <v>1697</v>
      </c>
      <c r="AF10" s="4437"/>
      <c r="AG10" s="4437"/>
      <c r="AH10" s="4437"/>
      <c r="AI10" s="4437"/>
      <c r="AJ10" s="4437"/>
      <c r="AK10" s="1626">
        <f>IF(Tablas!G543&gt;0,0,SUM(I15:I25))-COUNTA(Místicos!AG12:AJ50)</f>
        <v>0</v>
      </c>
      <c r="AL10" s="1209"/>
      <c r="AM10" s="31"/>
      <c r="AN10" s="31"/>
      <c r="AO10" s="827"/>
      <c r="AQ10" s="4540" t="s">
        <v>7100</v>
      </c>
      <c r="AR10" s="4541"/>
      <c r="AS10" s="4542"/>
      <c r="AT10" s="4543" t="s">
        <v>7101</v>
      </c>
      <c r="AU10" s="4544"/>
      <c r="AV10" s="4545"/>
      <c r="AX10" s="838"/>
      <c r="AY10" s="649"/>
      <c r="AZ10" s="1986"/>
      <c r="BA10" s="2764" t="s">
        <v>7174</v>
      </c>
      <c r="BB10" s="2764" t="s">
        <v>7175</v>
      </c>
      <c r="BC10" s="2764" t="s">
        <v>7176</v>
      </c>
      <c r="BD10" s="1986"/>
      <c r="BE10" s="1986"/>
      <c r="BF10" s="1986"/>
      <c r="BG10" s="1986"/>
      <c r="BH10" s="1986"/>
      <c r="BI10" s="1986"/>
      <c r="BJ10" s="1986"/>
      <c r="BK10" s="1986"/>
    </row>
    <row r="11" spans="1:63" ht="12" customHeight="1" thickBot="1" x14ac:dyDescent="0.25">
      <c r="A11" s="31"/>
      <c r="B11" s="542"/>
      <c r="C11" s="4462" t="s">
        <v>1698</v>
      </c>
      <c r="D11" s="4443"/>
      <c r="E11" s="4442" t="s">
        <v>1699</v>
      </c>
      <c r="F11" s="4443"/>
      <c r="G11" s="4430" t="s">
        <v>1700</v>
      </c>
      <c r="H11" s="4431"/>
      <c r="J11" s="4432" t="s">
        <v>1701</v>
      </c>
      <c r="K11" s="4433"/>
      <c r="L11" s="4411" t="s">
        <v>1518</v>
      </c>
      <c r="M11" s="4412"/>
      <c r="O11" s="2476" t="s">
        <v>1401</v>
      </c>
      <c r="P11" s="98" t="s">
        <v>1573</v>
      </c>
      <c r="Q11" s="2477" t="s">
        <v>1702</v>
      </c>
      <c r="S11" s="652"/>
      <c r="T11" s="541"/>
      <c r="U11" s="31"/>
      <c r="V11" s="542"/>
      <c r="W11" s="4458" t="s">
        <v>1704</v>
      </c>
      <c r="X11" s="4459"/>
      <c r="Y11" s="4459" t="s">
        <v>1703</v>
      </c>
      <c r="Z11" s="4459"/>
      <c r="AA11" s="4459"/>
      <c r="AB11" s="4459"/>
      <c r="AC11" s="1829" t="s">
        <v>1411</v>
      </c>
      <c r="AD11" s="650" t="s">
        <v>7316</v>
      </c>
      <c r="AE11" s="3394" t="s">
        <v>1705</v>
      </c>
      <c r="AF11" s="3395"/>
      <c r="AG11" s="3395" t="s">
        <v>1703</v>
      </c>
      <c r="AH11" s="3395"/>
      <c r="AI11" s="3395"/>
      <c r="AJ11" s="3395"/>
      <c r="AK11" s="1829" t="s">
        <v>1411</v>
      </c>
      <c r="AL11" s="1209"/>
      <c r="AM11" s="31"/>
      <c r="AN11" s="31"/>
      <c r="AO11" s="827"/>
      <c r="AX11" s="838"/>
      <c r="AY11" s="649"/>
      <c r="AZ11" s="1986"/>
      <c r="BA11" s="2779" t="b">
        <f>$AP$44="Onmyodo"</f>
        <v>0</v>
      </c>
      <c r="BB11" s="2779" t="b">
        <f>$AP$44="Vodoun"</f>
        <v>0</v>
      </c>
      <c r="BC11" s="2779" t="b">
        <f>$AP$44="Shamanica"</f>
        <v>0</v>
      </c>
      <c r="BD11" s="1986"/>
      <c r="BE11" s="1986"/>
      <c r="BF11" s="1986"/>
      <c r="BG11" s="1986"/>
      <c r="BH11" s="1986"/>
      <c r="BI11" s="1986"/>
      <c r="BJ11" s="1986"/>
      <c r="BK11" s="1986"/>
    </row>
    <row r="12" spans="1:63" ht="12" customHeight="1" thickBot="1" x14ac:dyDescent="0.25">
      <c r="A12" s="31"/>
      <c r="B12" s="542"/>
      <c r="C12" s="4444">
        <f>NiveldeMagia_final</f>
        <v>0</v>
      </c>
      <c r="D12" s="4445"/>
      <c r="E12" s="4438">
        <f>SUM(G15:G25)+G12+H26</f>
        <v>0</v>
      </c>
      <c r="F12" s="4439"/>
      <c r="G12" s="4448">
        <f>Metamagia!$T$37</f>
        <v>0</v>
      </c>
      <c r="H12" s="4449"/>
      <c r="J12" s="4344">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10</v>
      </c>
      <c r="K12" s="4345"/>
      <c r="L12" s="4348">
        <f>ACT_final+L21</f>
        <v>10</v>
      </c>
      <c r="M12" s="4349"/>
      <c r="O12" s="4352">
        <f>Turno_Nat_final</f>
        <v>60</v>
      </c>
      <c r="P12" s="4354">
        <f>IF(OR(PDs!E99="Proyección Mágica como ataque",PDs!E100="Proyección Mágica como ataque"),PDs!V22+ProyecciónMágica_final-PDs!V93,ProyecciónMágica_final+Q14)</f>
        <v>0</v>
      </c>
      <c r="Q12" s="4356">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391"/>
      <c r="X12" s="3621"/>
      <c r="Y12" s="4463"/>
      <c r="Z12" s="4464"/>
      <c r="AA12" s="4464"/>
      <c r="AB12" s="4465"/>
      <c r="AC12" s="609" t="str">
        <f>IF(Místicos!Y12=0,"",VLOOKUP(Místicos!Y12,Tabla_Conjuros,3,FALSE))</f>
        <v/>
      </c>
      <c r="AD12" s="2819" t="str">
        <f t="shared" ref="AD12:AD50" si="0">AE12&amp;AK12</f>
        <v/>
      </c>
      <c r="AE12" s="4391"/>
      <c r="AF12" s="3621"/>
      <c r="AG12" s="4463"/>
      <c r="AH12" s="4464"/>
      <c r="AI12" s="4464"/>
      <c r="AJ12" s="4465"/>
      <c r="AK12" s="1675"/>
      <c r="AL12" s="1330">
        <f>IF(Místicos!AG12=0,0,VLOOKUP(Místicos!AG12,Tabla_Conjuros,3,FALSE)-10)</f>
        <v>0</v>
      </c>
      <c r="AM12" s="1507" t="str">
        <f>IF(AK12=0,"Conjuros_LibreAcceso","Conjuros_LibreAcceso"&amp;(TRUNC(AK12/10)*10+10))</f>
        <v>Conjuros_LibreAcceso</v>
      </c>
      <c r="AN12" s="1507"/>
      <c r="AO12" s="827"/>
      <c r="AP12" s="4537" t="s">
        <v>7141</v>
      </c>
      <c r="AQ12" s="4538"/>
      <c r="AR12" s="4538"/>
      <c r="AS12" s="4538"/>
      <c r="AT12" s="4538"/>
      <c r="AU12" s="4538"/>
      <c r="AV12" s="4538"/>
      <c r="AW12" s="4539"/>
      <c r="AX12" s="839">
        <f>IF(AQ12=0,0,VLOOKUP(AQ12,Tablas!#REF!,2,FALSE)-10)</f>
        <v>0</v>
      </c>
      <c r="AY12" s="649"/>
      <c r="AZ12" s="2766"/>
      <c r="BA12" s="4409" t="s">
        <v>7173</v>
      </c>
      <c r="BB12" s="4409"/>
      <c r="BC12" s="4409"/>
      <c r="BD12" s="4409" t="s">
        <v>7185</v>
      </c>
      <c r="BE12" s="4409"/>
      <c r="BF12" s="4409"/>
      <c r="BG12" s="4409" t="s">
        <v>7186</v>
      </c>
      <c r="BH12" s="4409"/>
      <c r="BI12" s="4409"/>
      <c r="BJ12" s="1986"/>
      <c r="BK12" s="1986"/>
    </row>
    <row r="13" spans="1:63" ht="12" customHeight="1" thickBot="1" x14ac:dyDescent="0.25">
      <c r="A13" s="31"/>
      <c r="B13" s="542"/>
      <c r="C13" s="4446"/>
      <c r="D13" s="4447"/>
      <c r="E13" s="4440"/>
      <c r="F13" s="4441"/>
      <c r="G13" s="4448"/>
      <c r="H13" s="4449"/>
      <c r="J13" s="4346"/>
      <c r="K13" s="4347"/>
      <c r="L13" s="4350"/>
      <c r="M13" s="4351"/>
      <c r="O13" s="4353"/>
      <c r="P13" s="4355"/>
      <c r="Q13" s="4357"/>
      <c r="S13" s="652"/>
      <c r="T13" s="541" t="str">
        <f t="shared" ref="T13:T50" si="1">"Conjuros"&amp;IF(W13="","","_"&amp;SUBSTITUTE(W13," ",""))</f>
        <v>Conjuros</v>
      </c>
      <c r="U13" s="31"/>
      <c r="V13" s="763">
        <f>IF(AC13="",0,VLOOKUP(AC13,Tablas!$M$1038:$N$1047,2))</f>
        <v>0</v>
      </c>
      <c r="W13" s="4392"/>
      <c r="X13" s="3624"/>
      <c r="Y13" s="4404"/>
      <c r="Z13" s="4405"/>
      <c r="AA13" s="4405"/>
      <c r="AB13" s="4406"/>
      <c r="AC13" s="608" t="str">
        <f>IF(Místicos!Y13=0,"",VLOOKUP(Místicos!Y13,Tabla_Conjuros,3,FALSE))</f>
        <v/>
      </c>
      <c r="AD13" s="2819" t="str">
        <f t="shared" si="0"/>
        <v/>
      </c>
      <c r="AE13" s="4397"/>
      <c r="AF13" s="4398"/>
      <c r="AG13" s="4404"/>
      <c r="AH13" s="4405"/>
      <c r="AI13" s="4405"/>
      <c r="AJ13" s="4406"/>
      <c r="AK13" s="1748"/>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2766"/>
      <c r="BA13" s="2007" t="s">
        <v>7411</v>
      </c>
      <c r="BB13" s="2007" t="s">
        <v>7172</v>
      </c>
      <c r="BC13" s="2007" t="s">
        <v>7168</v>
      </c>
      <c r="BD13" s="2007" t="s">
        <v>7177</v>
      </c>
      <c r="BE13" s="2007" t="s">
        <v>7200</v>
      </c>
      <c r="BF13" s="2007" t="s">
        <v>7180</v>
      </c>
      <c r="BG13" s="2007">
        <v>-40</v>
      </c>
      <c r="BH13" s="2007" t="s">
        <v>7172</v>
      </c>
      <c r="BI13" s="2007" t="s">
        <v>1464</v>
      </c>
      <c r="BJ13" s="1986"/>
      <c r="BK13" s="1986"/>
    </row>
    <row r="14" spans="1:63" ht="12" customHeight="1" thickBot="1" x14ac:dyDescent="0.25">
      <c r="A14" s="31"/>
      <c r="B14" s="542"/>
      <c r="C14" s="4454" t="s">
        <v>1704</v>
      </c>
      <c r="D14" s="4455"/>
      <c r="E14" s="4456" t="s">
        <v>1706</v>
      </c>
      <c r="F14" s="4457"/>
      <c r="G14" s="565" t="s">
        <v>1707</v>
      </c>
      <c r="H14" s="755" t="s">
        <v>1411</v>
      </c>
      <c r="I14" s="871"/>
      <c r="J14" s="4367" t="s">
        <v>1710</v>
      </c>
      <c r="K14" s="4368"/>
      <c r="L14" s="4369">
        <f>VLOOKUP($L$12,Tabla_MagiaInnata,2)</f>
        <v>10</v>
      </c>
      <c r="M14" s="4370"/>
      <c r="O14" s="4361" t="s">
        <v>9905</v>
      </c>
      <c r="P14" s="4362"/>
      <c r="Q14" s="4365"/>
      <c r="S14" s="652"/>
      <c r="T14" s="541" t="str">
        <f t="shared" si="1"/>
        <v>Conjuros</v>
      </c>
      <c r="U14" s="31"/>
      <c r="V14" s="763">
        <f>IF(AC14="",0,VLOOKUP(AC14,Tablas!$M$1038:$N$1047,2))</f>
        <v>0</v>
      </c>
      <c r="W14" s="4391"/>
      <c r="X14" s="3621"/>
      <c r="Y14" s="4401"/>
      <c r="Z14" s="4402"/>
      <c r="AA14" s="4402"/>
      <c r="AB14" s="4403"/>
      <c r="AC14" s="609" t="str">
        <f>IF(Místicos!Y14=0,"",VLOOKUP(Místicos!Y14,Tabla_Conjuros,3,FALSE))</f>
        <v/>
      </c>
      <c r="AD14" s="2819" t="str">
        <f t="shared" si="0"/>
        <v/>
      </c>
      <c r="AE14" s="4391"/>
      <c r="AF14" s="3621"/>
      <c r="AG14" s="4401"/>
      <c r="AH14" s="4402"/>
      <c r="AI14" s="4402"/>
      <c r="AJ14" s="4403"/>
      <c r="AK14" s="1675"/>
      <c r="AL14" s="1330">
        <f>IF(Místicos!AG14=0,0,VLOOKUP(Místicos!AG14,Tabla_Conjuros,3,FALSE)-10)</f>
        <v>0</v>
      </c>
      <c r="AM14" s="1507" t="str">
        <f t="shared" si="2"/>
        <v>Conjuros_LibreAcceso</v>
      </c>
      <c r="AN14" s="541"/>
      <c r="AO14" s="827"/>
      <c r="AP14" s="4556" t="s">
        <v>7133</v>
      </c>
      <c r="AQ14" s="4554"/>
      <c r="AR14" s="4554"/>
      <c r="AS14" s="4553" t="s">
        <v>7158</v>
      </c>
      <c r="AT14" s="4554"/>
      <c r="AU14" s="4554"/>
      <c r="AV14" s="4554"/>
      <c r="AW14" s="4555"/>
      <c r="AX14" s="839"/>
      <c r="AY14" s="649"/>
      <c r="AZ14" s="2766"/>
      <c r="BA14" s="2007" t="s">
        <v>7412</v>
      </c>
      <c r="BB14" s="2007" t="s">
        <v>7172</v>
      </c>
      <c r="BC14" s="2007" t="s">
        <v>7169</v>
      </c>
      <c r="BD14" s="2007" t="s">
        <v>7178</v>
      </c>
      <c r="BE14" s="2007" t="s">
        <v>7201</v>
      </c>
      <c r="BF14" s="2007" t="s">
        <v>7181</v>
      </c>
      <c r="BG14" s="2007">
        <v>-20</v>
      </c>
      <c r="BH14" s="2007" t="s">
        <v>7172</v>
      </c>
      <c r="BI14" s="2007" t="s">
        <v>7187</v>
      </c>
      <c r="BJ14" s="1986"/>
      <c r="BK14" s="1986"/>
    </row>
    <row r="15" spans="1:63" ht="12" customHeight="1" thickBot="1" x14ac:dyDescent="0.25">
      <c r="A15" s="31"/>
      <c r="B15" s="990"/>
      <c r="C15" s="4450"/>
      <c r="D15" s="4451"/>
      <c r="E15" s="4452"/>
      <c r="F15" s="4453"/>
      <c r="G15" s="1740"/>
      <c r="H15" s="756">
        <f t="shared" ref="H15:H25" si="3">IF(C15="",0,MIN(100,G15/VLOOKUP(C15,Tabla_VíasOpuestas,7,FALSE)+VLOOKUP(C15,Tabla_VíasOpuestas,5,FALSE)))</f>
        <v>0</v>
      </c>
      <c r="I15" s="766">
        <f>IF(H15&gt;3,VLOOKUP(H15,Tabla_NumeroConjurosLA,IF(VLOOKUP(C15,ViasMayores,2,FALSE)="Mayor",2,3))-IF(Místicos!E15=0,0,TRUNC((H15+6)/10)),0)</f>
        <v>0</v>
      </c>
      <c r="J15" s="4417"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18"/>
      <c r="L15" s="4418"/>
      <c r="M15" s="4419"/>
      <c r="O15" s="4363"/>
      <c r="P15" s="4364"/>
      <c r="Q15" s="4366"/>
      <c r="S15" s="652"/>
      <c r="T15" s="541" t="str">
        <f t="shared" si="1"/>
        <v>Conjuros</v>
      </c>
      <c r="U15" s="31"/>
      <c r="V15" s="763">
        <f>IF(AC15="",0,VLOOKUP(AC15,Tablas!$M$1038:$N$1047,2))</f>
        <v>0</v>
      </c>
      <c r="W15" s="4392"/>
      <c r="X15" s="3624"/>
      <c r="Y15" s="4404"/>
      <c r="Z15" s="4405"/>
      <c r="AA15" s="4405"/>
      <c r="AB15" s="4406"/>
      <c r="AC15" s="608" t="str">
        <f>IF(Místicos!Y15=0,"",VLOOKUP(Místicos!Y15,Tabla_Conjuros,3,FALSE))</f>
        <v/>
      </c>
      <c r="AD15" s="2819" t="str">
        <f t="shared" si="0"/>
        <v/>
      </c>
      <c r="AE15" s="4397"/>
      <c r="AF15" s="4398"/>
      <c r="AG15" s="4404"/>
      <c r="AH15" s="4405"/>
      <c r="AI15" s="4405"/>
      <c r="AJ15" s="4406"/>
      <c r="AK15" s="1748"/>
      <c r="AL15" s="1330">
        <f>IF(Místicos!AG15=0,0,VLOOKUP(Místicos!AG15,Tabla_Conjuros,3,FALSE)-10)</f>
        <v>0</v>
      </c>
      <c r="AM15" s="1507" t="str">
        <f t="shared" si="2"/>
        <v>Conjuros_LibreAcceso</v>
      </c>
      <c r="AN15" s="541"/>
      <c r="AO15" s="827"/>
      <c r="AP15" s="812" t="s">
        <v>1411</v>
      </c>
      <c r="AQ15" s="4386" t="s">
        <v>7104</v>
      </c>
      <c r="AR15" s="4386"/>
      <c r="AS15" s="813" t="s">
        <v>1575</v>
      </c>
      <c r="AT15" s="181" t="s">
        <v>134</v>
      </c>
      <c r="AU15" s="181" t="s">
        <v>2203</v>
      </c>
      <c r="AV15" s="181" t="s">
        <v>1473</v>
      </c>
      <c r="AW15" s="811" t="s">
        <v>7131</v>
      </c>
      <c r="AX15" s="839"/>
      <c r="AY15" s="649"/>
      <c r="AZ15" s="2766"/>
      <c r="BA15" s="2007" t="s">
        <v>7413</v>
      </c>
      <c r="BB15" s="2007" t="s">
        <v>7172</v>
      </c>
      <c r="BC15" s="2007" t="s">
        <v>1586</v>
      </c>
      <c r="BD15" s="2007" t="s">
        <v>7179</v>
      </c>
      <c r="BE15" s="2007" t="s">
        <v>7202</v>
      </c>
      <c r="BF15" s="2007" t="s">
        <v>7182</v>
      </c>
      <c r="BG15" s="2007">
        <v>0</v>
      </c>
      <c r="BH15" s="2007" t="s">
        <v>7172</v>
      </c>
      <c r="BI15" s="2007" t="s">
        <v>7188</v>
      </c>
      <c r="BJ15" s="1986"/>
      <c r="BK15" s="1986"/>
    </row>
    <row r="16" spans="1:63" ht="12" customHeight="1" thickBot="1" x14ac:dyDescent="0.25">
      <c r="A16" s="31"/>
      <c r="B16" s="990"/>
      <c r="C16" s="4375"/>
      <c r="D16" s="4376"/>
      <c r="E16" s="4377"/>
      <c r="F16" s="4378"/>
      <c r="G16" s="1744"/>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391"/>
      <c r="X16" s="3621"/>
      <c r="Y16" s="4401"/>
      <c r="Z16" s="4402"/>
      <c r="AA16" s="4402"/>
      <c r="AB16" s="4403"/>
      <c r="AC16" s="609" t="str">
        <f>IF(Místicos!Y16=0,"",VLOOKUP(Místicos!Y16,Tabla_Conjuros,3,FALSE))</f>
        <v/>
      </c>
      <c r="AD16" s="2819" t="str">
        <f t="shared" si="0"/>
        <v/>
      </c>
      <c r="AE16" s="4391"/>
      <c r="AF16" s="3621"/>
      <c r="AG16" s="4401"/>
      <c r="AH16" s="4402"/>
      <c r="AI16" s="4402"/>
      <c r="AJ16" s="4403"/>
      <c r="AK16" s="1675"/>
      <c r="AL16" s="1330">
        <f>IF(Místicos!AG16=0,0,VLOOKUP(Místicos!AG16,Tabla_Conjuros,3,FALSE)-10)</f>
        <v>0</v>
      </c>
      <c r="AM16" s="1507" t="str">
        <f t="shared" si="2"/>
        <v>Conjuros_LibreAcceso</v>
      </c>
      <c r="AN16" s="541"/>
      <c r="AO16" s="827"/>
      <c r="AP16" s="818">
        <v>1</v>
      </c>
      <c r="AQ16" s="4526">
        <f>VLOOKUP(AP16,Tabla_MagiaNatural_DifBase,2,FALSE)+IF(NOT($AT$10="Magia Natural"),4,0)+IF($AS$32="",0,IF(ISNUMBER(SEARCH("(",$AS$32)),-4,-2))</f>
        <v>18</v>
      </c>
      <c r="AR16" s="4526"/>
      <c r="AS16" s="816">
        <v>20</v>
      </c>
      <c r="AT16" s="817" t="s">
        <v>1389</v>
      </c>
      <c r="AU16" s="817">
        <v>40</v>
      </c>
      <c r="AV16" s="817">
        <v>80</v>
      </c>
      <c r="AW16" s="819">
        <v>4</v>
      </c>
      <c r="AX16" s="839"/>
      <c r="AY16" s="649"/>
      <c r="AZ16" s="2766"/>
      <c r="BA16" s="2007" t="s">
        <v>7414</v>
      </c>
      <c r="BB16" s="2007" t="s">
        <v>7172</v>
      </c>
      <c r="BC16" s="2007" t="s">
        <v>7170</v>
      </c>
      <c r="BD16" s="2007" t="s">
        <v>6211</v>
      </c>
      <c r="BE16" s="2007" t="s">
        <v>7203</v>
      </c>
      <c r="BF16" s="2007" t="s">
        <v>7183</v>
      </c>
      <c r="BG16" s="2007">
        <v>20</v>
      </c>
      <c r="BH16" s="2007" t="s">
        <v>7172</v>
      </c>
      <c r="BI16" s="2007" t="s">
        <v>7188</v>
      </c>
      <c r="BJ16" s="1986"/>
      <c r="BK16" s="1986"/>
    </row>
    <row r="17" spans="1:63" ht="12" customHeight="1" thickBot="1" x14ac:dyDescent="0.25">
      <c r="A17" s="31"/>
      <c r="B17" s="990"/>
      <c r="C17" s="4373"/>
      <c r="D17" s="4374"/>
      <c r="E17" s="4379"/>
      <c r="F17" s="4380"/>
      <c r="G17" s="1741"/>
      <c r="H17" s="756">
        <f t="shared" si="3"/>
        <v>0</v>
      </c>
      <c r="I17" s="766">
        <f>IF(H17&gt;3,VLOOKUP(H17,Tabla_NumeroConjurosLA,IF(VLOOKUP(C17,ViasMayores,2,FALSE)="Mayor",2,3))-IF(Místicos!E17=0,0,TRUNC((H17+6)/10)),0)</f>
        <v>0</v>
      </c>
      <c r="J17" s="4358" t="s">
        <v>1517</v>
      </c>
      <c r="K17" s="4359"/>
      <c r="L17" s="4359"/>
      <c r="M17" s="4359"/>
      <c r="N17" s="4359"/>
      <c r="O17" s="4359"/>
      <c r="P17" s="4359"/>
      <c r="Q17" s="4360"/>
      <c r="S17" s="652"/>
      <c r="T17" s="541" t="str">
        <f t="shared" si="1"/>
        <v>Conjuros</v>
      </c>
      <c r="U17" s="31"/>
      <c r="V17" s="763">
        <f>IF(AC17="",0,VLOOKUP(AC17,Tablas!$M$1038:$N$1047,2))</f>
        <v>0</v>
      </c>
      <c r="W17" s="4392"/>
      <c r="X17" s="3624"/>
      <c r="Y17" s="4404"/>
      <c r="Z17" s="4405"/>
      <c r="AA17" s="4405"/>
      <c r="AB17" s="4406"/>
      <c r="AC17" s="608" t="str">
        <f>IF(Místicos!Y17=0,"",VLOOKUP(Místicos!Y17,Tabla_Conjuros,3,FALSE))</f>
        <v/>
      </c>
      <c r="AD17" s="2819" t="str">
        <f t="shared" si="0"/>
        <v/>
      </c>
      <c r="AE17" s="4397"/>
      <c r="AF17" s="4398"/>
      <c r="AG17" s="4404"/>
      <c r="AH17" s="4405"/>
      <c r="AI17" s="4405"/>
      <c r="AJ17" s="4406"/>
      <c r="AK17" s="1748"/>
      <c r="AL17" s="1330">
        <f>IF(Místicos!AG17=0,0,VLOOKUP(Místicos!AG17,Tabla_Conjuros,3,FALSE)-10)</f>
        <v>0</v>
      </c>
      <c r="AM17" s="1507" t="str">
        <f t="shared" si="2"/>
        <v>Conjuros_LibreAcceso</v>
      </c>
      <c r="AN17" s="541"/>
      <c r="AO17" s="827"/>
      <c r="AP17" s="818">
        <v>2</v>
      </c>
      <c r="AQ17" s="4526">
        <f>VLOOKUP(AP17,Tabla_MagiaNatural_DifBase,2,FALSE)+IF(NOT($AT$10="Magia Natural"),4,0)+IF($AS$32="",0,IF(ISNUMBER(SEARCH("(",$AS$32)),-4,-2))</f>
        <v>22</v>
      </c>
      <c r="AR17" s="4526"/>
      <c r="AS17" s="816">
        <v>50</v>
      </c>
      <c r="AT17" s="817" t="s">
        <v>5724</v>
      </c>
      <c r="AU17" s="817">
        <v>150</v>
      </c>
      <c r="AV17" s="817">
        <v>100</v>
      </c>
      <c r="AW17" s="819">
        <v>6</v>
      </c>
      <c r="AX17" s="839"/>
      <c r="AY17" s="649"/>
      <c r="AZ17" s="2766"/>
      <c r="BA17" s="2007" t="s">
        <v>7415</v>
      </c>
      <c r="BB17" s="2007" t="s">
        <v>7172</v>
      </c>
      <c r="BC17" s="2007" t="s">
        <v>7171</v>
      </c>
      <c r="BD17" s="2007" t="s">
        <v>3468</v>
      </c>
      <c r="BE17" s="2007" t="s">
        <v>7204</v>
      </c>
      <c r="BF17" s="2007" t="s">
        <v>7184</v>
      </c>
      <c r="BG17" s="2007">
        <v>40</v>
      </c>
      <c r="BH17" s="2007" t="s">
        <v>7172</v>
      </c>
      <c r="BI17" s="2007" t="s">
        <v>7189</v>
      </c>
      <c r="BJ17" s="1986"/>
      <c r="BK17" s="1986"/>
    </row>
    <row r="18" spans="1:63" ht="12" customHeight="1" x14ac:dyDescent="0.2">
      <c r="A18" s="31"/>
      <c r="B18" s="990"/>
      <c r="C18" s="4371"/>
      <c r="D18" s="4372"/>
      <c r="E18" s="4377"/>
      <c r="F18" s="4378"/>
      <c r="G18" s="1744"/>
      <c r="H18" s="757">
        <f t="shared" si="3"/>
        <v>0</v>
      </c>
      <c r="I18" s="766">
        <f>IF(H18&gt;3,VLOOKUP(H18,Tabla_NumeroConjurosLA,IF(VLOOKUP(C18,ViasMayores,2,FALSE)="Mayor",2,3))-IF(Místicos!E18=0,0,TRUNC((H18+6)/10)),0)</f>
        <v>0</v>
      </c>
      <c r="J18" s="4424" t="s">
        <v>1711</v>
      </c>
      <c r="K18" s="4426">
        <f>Zeón_final+L20-IF(AT10="Onmyodo",SUM($AW$62:$AW$72),0)</f>
        <v>145</v>
      </c>
      <c r="L18" s="4427"/>
      <c r="M18" s="4413"/>
      <c r="N18" s="4413"/>
      <c r="O18" s="4413"/>
      <c r="P18" s="4413"/>
      <c r="Q18" s="4414"/>
      <c r="S18" s="652"/>
      <c r="T18" s="541" t="str">
        <f t="shared" si="1"/>
        <v>Conjuros</v>
      </c>
      <c r="U18" s="31"/>
      <c r="V18" s="763">
        <f>IF(AC18="",0,VLOOKUP(AC18,Tablas!$M$1038:$N$1047,2))</f>
        <v>0</v>
      </c>
      <c r="W18" s="4391"/>
      <c r="X18" s="3621"/>
      <c r="Y18" s="4401"/>
      <c r="Z18" s="4402"/>
      <c r="AA18" s="4402"/>
      <c r="AB18" s="4403"/>
      <c r="AC18" s="609" t="str">
        <f>IF(Místicos!Y18=0,"",VLOOKUP(Místicos!Y18,Tabla_Conjuros,3,FALSE))</f>
        <v/>
      </c>
      <c r="AD18" s="2819" t="str">
        <f t="shared" si="0"/>
        <v/>
      </c>
      <c r="AE18" s="4391"/>
      <c r="AF18" s="3621"/>
      <c r="AG18" s="4401"/>
      <c r="AH18" s="4402"/>
      <c r="AI18" s="4402"/>
      <c r="AJ18" s="4403"/>
      <c r="AK18" s="1675"/>
      <c r="AL18" s="1330">
        <f>IF(Místicos!AG18=0,0,VLOOKUP(Místicos!AG18,Tabla_Conjuros,3,FALSE)-10)</f>
        <v>0</v>
      </c>
      <c r="AM18" s="1507" t="str">
        <f t="shared" si="2"/>
        <v>Conjuros_LibreAcceso</v>
      </c>
      <c r="AN18" s="541"/>
      <c r="AO18" s="827"/>
      <c r="AP18" s="818">
        <v>3</v>
      </c>
      <c r="AQ18" s="4526">
        <f>VLOOKUP(AP18,Tabla_MagiaNatural_DifBase,2,FALSE)+IF(NOT($AT$10="Magia Natural"),4,0)+IF($AS$32="",0,IF(ISNUMBER(SEARCH("(",$AS$32)),-4,-2))</f>
        <v>28</v>
      </c>
      <c r="AR18" s="4526"/>
      <c r="AS18" s="816">
        <v>100</v>
      </c>
      <c r="AT18" s="817" t="s">
        <v>7147</v>
      </c>
      <c r="AU18" s="817">
        <v>500</v>
      </c>
      <c r="AV18" s="817">
        <v>120</v>
      </c>
      <c r="AW18" s="819">
        <v>9</v>
      </c>
      <c r="AX18" s="839"/>
      <c r="AY18" s="649"/>
      <c r="AZ18" s="2766"/>
      <c r="BA18" s="2007" t="s">
        <v>7416</v>
      </c>
      <c r="BB18" s="2007" t="s">
        <v>7172</v>
      </c>
      <c r="BC18" s="2007" t="s">
        <v>7172</v>
      </c>
      <c r="BD18" s="2007" t="s">
        <v>3469</v>
      </c>
      <c r="BE18" s="2007" t="s">
        <v>7205</v>
      </c>
      <c r="BF18" s="2007" t="s">
        <v>7172</v>
      </c>
      <c r="BG18" s="2007">
        <v>80</v>
      </c>
      <c r="BH18" s="2007" t="s">
        <v>7172</v>
      </c>
      <c r="BI18" s="2007" t="s">
        <v>7172</v>
      </c>
      <c r="BJ18" s="1986"/>
      <c r="BK18" s="1986"/>
    </row>
    <row r="19" spans="1:63" ht="12" customHeight="1" x14ac:dyDescent="0.2">
      <c r="A19" s="31"/>
      <c r="B19" s="990"/>
      <c r="C19" s="4373"/>
      <c r="D19" s="4374"/>
      <c r="E19" s="4379"/>
      <c r="F19" s="4380"/>
      <c r="G19" s="1741"/>
      <c r="H19" s="756">
        <f t="shared" si="3"/>
        <v>0</v>
      </c>
      <c r="I19" s="766">
        <f>IF(H19&gt;3,VLOOKUP(H19,Tabla_NumeroConjurosLA,IF(VLOOKUP(C19,ViasMayores,2,FALSE)="Mayor",2,3))-IF(Místicos!E19=0,0,TRUNC((H19+6)/10)),0)</f>
        <v>0</v>
      </c>
      <c r="J19" s="4425"/>
      <c r="K19" s="4428"/>
      <c r="L19" s="4429"/>
      <c r="M19" s="4413"/>
      <c r="N19" s="4413"/>
      <c r="O19" s="4413"/>
      <c r="P19" s="4413"/>
      <c r="Q19" s="4414"/>
      <c r="S19" s="652"/>
      <c r="T19" s="541" t="str">
        <f t="shared" si="1"/>
        <v>Conjuros</v>
      </c>
      <c r="U19" s="31"/>
      <c r="V19" s="763">
        <f>IF(AC19="",0,VLOOKUP(AC19,Tablas!$M$1038:$N$1047,2))</f>
        <v>0</v>
      </c>
      <c r="W19" s="4392"/>
      <c r="X19" s="3624"/>
      <c r="Y19" s="4404"/>
      <c r="Z19" s="4405"/>
      <c r="AA19" s="4405"/>
      <c r="AB19" s="4406"/>
      <c r="AC19" s="608" t="str">
        <f>IF(Místicos!Y19=0,"",VLOOKUP(Místicos!Y19,Tabla_Conjuros,3,FALSE))</f>
        <v/>
      </c>
      <c r="AD19" s="2819" t="str">
        <f t="shared" si="0"/>
        <v/>
      </c>
      <c r="AE19" s="4397"/>
      <c r="AF19" s="4398"/>
      <c r="AG19" s="4404"/>
      <c r="AH19" s="4405"/>
      <c r="AI19" s="4405"/>
      <c r="AJ19" s="4406"/>
      <c r="AK19" s="1748"/>
      <c r="AL19" s="1330">
        <f>IF(Místicos!AG19=0,0,VLOOKUP(Místicos!AG19,Tabla_Conjuros,3,FALSE)-10)</f>
        <v>0</v>
      </c>
      <c r="AM19" s="1507" t="str">
        <f t="shared" si="2"/>
        <v>Conjuros_LibreAcceso</v>
      </c>
      <c r="AN19" s="541"/>
      <c r="AO19" s="827"/>
      <c r="AP19" s="818">
        <v>4</v>
      </c>
      <c r="AQ19" s="4526">
        <f>VLOOKUP(AP19,Tabla_MagiaNatural_DifBase,2,FALSE)+IF(NOT($AT$10="Magia Natural"),4,0)+IF($AS$32="",0,IF(ISNUMBER(SEARCH("(",$AS$32)),-4,-2))</f>
        <v>34</v>
      </c>
      <c r="AR19" s="4526"/>
      <c r="AS19" s="816">
        <v>150</v>
      </c>
      <c r="AT19" s="817" t="s">
        <v>5727</v>
      </c>
      <c r="AU19" s="817">
        <v>1000</v>
      </c>
      <c r="AV19" s="817">
        <v>160</v>
      </c>
      <c r="AW19" s="819">
        <v>12</v>
      </c>
      <c r="AX19" s="839"/>
      <c r="AY19" s="649"/>
      <c r="AZ19" s="2766"/>
      <c r="BA19" s="2007" t="s">
        <v>7417</v>
      </c>
      <c r="BB19" s="2007" t="s">
        <v>7172</v>
      </c>
      <c r="BC19" s="2007" t="s">
        <v>7172</v>
      </c>
      <c r="BD19" s="2007" t="s">
        <v>3470</v>
      </c>
      <c r="BE19" s="2007" t="s">
        <v>7206</v>
      </c>
      <c r="BF19" s="2007"/>
      <c r="BG19" s="2007">
        <v>120</v>
      </c>
      <c r="BH19" s="2007" t="s">
        <v>7172</v>
      </c>
      <c r="BI19" s="2007" t="s">
        <v>7172</v>
      </c>
      <c r="BJ19" s="1986"/>
      <c r="BK19" s="1986"/>
    </row>
    <row r="20" spans="1:63" ht="12" customHeight="1" thickBot="1" x14ac:dyDescent="0.25">
      <c r="A20" s="31"/>
      <c r="B20" s="990"/>
      <c r="C20" s="4375"/>
      <c r="D20" s="4376"/>
      <c r="E20" s="4377"/>
      <c r="F20" s="4378"/>
      <c r="G20" s="1744"/>
      <c r="H20" s="757">
        <f t="shared" si="3"/>
        <v>0</v>
      </c>
      <c r="I20" s="766">
        <f>IF(H20&gt;3,VLOOKUP(H20,Tabla_NumeroConjurosLA,IF(VLOOKUP(C20,ViasMayores,2,FALSE)="Mayor",2,3))-IF(Místicos!E20=0,0,TRUNC((H20+6)/10)),0)</f>
        <v>0</v>
      </c>
      <c r="J20" s="4381" t="s">
        <v>1712</v>
      </c>
      <c r="K20" s="4382"/>
      <c r="L20" s="2570"/>
      <c r="M20" s="4413"/>
      <c r="N20" s="4413"/>
      <c r="O20" s="4413"/>
      <c r="P20" s="4413"/>
      <c r="Q20" s="4414"/>
      <c r="S20" s="652"/>
      <c r="T20" s="541" t="str">
        <f t="shared" si="1"/>
        <v>Conjuros</v>
      </c>
      <c r="U20" s="31"/>
      <c r="V20" s="763">
        <f>IF(AC20="",0,VLOOKUP(AC20,Tablas!$M$1038:$N$1047,2))</f>
        <v>0</v>
      </c>
      <c r="W20" s="4391"/>
      <c r="X20" s="3621"/>
      <c r="Y20" s="4401"/>
      <c r="Z20" s="4402"/>
      <c r="AA20" s="4402"/>
      <c r="AB20" s="4403"/>
      <c r="AC20" s="609" t="str">
        <f>IF(Místicos!Y20=0,"",VLOOKUP(Místicos!Y20,Tabla_Conjuros,3,FALSE))</f>
        <v/>
      </c>
      <c r="AD20" s="2819" t="str">
        <f t="shared" si="0"/>
        <v/>
      </c>
      <c r="AE20" s="4391"/>
      <c r="AF20" s="3621"/>
      <c r="AG20" s="4401"/>
      <c r="AH20" s="4402"/>
      <c r="AI20" s="4402"/>
      <c r="AJ20" s="4403"/>
      <c r="AK20" s="1675"/>
      <c r="AL20" s="1330">
        <f>IF(Místicos!AG20=0,0,VLOOKUP(Místicos!AG20,Tabla_Conjuros,3,FALSE)-10)</f>
        <v>0</v>
      </c>
      <c r="AM20" s="1507" t="str">
        <f t="shared" si="2"/>
        <v>Conjuros_LibreAcceso</v>
      </c>
      <c r="AN20" s="541"/>
      <c r="AO20" s="827"/>
      <c r="AP20" s="820">
        <v>5</v>
      </c>
      <c r="AQ20" s="4567">
        <f>VLOOKUP(AP20,Tabla_MagiaNatural_DifBase,2,FALSE)+IF(NOT($AT$10="Magia Natural"),4,0)+IF($AS$32="",0,IF(ISNUMBER(SEARCH("(",$AS$32)),-4,-2))</f>
        <v>40</v>
      </c>
      <c r="AR20" s="4567"/>
      <c r="AS20" s="821">
        <v>250</v>
      </c>
      <c r="AT20" s="822" t="s">
        <v>7146</v>
      </c>
      <c r="AU20" s="822">
        <v>2500</v>
      </c>
      <c r="AV20" s="822">
        <v>180</v>
      </c>
      <c r="AW20" s="823">
        <v>16</v>
      </c>
      <c r="AX20" s="839"/>
      <c r="AY20" s="649"/>
      <c r="AZ20" s="2766"/>
      <c r="BA20" s="2007" t="s">
        <v>2843</v>
      </c>
      <c r="BB20" s="2007" t="s">
        <v>7172</v>
      </c>
      <c r="BC20" s="2007" t="s">
        <v>7172</v>
      </c>
      <c r="BD20" s="2007" t="s">
        <v>7172</v>
      </c>
      <c r="BE20" s="2007" t="s">
        <v>7172</v>
      </c>
      <c r="BF20" s="2007" t="s">
        <v>7190</v>
      </c>
      <c r="BG20" s="2007" t="s">
        <v>7172</v>
      </c>
      <c r="BH20" s="2007" t="s">
        <v>7172</v>
      </c>
      <c r="BI20" s="2007" t="s">
        <v>7172</v>
      </c>
      <c r="BJ20" s="2007" t="s">
        <v>7172</v>
      </c>
      <c r="BK20" s="1986"/>
    </row>
    <row r="21" spans="1:63" ht="12" customHeight="1" thickBot="1" x14ac:dyDescent="0.25">
      <c r="A21" s="31"/>
      <c r="B21" s="990"/>
      <c r="C21" s="4460"/>
      <c r="D21" s="4461"/>
      <c r="E21" s="4379"/>
      <c r="F21" s="4380"/>
      <c r="G21" s="1741"/>
      <c r="H21" s="756">
        <f t="shared" si="3"/>
        <v>0</v>
      </c>
      <c r="I21" s="766">
        <f>IF(H21&gt;3,VLOOKUP(H21,Tabla_NumeroConjurosLA,IF(VLOOKUP(C21,ViasMayores,2,FALSE)="Mayor",2,3))-IF(Místicos!E21=0,0,TRUNC((H21+6)/10)),0)</f>
        <v>0</v>
      </c>
      <c r="J21" s="4383" t="s">
        <v>1714</v>
      </c>
      <c r="K21" s="4384"/>
      <c r="L21" s="2571"/>
      <c r="M21" s="4415"/>
      <c r="N21" s="4415"/>
      <c r="O21" s="4415"/>
      <c r="P21" s="4415"/>
      <c r="Q21" s="4416"/>
      <c r="S21" s="652"/>
      <c r="T21" s="541" t="str">
        <f t="shared" si="1"/>
        <v>Conjuros</v>
      </c>
      <c r="U21" s="31"/>
      <c r="V21" s="763">
        <f>IF(AC21="",0,VLOOKUP(AC21,Tablas!$M$1038:$N$1047,2))</f>
        <v>0</v>
      </c>
      <c r="W21" s="4392"/>
      <c r="X21" s="3624"/>
      <c r="Y21" s="4404"/>
      <c r="Z21" s="4405"/>
      <c r="AA21" s="4405"/>
      <c r="AB21" s="4406"/>
      <c r="AC21" s="608" t="str">
        <f>IF(Místicos!Y21=0,"",VLOOKUP(Místicos!Y21,Tabla_Conjuros,3,FALSE))</f>
        <v/>
      </c>
      <c r="AD21" s="2819" t="str">
        <f t="shared" si="0"/>
        <v/>
      </c>
      <c r="AE21" s="4397"/>
      <c r="AF21" s="4398"/>
      <c r="AG21" s="4404"/>
      <c r="AH21" s="4405"/>
      <c r="AI21" s="4405"/>
      <c r="AJ21" s="4406"/>
      <c r="AK21" s="1748"/>
      <c r="AL21" s="1330">
        <f>IF(Místicos!AG21=0,0,VLOOKUP(Místicos!AG21,Tabla_Conjuros,3,FALSE)-10)</f>
        <v>0</v>
      </c>
      <c r="AM21" s="1507" t="str">
        <f t="shared" si="2"/>
        <v>Conjuros_LibreAcceso</v>
      </c>
      <c r="AN21" s="541"/>
      <c r="AO21" s="827"/>
      <c r="AX21" s="839"/>
      <c r="AY21" s="649"/>
      <c r="AZ21" s="2766"/>
      <c r="BA21" s="2007" t="s">
        <v>7172</v>
      </c>
      <c r="BB21" s="2007" t="s">
        <v>7172</v>
      </c>
      <c r="BC21" s="2007" t="s">
        <v>7191</v>
      </c>
      <c r="BD21" s="2007" t="s">
        <v>7172</v>
      </c>
      <c r="BE21" s="2007" t="s">
        <v>7198</v>
      </c>
      <c r="BF21" s="2007" t="s">
        <v>7194</v>
      </c>
      <c r="BG21" s="2007" t="s">
        <v>7172</v>
      </c>
      <c r="BH21" s="2007" t="s">
        <v>7172</v>
      </c>
      <c r="BI21" s="2007" t="s">
        <v>7172</v>
      </c>
      <c r="BJ21" s="2007" t="s">
        <v>7172</v>
      </c>
      <c r="BK21" s="2007" t="s">
        <v>7172</v>
      </c>
    </row>
    <row r="22" spans="1:63" ht="12" customHeight="1" thickBot="1" x14ac:dyDescent="0.25">
      <c r="A22" s="31"/>
      <c r="B22" s="990"/>
      <c r="C22" s="4375"/>
      <c r="D22" s="4376"/>
      <c r="E22" s="4377"/>
      <c r="F22" s="4378"/>
      <c r="G22" s="1744"/>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391"/>
      <c r="X22" s="3621"/>
      <c r="Y22" s="4401"/>
      <c r="Z22" s="4402"/>
      <c r="AA22" s="4402"/>
      <c r="AB22" s="4403"/>
      <c r="AC22" s="609" t="str">
        <f>IF(Místicos!Y22=0,"",VLOOKUP(Místicos!Y22,Tabla_Conjuros,3,FALSE))</f>
        <v/>
      </c>
      <c r="AD22" s="2819" t="str">
        <f t="shared" si="0"/>
        <v/>
      </c>
      <c r="AE22" s="4391"/>
      <c r="AF22" s="3621"/>
      <c r="AG22" s="4401"/>
      <c r="AH22" s="4402"/>
      <c r="AI22" s="4402"/>
      <c r="AJ22" s="4403"/>
      <c r="AK22" s="1675"/>
      <c r="AL22" s="1330">
        <f>IF(Místicos!AG22=0,0,VLOOKUP(Místicos!AG22,Tabla_Conjuros,3,FALSE)-10)</f>
        <v>0</v>
      </c>
      <c r="AM22" s="1507" t="str">
        <f t="shared" si="2"/>
        <v>Conjuros_LibreAcceso</v>
      </c>
      <c r="AN22" s="541"/>
      <c r="AO22" s="827"/>
      <c r="AP22" s="4556" t="s">
        <v>7154</v>
      </c>
      <c r="AQ22" s="4554"/>
      <c r="AR22" s="4554"/>
      <c r="AS22" s="4554"/>
      <c r="AT22" s="4554"/>
      <c r="AU22" s="4554"/>
      <c r="AV22" s="4554"/>
      <c r="AW22" s="4555"/>
      <c r="AX22" s="839"/>
      <c r="AY22" s="649"/>
      <c r="AZ22" s="2766"/>
      <c r="BA22" s="2007" t="s">
        <v>7172</v>
      </c>
      <c r="BB22" s="2007" t="s">
        <v>7172</v>
      </c>
      <c r="BC22" s="1986" t="s">
        <v>7192</v>
      </c>
      <c r="BD22" s="2007" t="s">
        <v>7172</v>
      </c>
      <c r="BE22" s="2007" t="s">
        <v>7196</v>
      </c>
      <c r="BF22" s="1986" t="s">
        <v>1464</v>
      </c>
      <c r="BG22" s="2007" t="s">
        <v>7172</v>
      </c>
      <c r="BH22" s="2007" t="s">
        <v>7172</v>
      </c>
      <c r="BI22" s="1986"/>
      <c r="BJ22" s="2007" t="s">
        <v>7172</v>
      </c>
      <c r="BK22" s="2007" t="s">
        <v>7172</v>
      </c>
    </row>
    <row r="23" spans="1:63" ht="12" customHeight="1" thickBot="1" x14ac:dyDescent="0.25">
      <c r="A23" s="31"/>
      <c r="B23" s="990"/>
      <c r="C23" s="4460"/>
      <c r="D23" s="4461"/>
      <c r="E23" s="4379"/>
      <c r="F23" s="4380"/>
      <c r="G23" s="1741"/>
      <c r="H23" s="756">
        <f t="shared" si="3"/>
        <v>0</v>
      </c>
      <c r="I23" s="766">
        <f>IF(H23&gt;3,VLOOKUP(H23,Tabla_NumeroConjurosLA,IF(VLOOKUP(C23,ViasMayores,2,FALSE)="Mayor",2,3))-IF(Místicos!E23=0,0,TRUNC((H23+6)/10)),0)</f>
        <v>0</v>
      </c>
      <c r="J23" s="2992" t="s">
        <v>1717</v>
      </c>
      <c r="K23" s="2993"/>
      <c r="L23" s="2993"/>
      <c r="M23" s="3063"/>
      <c r="N23" s="2993"/>
      <c r="O23" s="2993"/>
      <c r="P23" s="2993"/>
      <c r="Q23" s="2994"/>
      <c r="S23" s="652"/>
      <c r="T23" s="541" t="str">
        <f t="shared" si="1"/>
        <v>Conjuros</v>
      </c>
      <c r="U23" s="31"/>
      <c r="V23" s="763">
        <f>IF(AC23="",0,VLOOKUP(AC23,Tablas!$M$1038:$N$1047,2))</f>
        <v>0</v>
      </c>
      <c r="W23" s="4392"/>
      <c r="X23" s="3624"/>
      <c r="Y23" s="4404"/>
      <c r="Z23" s="4405"/>
      <c r="AA23" s="4405"/>
      <c r="AB23" s="4406"/>
      <c r="AC23" s="608" t="str">
        <f>IF(Místicos!Y23=0,"",VLOOKUP(Místicos!Y23,Tabla_Conjuros,3,FALSE))</f>
        <v/>
      </c>
      <c r="AD23" s="2819" t="str">
        <f t="shared" si="0"/>
        <v/>
      </c>
      <c r="AE23" s="4397"/>
      <c r="AF23" s="4398"/>
      <c r="AG23" s="4404"/>
      <c r="AH23" s="4405"/>
      <c r="AI23" s="4405"/>
      <c r="AJ23" s="4406"/>
      <c r="AK23" s="1748"/>
      <c r="AL23" s="1330">
        <f>IF(Místicos!AG23=0,0,VLOOKUP(Místicos!AG23,Tabla_Conjuros,3,FALSE)-10)</f>
        <v>0</v>
      </c>
      <c r="AM23" s="1507" t="str">
        <f t="shared" si="2"/>
        <v>Conjuros_LibreAcceso</v>
      </c>
      <c r="AN23" s="541"/>
      <c r="AO23" s="827"/>
      <c r="AP23" s="4548" t="s">
        <v>7105</v>
      </c>
      <c r="AQ23" s="4386"/>
      <c r="AR23" s="1636" t="s">
        <v>7155</v>
      </c>
      <c r="AS23" s="4386" t="s">
        <v>7107</v>
      </c>
      <c r="AT23" s="4386"/>
      <c r="AU23" s="1636" t="s">
        <v>7155</v>
      </c>
      <c r="AV23" s="181" t="s">
        <v>2740</v>
      </c>
      <c r="AW23" s="811" t="s">
        <v>7155</v>
      </c>
      <c r="AX23" s="839"/>
      <c r="AY23" s="649"/>
      <c r="AZ23" s="2766"/>
      <c r="BA23" s="1986"/>
      <c r="BB23" s="1986"/>
      <c r="BC23" s="1986" t="s">
        <v>7193</v>
      </c>
      <c r="BD23" s="2007" t="s">
        <v>7172</v>
      </c>
      <c r="BE23" s="2007" t="s">
        <v>7197</v>
      </c>
      <c r="BF23" s="1986" t="s">
        <v>7195</v>
      </c>
      <c r="BG23" s="2007" t="s">
        <v>7172</v>
      </c>
      <c r="BH23" s="2007" t="s">
        <v>7172</v>
      </c>
      <c r="BI23" s="1986"/>
      <c r="BJ23" s="1986"/>
      <c r="BK23" s="1986"/>
    </row>
    <row r="24" spans="1:63" ht="12" customHeight="1" x14ac:dyDescent="0.2">
      <c r="A24" s="31"/>
      <c r="B24" s="990"/>
      <c r="C24" s="4375"/>
      <c r="D24" s="4376"/>
      <c r="E24" s="4377"/>
      <c r="F24" s="4378"/>
      <c r="G24" s="1744"/>
      <c r="H24" s="757">
        <f t="shared" si="3"/>
        <v>0</v>
      </c>
      <c r="I24" s="766">
        <f>IF(H24&gt;3,VLOOKUP(H24,Tabla_NumeroConjurosLA,IF(VLOOKUP(C24,ViasMayores,2,FALSE)="Mayor",2,3))-IF(Místicos!E24=0,0,TRUNC((H24+6)/10)),0)</f>
        <v>0</v>
      </c>
      <c r="J24" s="4387" t="s">
        <v>1383</v>
      </c>
      <c r="K24" s="4388"/>
      <c r="L24" s="1831" t="s">
        <v>1426</v>
      </c>
      <c r="M24" s="1830" t="s">
        <v>1357</v>
      </c>
      <c r="N24" s="4389" t="s">
        <v>1719</v>
      </c>
      <c r="O24" s="4390"/>
      <c r="P24" s="4390"/>
      <c r="Q24" s="1832" t="str">
        <f>IF(P25="Invocador","No","Nv. "&amp;PDs!R15+Tablas!G388+2*Tablas!G389+3*Tablas!G390)</f>
        <v>Nv. 1</v>
      </c>
      <c r="S24" s="652"/>
      <c r="T24" s="541" t="str">
        <f t="shared" si="1"/>
        <v>Conjuros</v>
      </c>
      <c r="U24" s="31"/>
      <c r="V24" s="763">
        <f>IF(AC24="",0,VLOOKUP(AC24,Tablas!$M$1038:$N$1047,2))</f>
        <v>0</v>
      </c>
      <c r="W24" s="4391"/>
      <c r="X24" s="3621"/>
      <c r="Y24" s="4401"/>
      <c r="Z24" s="4402"/>
      <c r="AA24" s="4402"/>
      <c r="AB24" s="4403"/>
      <c r="AC24" s="609" t="str">
        <f>IF(Místicos!Y24=0,"",VLOOKUP(Místicos!Y24,Tabla_Conjuros,3,FALSE))</f>
        <v/>
      </c>
      <c r="AD24" s="2819" t="str">
        <f t="shared" si="0"/>
        <v/>
      </c>
      <c r="AE24" s="4391"/>
      <c r="AF24" s="3621"/>
      <c r="AG24" s="4401"/>
      <c r="AH24" s="4402"/>
      <c r="AI24" s="4402"/>
      <c r="AJ24" s="4403"/>
      <c r="AK24" s="1675"/>
      <c r="AL24" s="1330">
        <f>IF(Místicos!AG24=0,0,VLOOKUP(Místicos!AG24,Tabla_Conjuros,3,FALSE)-10)</f>
        <v>0</v>
      </c>
      <c r="AM24" s="1507" t="str">
        <f t="shared" si="2"/>
        <v>Conjuros_LibreAcceso</v>
      </c>
      <c r="AN24" s="541"/>
      <c r="AO24" s="827"/>
      <c r="AP24" s="4549" t="s">
        <v>7106</v>
      </c>
      <c r="AQ24" s="4550"/>
      <c r="AR24" s="1627" t="s">
        <v>7124</v>
      </c>
      <c r="AS24" s="4557" t="s">
        <v>7108</v>
      </c>
      <c r="AT24" s="4550"/>
      <c r="AU24" s="1628" t="s">
        <v>7124</v>
      </c>
      <c r="AV24" s="1629" t="s">
        <v>7113</v>
      </c>
      <c r="AW24" s="1630" t="s">
        <v>7140</v>
      </c>
      <c r="AX24" s="839"/>
      <c r="AY24" s="649"/>
      <c r="AZ24" s="2766"/>
      <c r="BA24" s="1986" t="s">
        <v>7199</v>
      </c>
      <c r="BB24" s="1986" t="s">
        <v>7199</v>
      </c>
      <c r="BC24" s="1986" t="s">
        <v>7199</v>
      </c>
      <c r="BD24" s="1986" t="s">
        <v>7199</v>
      </c>
      <c r="BE24" s="1986" t="s">
        <v>7199</v>
      </c>
      <c r="BF24" s="1986" t="s">
        <v>7199</v>
      </c>
      <c r="BG24" s="1986" t="s">
        <v>7199</v>
      </c>
      <c r="BH24" s="1986" t="s">
        <v>7199</v>
      </c>
      <c r="BI24" s="1986" t="s">
        <v>7199</v>
      </c>
      <c r="BJ24" s="1986" t="s">
        <v>7199</v>
      </c>
      <c r="BK24" s="1986" t="s">
        <v>7199</v>
      </c>
    </row>
    <row r="25" spans="1:63" ht="12" customHeight="1" x14ac:dyDescent="0.2">
      <c r="A25" s="31"/>
      <c r="B25" s="990"/>
      <c r="C25" s="4393"/>
      <c r="D25" s="4394"/>
      <c r="E25" s="4395"/>
      <c r="F25" s="4396"/>
      <c r="G25" s="1742"/>
      <c r="H25" s="758">
        <f t="shared" si="3"/>
        <v>0</v>
      </c>
      <c r="I25" s="766">
        <f>IF(H25&gt;3,VLOOKUP(H25,Tabla_NumeroConjurosLA,IF(VLOOKUP(C25,ViasMayores,2,FALSE)="Mayor",2,3))-IF(Místicos!E25=0,0,TRUNC((H25+6)/10)),0)</f>
        <v>0</v>
      </c>
      <c r="J25" s="4407" t="s">
        <v>1523</v>
      </c>
      <c r="K25" s="4408"/>
      <c r="L25" s="2572"/>
      <c r="M25" s="1745">
        <f>Convocar_final+L25</f>
        <v>15</v>
      </c>
      <c r="N25" s="3527" t="s">
        <v>1721</v>
      </c>
      <c r="O25" s="3527"/>
      <c r="P25" s="4399"/>
      <c r="Q25" s="3287"/>
      <c r="S25" s="652"/>
      <c r="T25" s="541" t="str">
        <f t="shared" si="1"/>
        <v>Conjuros</v>
      </c>
      <c r="U25" s="31"/>
      <c r="V25" s="763">
        <f>IF(AC25="",0,VLOOKUP(AC25,Tablas!$M$1038:$N$1047,2))</f>
        <v>0</v>
      </c>
      <c r="W25" s="4392"/>
      <c r="X25" s="3624"/>
      <c r="Y25" s="4404"/>
      <c r="Z25" s="4405"/>
      <c r="AA25" s="4405"/>
      <c r="AB25" s="4406"/>
      <c r="AC25" s="608" t="str">
        <f>IF(Místicos!Y25=0,"",VLOOKUP(Místicos!Y25,Tabla_Conjuros,3,FALSE))</f>
        <v/>
      </c>
      <c r="AD25" s="2819" t="str">
        <f t="shared" si="0"/>
        <v/>
      </c>
      <c r="AE25" s="4397"/>
      <c r="AF25" s="4398"/>
      <c r="AG25" s="4404"/>
      <c r="AH25" s="4405"/>
      <c r="AI25" s="4405"/>
      <c r="AJ25" s="4406"/>
      <c r="AK25" s="1748"/>
      <c r="AL25" s="1330">
        <f>IF(Místicos!AG25=0,0,VLOOKUP(Místicos!AG25,Tabla_Conjuros,3,FALSE)-10)</f>
        <v>0</v>
      </c>
      <c r="AM25" s="1507" t="str">
        <f t="shared" si="2"/>
        <v>Conjuros_LibreAcceso</v>
      </c>
      <c r="AN25" s="541"/>
      <c r="AO25" s="827"/>
      <c r="AP25" s="4551" t="s">
        <v>7102</v>
      </c>
      <c r="AQ25" s="4484"/>
      <c r="AR25" s="814" t="s">
        <v>2956</v>
      </c>
      <c r="AS25" s="4483" t="s">
        <v>1741</v>
      </c>
      <c r="AT25" s="4484"/>
      <c r="AU25" s="815" t="s">
        <v>2956</v>
      </c>
      <c r="AV25" s="1617" t="s">
        <v>7114</v>
      </c>
      <c r="AW25" s="1631" t="s">
        <v>3223</v>
      </c>
      <c r="AX25" s="839"/>
      <c r="AY25" s="649"/>
      <c r="AZ25" s="2766"/>
      <c r="BA25" s="1986"/>
      <c r="BB25" s="1986"/>
      <c r="BC25" s="1986"/>
      <c r="BD25" s="1986"/>
      <c r="BE25" s="1986"/>
      <c r="BF25" s="1986"/>
      <c r="BG25" s="1986"/>
      <c r="BH25" s="1986"/>
      <c r="BI25" s="1986"/>
      <c r="BJ25" s="1986"/>
      <c r="BK25" s="1986"/>
    </row>
    <row r="26" spans="1:63" ht="12" customHeight="1" thickBot="1" x14ac:dyDescent="0.25">
      <c r="A26" s="31"/>
      <c r="B26" s="542"/>
      <c r="C26" s="4573" t="s">
        <v>1696</v>
      </c>
      <c r="D26" s="4574"/>
      <c r="E26" s="4574"/>
      <c r="F26" s="4574"/>
      <c r="G26" s="4575"/>
      <c r="H26" s="797">
        <f>SUM(V12:V50)</f>
        <v>0</v>
      </c>
      <c r="I26" s="871"/>
      <c r="J26" s="4407" t="s">
        <v>1524</v>
      </c>
      <c r="K26" s="4408"/>
      <c r="L26" s="2573"/>
      <c r="M26" s="1746">
        <f>Controlar_final+L26</f>
        <v>0</v>
      </c>
      <c r="N26" s="4420" t="str">
        <f>IF(P25=0,"",IF(P25="Invocador","Invocador: No puede convocar criaturas","Elementalismo: +30 sobre seres afines, -30 sobre el resto, -60 sobre opuestos"))</f>
        <v/>
      </c>
      <c r="O26" s="4420"/>
      <c r="P26" s="4420"/>
      <c r="Q26" s="4421"/>
      <c r="S26" s="652"/>
      <c r="T26" s="541" t="str">
        <f t="shared" si="1"/>
        <v>Conjuros</v>
      </c>
      <c r="U26" s="31"/>
      <c r="V26" s="763">
        <f>IF(AC26="",0,VLOOKUP(AC26,Tablas!$M$1038:$N$1047,2))</f>
        <v>0</v>
      </c>
      <c r="W26" s="4391"/>
      <c r="X26" s="3621"/>
      <c r="Y26" s="4401"/>
      <c r="Z26" s="4402"/>
      <c r="AA26" s="4402"/>
      <c r="AB26" s="4403"/>
      <c r="AC26" s="609" t="str">
        <f>IF(Místicos!Y26=0,"",VLOOKUP(Místicos!Y26,Tabla_Conjuros,3,FALSE))</f>
        <v/>
      </c>
      <c r="AD26" s="2819" t="str">
        <f t="shared" si="0"/>
        <v/>
      </c>
      <c r="AE26" s="4391"/>
      <c r="AF26" s="3621"/>
      <c r="AG26" s="4401"/>
      <c r="AH26" s="4402"/>
      <c r="AI26" s="4402"/>
      <c r="AJ26" s="4403"/>
      <c r="AK26" s="1675"/>
      <c r="AL26" s="1330">
        <f>IF(Místicos!AG26=0,0,VLOOKUP(Místicos!AG26,Tabla_Conjuros,3,FALSE)-10)</f>
        <v>0</v>
      </c>
      <c r="AM26" s="1507" t="str">
        <f t="shared" si="2"/>
        <v>Conjuros_LibreAcceso</v>
      </c>
      <c r="AN26" s="541"/>
      <c r="AO26" s="827"/>
      <c r="AP26" s="4551" t="s">
        <v>7110</v>
      </c>
      <c r="AQ26" s="4484"/>
      <c r="AR26" s="814" t="s">
        <v>2956</v>
      </c>
      <c r="AS26" s="4483" t="s">
        <v>1743</v>
      </c>
      <c r="AT26" s="4484"/>
      <c r="AU26" s="815" t="s">
        <v>2917</v>
      </c>
      <c r="AV26" s="1617" t="s">
        <v>7115</v>
      </c>
      <c r="AW26" s="1615" t="s">
        <v>7124</v>
      </c>
      <c r="AX26" s="839"/>
      <c r="AY26" s="649"/>
      <c r="AZ26" s="2766"/>
      <c r="BA26" s="1986"/>
      <c r="BB26" s="1986"/>
      <c r="BC26" s="1986"/>
      <c r="BD26" s="1986"/>
      <c r="BE26" s="1986"/>
      <c r="BF26" s="1986"/>
      <c r="BG26" s="1986"/>
      <c r="BH26" s="1986"/>
      <c r="BI26" s="1986"/>
      <c r="BJ26" s="1986"/>
      <c r="BK26" s="1986"/>
    </row>
    <row r="27" spans="1:63" ht="12" customHeight="1" thickBot="1" x14ac:dyDescent="0.25">
      <c r="A27" s="31"/>
      <c r="B27" s="542"/>
      <c r="C27" s="4468" t="s">
        <v>7094</v>
      </c>
      <c r="D27" s="4469"/>
      <c r="E27" s="3131" t="str">
        <f>Tablas!$R$1061</f>
        <v/>
      </c>
      <c r="F27" s="3131"/>
      <c r="G27" s="3131"/>
      <c r="H27" s="4472"/>
      <c r="J27" s="4407" t="s">
        <v>1525</v>
      </c>
      <c r="K27" s="4408"/>
      <c r="L27" s="2573"/>
      <c r="M27" s="1746">
        <f>Atar_final+L27</f>
        <v>15</v>
      </c>
      <c r="N27" s="4420"/>
      <c r="O27" s="4420"/>
      <c r="P27" s="4420"/>
      <c r="Q27" s="4421"/>
      <c r="S27" s="652"/>
      <c r="T27" s="541" t="str">
        <f t="shared" si="1"/>
        <v>Conjuros</v>
      </c>
      <c r="U27" s="31"/>
      <c r="V27" s="763">
        <f>IF(AC27="",0,VLOOKUP(AC27,Tablas!$M$1038:$N$1047,2))</f>
        <v>0</v>
      </c>
      <c r="W27" s="4392"/>
      <c r="X27" s="3624"/>
      <c r="Y27" s="4404"/>
      <c r="Z27" s="4405"/>
      <c r="AA27" s="4405"/>
      <c r="AB27" s="4406"/>
      <c r="AC27" s="608" t="str">
        <f>IF(Místicos!Y27=0,"",VLOOKUP(Místicos!Y27,Tabla_Conjuros,3,FALSE))</f>
        <v/>
      </c>
      <c r="AD27" s="2819" t="str">
        <f t="shared" si="0"/>
        <v/>
      </c>
      <c r="AE27" s="4397"/>
      <c r="AF27" s="4398"/>
      <c r="AG27" s="4404"/>
      <c r="AH27" s="4405"/>
      <c r="AI27" s="4405"/>
      <c r="AJ27" s="4406"/>
      <c r="AK27" s="1748"/>
      <c r="AL27" s="1330">
        <f>IF(Místicos!AG27=0,0,VLOOKUP(Místicos!AG27,Tabla_Conjuros,3,FALSE)-10)</f>
        <v>0</v>
      </c>
      <c r="AM27" s="1507" t="str">
        <f t="shared" si="2"/>
        <v>Conjuros_LibreAcceso</v>
      </c>
      <c r="AN27" s="541"/>
      <c r="AO27" s="827"/>
      <c r="AP27" s="4551" t="s">
        <v>7111</v>
      </c>
      <c r="AQ27" s="4484"/>
      <c r="AR27" s="814" t="s">
        <v>2917</v>
      </c>
      <c r="AS27" s="4483" t="s">
        <v>7109</v>
      </c>
      <c r="AT27" s="4484"/>
      <c r="AU27" s="815" t="s">
        <v>2918</v>
      </c>
      <c r="AV27" s="1617" t="s">
        <v>7116</v>
      </c>
      <c r="AW27" s="1615">
        <v>-2</v>
      </c>
      <c r="AX27" s="839"/>
      <c r="AY27" s="649"/>
      <c r="AZ27" s="2766"/>
      <c r="BA27" s="1986"/>
      <c r="BB27" s="1986"/>
      <c r="BC27" s="1986"/>
      <c r="BD27" s="1986"/>
      <c r="BE27" s="1986"/>
      <c r="BF27" s="1986"/>
      <c r="BG27" s="1986"/>
      <c r="BH27" s="1986"/>
      <c r="BI27" s="1986"/>
      <c r="BJ27" s="1986"/>
      <c r="BK27" s="1986"/>
    </row>
    <row r="28" spans="1:63" ht="12" customHeight="1" thickBot="1" x14ac:dyDescent="0.25">
      <c r="A28" s="31"/>
      <c r="B28" s="542"/>
      <c r="C28" s="4470"/>
      <c r="D28" s="4471"/>
      <c r="E28" s="3207"/>
      <c r="F28" s="3207"/>
      <c r="G28" s="3207"/>
      <c r="H28" s="4473"/>
      <c r="J28" s="4481" t="s">
        <v>1526</v>
      </c>
      <c r="K28" s="4482"/>
      <c r="L28" s="2574"/>
      <c r="M28" s="1833">
        <f>Desconvocar_final+L28</f>
        <v>15</v>
      </c>
      <c r="N28" s="4422"/>
      <c r="O28" s="4422"/>
      <c r="P28" s="4422"/>
      <c r="Q28" s="4423"/>
      <c r="S28" s="652"/>
      <c r="T28" s="541" t="str">
        <f t="shared" si="1"/>
        <v>Conjuros</v>
      </c>
      <c r="U28" s="31"/>
      <c r="V28" s="763">
        <f>IF(AC28="",0,VLOOKUP(AC28,Tablas!$M$1038:$N$1047,2))</f>
        <v>0</v>
      </c>
      <c r="W28" s="4391"/>
      <c r="X28" s="3621"/>
      <c r="Y28" s="4401"/>
      <c r="Z28" s="4402"/>
      <c r="AA28" s="4402"/>
      <c r="AB28" s="4403"/>
      <c r="AC28" s="609" t="str">
        <f>IF(Místicos!Y28=0,"",VLOOKUP(Místicos!Y28,Tabla_Conjuros,3,FALSE))</f>
        <v/>
      </c>
      <c r="AD28" s="2819" t="str">
        <f t="shared" si="0"/>
        <v/>
      </c>
      <c r="AE28" s="4391"/>
      <c r="AF28" s="3621"/>
      <c r="AG28" s="4401"/>
      <c r="AH28" s="4402"/>
      <c r="AI28" s="4402"/>
      <c r="AJ28" s="4403"/>
      <c r="AK28" s="1675"/>
      <c r="AL28" s="1330">
        <f>IF(Místicos!AG28=0,0,VLOOKUP(Místicos!AG28,Tabla_Conjuros,3,FALSE)-10)</f>
        <v>0</v>
      </c>
      <c r="AM28" s="1507" t="str">
        <f t="shared" si="2"/>
        <v>Conjuros_LibreAcceso</v>
      </c>
      <c r="AN28" s="541"/>
      <c r="AO28" s="827"/>
      <c r="AP28" s="4551" t="s">
        <v>7112</v>
      </c>
      <c r="AQ28" s="4484"/>
      <c r="AR28" s="814" t="s">
        <v>2918</v>
      </c>
      <c r="AS28" s="4483" t="s">
        <v>1745</v>
      </c>
      <c r="AT28" s="4484"/>
      <c r="AU28" s="815" t="s">
        <v>3223</v>
      </c>
      <c r="AV28" s="1617" t="s">
        <v>7117</v>
      </c>
      <c r="AW28" s="1615">
        <v>-4</v>
      </c>
      <c r="AX28" s="839"/>
      <c r="AY28" s="649"/>
      <c r="AZ28" s="2766"/>
      <c r="BA28" s="1986"/>
      <c r="BB28" s="1986"/>
      <c r="BC28" s="1986"/>
      <c r="BD28" s="1986"/>
      <c r="BE28" s="1986"/>
      <c r="BF28" s="1986"/>
      <c r="BG28" s="1986"/>
      <c r="BH28" s="1986"/>
      <c r="BI28" s="1986"/>
      <c r="BJ28" s="1986"/>
      <c r="BK28" s="1986"/>
    </row>
    <row r="29" spans="1:63" ht="12" customHeight="1" thickBot="1" x14ac:dyDescent="0.25">
      <c r="A29" s="31"/>
      <c r="B29" s="542"/>
      <c r="C29" s="447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78"/>
      <c r="E29" s="4478"/>
      <c r="F29" s="4478"/>
      <c r="G29" s="4478"/>
      <c r="H29" s="4479"/>
      <c r="S29" s="652"/>
      <c r="T29" s="541" t="str">
        <f t="shared" si="1"/>
        <v>Conjuros</v>
      </c>
      <c r="U29" s="31"/>
      <c r="V29" s="763">
        <f>IF(AC29="",0,VLOOKUP(AC29,Tablas!$M$1038:$N$1047,2))</f>
        <v>0</v>
      </c>
      <c r="W29" s="4392"/>
      <c r="X29" s="3624"/>
      <c r="Y29" s="4404"/>
      <c r="Z29" s="4405"/>
      <c r="AA29" s="4405"/>
      <c r="AB29" s="4406"/>
      <c r="AC29" s="608" t="str">
        <f>IF(Místicos!Y29=0,"",VLOOKUP(Místicos!Y29,Tabla_Conjuros,3,FALSE))</f>
        <v/>
      </c>
      <c r="AD29" s="2819" t="str">
        <f t="shared" si="0"/>
        <v/>
      </c>
      <c r="AE29" s="4397"/>
      <c r="AF29" s="4398"/>
      <c r="AG29" s="4404"/>
      <c r="AH29" s="4405"/>
      <c r="AI29" s="4405"/>
      <c r="AJ29" s="4406"/>
      <c r="AK29" s="1748"/>
      <c r="AL29" s="1330">
        <f>IF(Místicos!AG29=0,0,VLOOKUP(Místicos!AG29,Tabla_Conjuros,3,FALSE)-10)</f>
        <v>0</v>
      </c>
      <c r="AM29" s="1507" t="str">
        <f t="shared" si="2"/>
        <v>Conjuros_LibreAcceso</v>
      </c>
      <c r="AN29" s="541"/>
      <c r="AO29" s="827"/>
      <c r="AP29" s="4552" t="s">
        <v>7148</v>
      </c>
      <c r="AQ29" s="4547"/>
      <c r="AR29" s="1632" t="s">
        <v>3223</v>
      </c>
      <c r="AS29" s="4546" t="s">
        <v>1748</v>
      </c>
      <c r="AT29" s="4547"/>
      <c r="AU29" s="1633" t="s">
        <v>7125</v>
      </c>
      <c r="AV29" s="1617" t="s">
        <v>7118</v>
      </c>
      <c r="AW29" s="1615">
        <v>-6</v>
      </c>
      <c r="AX29" s="839"/>
      <c r="AY29" s="649"/>
      <c r="AZ29" s="2766"/>
      <c r="BA29" s="1986"/>
      <c r="BB29" s="1986"/>
      <c r="BC29" s="1986"/>
      <c r="BD29" s="1986"/>
      <c r="BE29" s="1986"/>
      <c r="BF29" s="1986"/>
      <c r="BG29" s="1986"/>
      <c r="BH29" s="1986"/>
      <c r="BI29" s="1986"/>
      <c r="BJ29" s="1986"/>
      <c r="BK29" s="1986"/>
    </row>
    <row r="30" spans="1:63" ht="12" customHeight="1" thickBot="1" x14ac:dyDescent="0.25">
      <c r="A30" s="31"/>
      <c r="B30" s="542"/>
      <c r="S30" s="652"/>
      <c r="T30" s="541" t="str">
        <f t="shared" si="1"/>
        <v>Conjuros</v>
      </c>
      <c r="U30" s="31"/>
      <c r="V30" s="763">
        <f>IF(AC30="",0,VLOOKUP(AC30,Tablas!$M$1038:$N$1047,2))</f>
        <v>0</v>
      </c>
      <c r="W30" s="4391"/>
      <c r="X30" s="3621"/>
      <c r="Y30" s="4401"/>
      <c r="Z30" s="4402"/>
      <c r="AA30" s="4402"/>
      <c r="AB30" s="4403"/>
      <c r="AC30" s="609" t="str">
        <f>IF(Místicos!Y30=0,"",VLOOKUP(Místicos!Y30,Tabla_Conjuros,3,FALSE))</f>
        <v/>
      </c>
      <c r="AD30" s="2819" t="str">
        <f t="shared" si="0"/>
        <v/>
      </c>
      <c r="AE30" s="4391"/>
      <c r="AF30" s="3621"/>
      <c r="AG30" s="4401"/>
      <c r="AH30" s="4402"/>
      <c r="AI30" s="4402"/>
      <c r="AJ30" s="4403"/>
      <c r="AK30" s="1675"/>
      <c r="AL30" s="1330">
        <f>IF(Místicos!AG30=0,0,VLOOKUP(Místicos!AG30,Tabla_Conjuros,3,FALSE)-10)</f>
        <v>0</v>
      </c>
      <c r="AM30" s="1507" t="str">
        <f t="shared" si="2"/>
        <v>Conjuros_LibreAcceso</v>
      </c>
      <c r="AN30" s="541"/>
      <c r="AO30" s="827"/>
      <c r="AP30" s="747"/>
      <c r="AQ30" s="747"/>
      <c r="AR30" s="747"/>
      <c r="AS30" s="747"/>
      <c r="AT30" s="695"/>
      <c r="AU30" s="695"/>
      <c r="AV30" s="1634" t="s">
        <v>7119</v>
      </c>
      <c r="AW30" s="1615">
        <v>-8</v>
      </c>
      <c r="AX30" s="839"/>
      <c r="AY30" s="649"/>
      <c r="AZ30" s="2766"/>
      <c r="BA30" s="1986"/>
      <c r="BB30" s="1986"/>
      <c r="BC30" s="1986"/>
      <c r="BD30" s="1986"/>
      <c r="BE30" s="1986"/>
      <c r="BF30" s="1986"/>
      <c r="BG30" s="1986"/>
      <c r="BH30" s="1986"/>
      <c r="BI30" s="1986"/>
      <c r="BJ30" s="1986"/>
      <c r="BK30" s="1986"/>
    </row>
    <row r="31" spans="1:63" ht="12" customHeight="1" thickBot="1" x14ac:dyDescent="0.25">
      <c r="A31" s="31"/>
      <c r="B31" s="542"/>
      <c r="C31" s="4466" t="s">
        <v>1723</v>
      </c>
      <c r="D31" s="4466"/>
      <c r="E31" s="4466"/>
      <c r="F31" s="4466"/>
      <c r="G31" s="4466"/>
      <c r="H31" s="3829" t="s">
        <v>1724</v>
      </c>
      <c r="J31" s="3062" t="s">
        <v>1725</v>
      </c>
      <c r="K31" s="3063"/>
      <c r="L31" s="3063"/>
      <c r="M31" s="3063"/>
      <c r="N31" s="3063"/>
      <c r="O31" s="3063"/>
      <c r="P31" s="3063"/>
      <c r="Q31" s="3134"/>
      <c r="S31" s="652"/>
      <c r="T31" s="541" t="str">
        <f t="shared" si="1"/>
        <v>Conjuros</v>
      </c>
      <c r="U31" s="31"/>
      <c r="V31" s="763">
        <f>IF(AC31="",0,VLOOKUP(AC31,Tablas!$M$1038:$N$1047,2))</f>
        <v>0</v>
      </c>
      <c r="W31" s="4392"/>
      <c r="X31" s="3624"/>
      <c r="Y31" s="4404"/>
      <c r="Z31" s="4405"/>
      <c r="AA31" s="4405"/>
      <c r="AB31" s="4406"/>
      <c r="AC31" s="608" t="str">
        <f>IF(Místicos!Y31=0,"",VLOOKUP(Místicos!Y31,Tabla_Conjuros,3,FALSE))</f>
        <v/>
      </c>
      <c r="AD31" s="2819" t="str">
        <f t="shared" si="0"/>
        <v/>
      </c>
      <c r="AE31" s="4397"/>
      <c r="AF31" s="4398"/>
      <c r="AG31" s="4404"/>
      <c r="AH31" s="4405"/>
      <c r="AI31" s="4405"/>
      <c r="AJ31" s="4406"/>
      <c r="AK31" s="1748"/>
      <c r="AL31" s="1330">
        <f>IF(Místicos!AG31=0,0,VLOOKUP(Místicos!AG31,Tabla_Conjuros,3,FALSE)-10)</f>
        <v>0</v>
      </c>
      <c r="AM31" s="1507" t="str">
        <f t="shared" si="2"/>
        <v>Conjuros_LibreAcceso</v>
      </c>
      <c r="AN31" s="541"/>
      <c r="AO31" s="827"/>
      <c r="AP31" s="747"/>
      <c r="AQ31" s="4535" t="s">
        <v>2741</v>
      </c>
      <c r="AR31" s="4536"/>
      <c r="AS31" s="4565" t="s">
        <v>6436</v>
      </c>
      <c r="AT31" s="4566"/>
      <c r="AU31" s="695"/>
      <c r="AV31" s="1634" t="s">
        <v>7120</v>
      </c>
      <c r="AW31" s="1615">
        <v>-10</v>
      </c>
      <c r="AX31" s="839"/>
      <c r="AY31" s="649"/>
      <c r="AZ31" s="2766"/>
      <c r="BA31" s="1986"/>
      <c r="BB31" s="1986"/>
      <c r="BC31" s="1986"/>
      <c r="BD31" s="1986"/>
      <c r="BE31" s="1986"/>
      <c r="BF31" s="1986"/>
      <c r="BG31" s="1986"/>
      <c r="BH31" s="1986"/>
      <c r="BI31" s="1986"/>
      <c r="BJ31" s="1986"/>
      <c r="BK31" s="1986"/>
    </row>
    <row r="32" spans="1:63" ht="12" customHeight="1" thickBot="1" x14ac:dyDescent="0.25">
      <c r="A32" s="31"/>
      <c r="B32" s="542"/>
      <c r="C32" s="4480" t="s">
        <v>1726</v>
      </c>
      <c r="D32" s="4480"/>
      <c r="E32" s="4480"/>
      <c r="F32" s="4480"/>
      <c r="G32" s="4480"/>
      <c r="H32" s="3829"/>
      <c r="J32" s="4467" t="s">
        <v>1449</v>
      </c>
      <c r="K32" s="3055"/>
      <c r="L32" s="3055"/>
      <c r="M32" s="3055"/>
      <c r="N32" s="3055"/>
      <c r="O32" s="3055"/>
      <c r="P32" s="767" t="s">
        <v>1727</v>
      </c>
      <c r="Q32" s="752" t="s">
        <v>1517</v>
      </c>
      <c r="S32" s="652"/>
      <c r="T32" s="541" t="str">
        <f t="shared" si="1"/>
        <v>Conjuros</v>
      </c>
      <c r="U32" s="31"/>
      <c r="V32" s="763">
        <f>IF(AC32="",0,VLOOKUP(AC32,Tablas!$M$1038:$N$1047,2))</f>
        <v>0</v>
      </c>
      <c r="W32" s="4391"/>
      <c r="X32" s="3621"/>
      <c r="Y32" s="4401"/>
      <c r="Z32" s="4402"/>
      <c r="AA32" s="4402"/>
      <c r="AB32" s="4403"/>
      <c r="AC32" s="609" t="str">
        <f>IF(Místicos!Y32=0,"",VLOOKUP(Místicos!Y32,Tabla_Conjuros,3,FALSE))</f>
        <v/>
      </c>
      <c r="AD32" s="2819" t="str">
        <f t="shared" si="0"/>
        <v/>
      </c>
      <c r="AE32" s="4391"/>
      <c r="AF32" s="3621"/>
      <c r="AG32" s="4401"/>
      <c r="AH32" s="4402"/>
      <c r="AI32" s="4402"/>
      <c r="AJ32" s="4403"/>
      <c r="AK32" s="1675"/>
      <c r="AL32" s="1330">
        <f>IF(Místicos!AG32=0,0,VLOOKUP(Místicos!AG32,Tabla_Conjuros,3,FALSE)-10)</f>
        <v>0</v>
      </c>
      <c r="AM32" s="1507" t="str">
        <f t="shared" si="2"/>
        <v>Conjuros_LibreAcceso</v>
      </c>
      <c r="AN32" s="541"/>
      <c r="AO32" s="827"/>
      <c r="AP32" s="747"/>
      <c r="AQ32" s="4561">
        <f>Presencia_final*2+Bono_Des</f>
        <v>60</v>
      </c>
      <c r="AR32" s="4562"/>
      <c r="AS32" s="4379"/>
      <c r="AT32" s="4558"/>
      <c r="AU32" s="695"/>
      <c r="AV32" s="1634" t="s">
        <v>7121</v>
      </c>
      <c r="AW32" s="1615">
        <v>-12</v>
      </c>
      <c r="AX32" s="839"/>
      <c r="AY32" s="649"/>
      <c r="AZ32" s="2766"/>
      <c r="BA32" s="1986"/>
      <c r="BB32" s="1986"/>
      <c r="BC32" s="1986"/>
      <c r="BD32" s="1986"/>
      <c r="BE32" s="1986"/>
      <c r="BF32" s="1986"/>
      <c r="BG32" s="1986"/>
      <c r="BH32" s="1986"/>
      <c r="BI32" s="1986"/>
      <c r="BJ32" s="1986"/>
      <c r="BK32" s="1986"/>
    </row>
    <row r="33" spans="1:63" ht="12" customHeight="1" thickBot="1" x14ac:dyDescent="0.25">
      <c r="A33" s="31"/>
      <c r="B33" s="542"/>
      <c r="C33" s="4474"/>
      <c r="D33" s="4475"/>
      <c r="E33" s="4475"/>
      <c r="F33" s="4475"/>
      <c r="G33" s="4476"/>
      <c r="H33" s="1701"/>
      <c r="J33" s="4528"/>
      <c r="K33" s="4529"/>
      <c r="L33" s="4529"/>
      <c r="M33" s="4529"/>
      <c r="N33" s="4529"/>
      <c r="O33" s="4529"/>
      <c r="P33" s="723" t="str">
        <f>IF(J33=0,"",VLOOKUP(J33,Tablas!$AB$1027:$AD$1196,2,FALSE))</f>
        <v/>
      </c>
      <c r="Q33" s="753" t="str">
        <f>IF(J33=0,"",VLOOKUP(J33,Tablas!$AB$1027:$AD$1196,3,FALSE)*IF($P$25="Invocador",0.5,1))</f>
        <v/>
      </c>
      <c r="S33" s="652"/>
      <c r="T33" s="541" t="str">
        <f t="shared" si="1"/>
        <v>Conjuros</v>
      </c>
      <c r="U33" s="31"/>
      <c r="V33" s="763">
        <f>IF(AC33="",0,VLOOKUP(AC33,Tablas!$M$1038:$N$1047,2))</f>
        <v>0</v>
      </c>
      <c r="W33" s="4392"/>
      <c r="X33" s="3624"/>
      <c r="Y33" s="4404"/>
      <c r="Z33" s="4405"/>
      <c r="AA33" s="4405"/>
      <c r="AB33" s="4406"/>
      <c r="AC33" s="608" t="str">
        <f>IF(Místicos!Y33=0,"",VLOOKUP(Místicos!Y33,Tabla_Conjuros,3,FALSE))</f>
        <v/>
      </c>
      <c r="AD33" s="2819" t="str">
        <f t="shared" si="0"/>
        <v/>
      </c>
      <c r="AE33" s="4397"/>
      <c r="AF33" s="4398"/>
      <c r="AG33" s="4404"/>
      <c r="AH33" s="4405"/>
      <c r="AI33" s="4405"/>
      <c r="AJ33" s="4406"/>
      <c r="AK33" s="1748"/>
      <c r="AL33" s="1330">
        <f>IF(Místicos!AG33=0,0,VLOOKUP(Místicos!AG33,Tabla_Conjuros,3,FALSE)-10)</f>
        <v>0</v>
      </c>
      <c r="AM33" s="1507" t="str">
        <f t="shared" si="2"/>
        <v>Conjuros_LibreAcceso</v>
      </c>
      <c r="AN33" s="541"/>
      <c r="AO33" s="827"/>
      <c r="AP33" s="747"/>
      <c r="AQ33" s="4563"/>
      <c r="AR33" s="4564"/>
      <c r="AS33" s="4559"/>
      <c r="AT33" s="4560"/>
      <c r="AU33" s="695"/>
      <c r="AV33" s="1634" t="s">
        <v>7122</v>
      </c>
      <c r="AW33" s="1615">
        <v>-14</v>
      </c>
      <c r="AX33" s="839"/>
      <c r="AY33" s="649"/>
      <c r="AZ33" s="2766"/>
      <c r="BA33" s="1986" t="s">
        <v>10242</v>
      </c>
      <c r="BB33" s="1986" t="s">
        <v>10243</v>
      </c>
      <c r="BC33" s="1986" t="s">
        <v>1692</v>
      </c>
      <c r="BD33" s="1986" t="s">
        <v>10244</v>
      </c>
      <c r="BE33" s="2728" t="s">
        <v>10245</v>
      </c>
      <c r="BF33" s="1986" t="s">
        <v>10247</v>
      </c>
      <c r="BG33" s="1986" t="s">
        <v>10246</v>
      </c>
      <c r="BH33" s="1986"/>
      <c r="BI33" s="1986"/>
      <c r="BJ33" s="1986"/>
      <c r="BK33" s="1986"/>
    </row>
    <row r="34" spans="1:63" ht="12" customHeight="1" thickBot="1" x14ac:dyDescent="0.25">
      <c r="A34" s="31"/>
      <c r="B34" s="542"/>
      <c r="C34" s="4342"/>
      <c r="D34" s="4342"/>
      <c r="E34" s="4342"/>
      <c r="F34" s="4342"/>
      <c r="G34" s="4342"/>
      <c r="H34" s="1747"/>
      <c r="J34" s="4340"/>
      <c r="K34" s="4341"/>
      <c r="L34" s="4341"/>
      <c r="M34" s="4341"/>
      <c r="N34" s="4341"/>
      <c r="O34" s="4341"/>
      <c r="P34" s="724" t="str">
        <f>IF(J34=0,"",VLOOKUP(J34,Tablas!$AB$1027:$AD$1196,2,FALSE))</f>
        <v/>
      </c>
      <c r="Q34" s="754" t="str">
        <f>IF(J34=0,"",VLOOKUP(J34,Tablas!$AB$1027:$AD$1196,3,FALSE)*IF($P$25="Invocador",0.5,1))</f>
        <v/>
      </c>
      <c r="S34" s="652"/>
      <c r="T34" s="541" t="str">
        <f t="shared" si="1"/>
        <v>Conjuros</v>
      </c>
      <c r="U34" s="31"/>
      <c r="V34" s="763">
        <f>IF(AC34="",0,VLOOKUP(AC34,Tablas!$M$1038:$N$1047,2))</f>
        <v>0</v>
      </c>
      <c r="W34" s="4391"/>
      <c r="X34" s="3621"/>
      <c r="Y34" s="4401"/>
      <c r="Z34" s="4402"/>
      <c r="AA34" s="4402"/>
      <c r="AB34" s="4403"/>
      <c r="AC34" s="609" t="str">
        <f>IF(Místicos!Y34=0,"",VLOOKUP(Místicos!Y34,Tabla_Conjuros,3,FALSE))</f>
        <v/>
      </c>
      <c r="AD34" s="2819" t="str">
        <f t="shared" si="0"/>
        <v/>
      </c>
      <c r="AE34" s="4391"/>
      <c r="AF34" s="3621"/>
      <c r="AG34" s="4401"/>
      <c r="AH34" s="4402"/>
      <c r="AI34" s="4402"/>
      <c r="AJ34" s="4403"/>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7123</v>
      </c>
      <c r="AW34" s="1616">
        <v>-16</v>
      </c>
      <c r="AX34" s="839"/>
      <c r="AY34" s="649"/>
      <c r="AZ34" s="2766"/>
      <c r="BA34" s="1986" t="b">
        <f>ISNUMBER(FIND("inhumanidad",LOWER(C33)))</f>
        <v>0</v>
      </c>
      <c r="BB34" s="2796" t="b">
        <f>IF(BA34,OR(ISNUMBER(FIND("intermedio",LOWER(C33))),ISNUMBER(FIND("avanzado",LOWER(C33)))))</f>
        <v>0</v>
      </c>
      <c r="BC34" s="2796" t="b">
        <f>IF(BA34,ISNUMBER(FIND("arcano",LOWER(C33))))</f>
        <v>0</v>
      </c>
      <c r="BD34" s="1986" t="b">
        <f>IF(BA34,AND(ISNUMBER(FIND("base",LOWER(C33))),OR(ISNUMBER(FIND("movimiento",LOWER(C33))),ISNUMBER(FIND("mov",LOWER(C33))),ISNUMBER(FIND("tm",LOWER(C33))))))</f>
        <v>0</v>
      </c>
      <c r="BE34" s="1986" t="b">
        <f>IF(BB34,AND(ISNUMBER(FIND("avanzado",LOWER(C33))),OR(ISNUMBER(FIND("movimiento",LOWER(C33))),ISNUMBER(FIND("mov",LOWER(C33))),ISNUMBER(FIND("tm",LOWER(C33))))))</f>
        <v>0</v>
      </c>
      <c r="BF34" s="1986" t="b">
        <f>IF(BA34,AND(ISNUMBER(FIND("base",LOWER(C33))),OR(ISNUMBER(FIND("fue",LOWER(C33))),ISNUMBER(FIND("peso",LOWER(C33))),ISNUMBER(FIND("ip",LOWER(C33))))))</f>
        <v>0</v>
      </c>
      <c r="BG34" s="1986" t="b">
        <f>IF(BB34,AND(ISNUMBER(FIND("avanzado",LOWER(C33))),OR(ISNUMBER(FIND("fue",LOWER(C33))),ISNUMBER(FIND("peso",LOWER(C33))),ISNUMBER(FIND("ip",LOWER(C33))))))</f>
        <v>0</v>
      </c>
      <c r="BH34" s="1986"/>
      <c r="BI34" s="1986"/>
      <c r="BJ34" s="1986"/>
      <c r="BK34" s="1986"/>
    </row>
    <row r="35" spans="1:63" ht="12" customHeight="1" thickBot="1" x14ac:dyDescent="0.25">
      <c r="A35" s="31"/>
      <c r="B35" s="542"/>
      <c r="C35" s="4343"/>
      <c r="D35" s="4343"/>
      <c r="E35" s="4343"/>
      <c r="F35" s="4343"/>
      <c r="G35" s="4343"/>
      <c r="H35" s="1701"/>
      <c r="J35" s="4486"/>
      <c r="K35" s="4487"/>
      <c r="L35" s="4487"/>
      <c r="M35" s="4487"/>
      <c r="N35" s="4487"/>
      <c r="O35" s="4487"/>
      <c r="P35" s="723" t="str">
        <f>IF(J35=0,"",VLOOKUP(J35,Tablas!$AB$1027:$AD$1196,2,FALSE))</f>
        <v/>
      </c>
      <c r="Q35" s="753" t="str">
        <f>IF(J35=0,"",VLOOKUP(J35,Tablas!$AB$1027:$AD$1196,3,FALSE)*IF($P$25="Invocador",0.5,1))</f>
        <v/>
      </c>
      <c r="S35" s="652"/>
      <c r="T35" s="541" t="str">
        <f t="shared" si="1"/>
        <v>Conjuros</v>
      </c>
      <c r="U35" s="31"/>
      <c r="V35" s="763">
        <f>IF(AC35="",0,VLOOKUP(AC35,Tablas!$M$1038:$N$1047,2))</f>
        <v>0</v>
      </c>
      <c r="W35" s="4392"/>
      <c r="X35" s="3624"/>
      <c r="Y35" s="4404"/>
      <c r="Z35" s="4405"/>
      <c r="AA35" s="4405"/>
      <c r="AB35" s="4406"/>
      <c r="AC35" s="608" t="str">
        <f>IF(Místicos!Y35=0,"",VLOOKUP(Místicos!Y35,Tabla_Conjuros,3,FALSE))</f>
        <v/>
      </c>
      <c r="AD35" s="2819" t="str">
        <f t="shared" si="0"/>
        <v/>
      </c>
      <c r="AE35" s="4397"/>
      <c r="AF35" s="4398"/>
      <c r="AG35" s="4404"/>
      <c r="AH35" s="4405"/>
      <c r="AI35" s="4405"/>
      <c r="AJ35" s="4406"/>
      <c r="AK35" s="1748"/>
      <c r="AL35" s="1330">
        <f>IF(Místicos!AG35=0,0,VLOOKUP(Místicos!AG35,Tabla_Conjuros,3,FALSE)-10)</f>
        <v>0</v>
      </c>
      <c r="AM35" s="1507" t="str">
        <f t="shared" si="2"/>
        <v>Conjuros_LibreAcceso</v>
      </c>
      <c r="AN35" s="541"/>
      <c r="AO35" s="827"/>
      <c r="AX35" s="839"/>
      <c r="AY35" s="649"/>
      <c r="AZ35" s="2766"/>
      <c r="BA35" s="1986" t="b">
        <f t="shared" ref="BA35:BA60" si="4">ISNUMBER(FIND("inhumanidad",LOWER(C34)))</f>
        <v>0</v>
      </c>
      <c r="BB35" s="2796" t="b">
        <f t="shared" ref="BB35:BB60" si="5">IF(BA35,OR(ISNUMBER(FIND("intermedio",LOWER(C34))),ISNUMBER(FIND("avanzado",LOWER(C34)))))</f>
        <v>0</v>
      </c>
      <c r="BC35" s="2796" t="b">
        <f t="shared" ref="BC35:BC60" si="6">IF(BA35,ISNUMBER(FIND("arcano",LOWER(C34))))</f>
        <v>0</v>
      </c>
      <c r="BD35" s="1986" t="b">
        <f t="shared" ref="BD35:BD60" si="7">IF(BA35,AND(ISNUMBER(FIND("base",LOWER(C34))),OR(ISNUMBER(FIND("movimiento",LOWER(C34))),ISNUMBER(FIND("mov",LOWER(C34))),ISNUMBER(FIND("tm",LOWER(C34))))))</f>
        <v>0</v>
      </c>
      <c r="BE35" s="1986" t="b">
        <f t="shared" ref="BE35:BE60" si="8">IF(BB35,AND(ISNUMBER(FIND("avanzado",LOWER(C34))),OR(ISNUMBER(FIND("movimiento",LOWER(C34))),ISNUMBER(FIND("mov",LOWER(C34))),ISNUMBER(FIND("tm",LOWER(C34))))))</f>
        <v>0</v>
      </c>
      <c r="BF35" s="1986" t="b">
        <f t="shared" ref="BF35:BF60" si="9">IF(BA35,AND(ISNUMBER(FIND("base",LOWER(C34))),OR(ISNUMBER(FIND("fue",LOWER(C34))),ISNUMBER(FIND("peso",LOWER(C34))),ISNUMBER(FIND("ip",LOWER(C34))))))</f>
        <v>0</v>
      </c>
      <c r="BG35" s="1986" t="b">
        <f t="shared" ref="BG35:BG60" si="10">IF(BB35,AND(ISNUMBER(FIND("avanzado",LOWER(C34))),OR(ISNUMBER(FIND("fue",LOWER(C34))),ISNUMBER(FIND("peso",LOWER(C34))),ISNUMBER(FIND("ip",LOWER(C34))))))</f>
        <v>0</v>
      </c>
      <c r="BH35" s="1986"/>
      <c r="BI35" s="1986"/>
      <c r="BJ35" s="1986"/>
      <c r="BK35" s="1986"/>
    </row>
    <row r="36" spans="1:63" ht="12" customHeight="1" thickBot="1" x14ac:dyDescent="0.25">
      <c r="A36" s="31"/>
      <c r="B36" s="542"/>
      <c r="C36" s="4342"/>
      <c r="D36" s="4342"/>
      <c r="E36" s="4342"/>
      <c r="F36" s="4342"/>
      <c r="G36" s="4342"/>
      <c r="H36" s="1747"/>
      <c r="J36" s="4340"/>
      <c r="K36" s="4341"/>
      <c r="L36" s="4341"/>
      <c r="M36" s="4341"/>
      <c r="N36" s="4341"/>
      <c r="O36" s="4341"/>
      <c r="P36" s="724" t="str">
        <f>IF(J36=0,"",VLOOKUP(J36,Tablas!$AB$1027:$AD$1196,2,FALSE))</f>
        <v/>
      </c>
      <c r="Q36" s="754" t="str">
        <f>IF(J36=0,"",VLOOKUP(J36,Tablas!$AB$1027:$AD$1196,3,FALSE)*IF($P$25="Invocador",0.5,1))</f>
        <v/>
      </c>
      <c r="S36" s="652"/>
      <c r="T36" s="541" t="str">
        <f t="shared" si="1"/>
        <v>Conjuros</v>
      </c>
      <c r="U36" s="31"/>
      <c r="V36" s="763">
        <f>IF(AC36="",0,VLOOKUP(AC36,Tablas!$M$1038:$N$1047,2))</f>
        <v>0</v>
      </c>
      <c r="W36" s="4391"/>
      <c r="X36" s="3621"/>
      <c r="Y36" s="4401"/>
      <c r="Z36" s="4402"/>
      <c r="AA36" s="4402"/>
      <c r="AB36" s="4403"/>
      <c r="AC36" s="609" t="str">
        <f>IF(Místicos!Y36=0,"",VLOOKUP(Místicos!Y36,Tabla_Conjuros,3,FALSE))</f>
        <v/>
      </c>
      <c r="AD36" s="2819" t="str">
        <f t="shared" si="0"/>
        <v/>
      </c>
      <c r="AE36" s="4391"/>
      <c r="AF36" s="3621"/>
      <c r="AG36" s="4401"/>
      <c r="AH36" s="4402"/>
      <c r="AI36" s="4402"/>
      <c r="AJ36" s="4403"/>
      <c r="AK36" s="1675"/>
      <c r="AL36" s="1330">
        <f>IF(Místicos!AG36=0,0,VLOOKUP(Místicos!AG36,Tabla_Conjuros,3,FALSE)-10)</f>
        <v>0</v>
      </c>
      <c r="AM36" s="1507" t="str">
        <f t="shared" si="2"/>
        <v>Conjuros_LibreAcceso</v>
      </c>
      <c r="AN36" s="541"/>
      <c r="AO36" s="827"/>
      <c r="AP36" s="4556" t="s">
        <v>7132</v>
      </c>
      <c r="AQ36" s="4554"/>
      <c r="AR36" s="4554"/>
      <c r="AS36" s="4554"/>
      <c r="AT36" s="4554"/>
      <c r="AU36" s="4554"/>
      <c r="AV36" s="4554"/>
      <c r="AW36" s="4555"/>
      <c r="AX36" s="839"/>
      <c r="AY36" s="649"/>
      <c r="AZ36" s="2766"/>
      <c r="BA36" s="1986" t="b">
        <f t="shared" si="4"/>
        <v>0</v>
      </c>
      <c r="BB36" s="2796" t="b">
        <f t="shared" si="5"/>
        <v>0</v>
      </c>
      <c r="BC36" s="2796" t="b">
        <f t="shared" si="6"/>
        <v>0</v>
      </c>
      <c r="BD36" s="1986" t="b">
        <f t="shared" si="7"/>
        <v>0</v>
      </c>
      <c r="BE36" s="1986" t="b">
        <f t="shared" si="8"/>
        <v>0</v>
      </c>
      <c r="BF36" s="1986" t="b">
        <f t="shared" si="9"/>
        <v>0</v>
      </c>
      <c r="BG36" s="1986" t="b">
        <f t="shared" si="10"/>
        <v>0</v>
      </c>
      <c r="BH36" s="1986"/>
      <c r="BI36" s="1986"/>
      <c r="BJ36" s="1986"/>
      <c r="BK36" s="1986"/>
    </row>
    <row r="37" spans="1:63" ht="12" customHeight="1" x14ac:dyDescent="0.2">
      <c r="A37" s="31"/>
      <c r="B37" s="542"/>
      <c r="C37" s="4343"/>
      <c r="D37" s="4343"/>
      <c r="E37" s="4343"/>
      <c r="F37" s="4343"/>
      <c r="G37" s="4343"/>
      <c r="H37" s="1701"/>
      <c r="J37" s="4486"/>
      <c r="K37" s="4487"/>
      <c r="L37" s="4487"/>
      <c r="M37" s="4487"/>
      <c r="N37" s="4487"/>
      <c r="O37" s="4487"/>
      <c r="P37" s="723" t="str">
        <f>IF(J37=0,"",VLOOKUP(J37,Tablas!$AB$1027:$AD$1196,2,FALSE))</f>
        <v/>
      </c>
      <c r="Q37" s="753" t="str">
        <f>IF(J37=0,"",VLOOKUP(J37,Tablas!$AB$1027:$AD$1196,3,FALSE)*IF($P$25="Invocador",0.5,1))</f>
        <v/>
      </c>
      <c r="S37" s="652"/>
      <c r="T37" s="541" t="str">
        <f t="shared" si="1"/>
        <v>Conjuros</v>
      </c>
      <c r="U37" s="31"/>
      <c r="V37" s="763">
        <f>IF(AC37="",0,VLOOKUP(AC37,Tablas!$M$1038:$N$1047,2))</f>
        <v>0</v>
      </c>
      <c r="W37" s="4392"/>
      <c r="X37" s="3624"/>
      <c r="Y37" s="4404"/>
      <c r="Z37" s="4405"/>
      <c r="AA37" s="4405"/>
      <c r="AB37" s="4406"/>
      <c r="AC37" s="608" t="str">
        <f>IF(Místicos!Y37=0,"",VLOOKUP(Místicos!Y37,Tabla_Conjuros,3,FALSE))</f>
        <v/>
      </c>
      <c r="AD37" s="2819" t="str">
        <f t="shared" si="0"/>
        <v/>
      </c>
      <c r="AE37" s="4397"/>
      <c r="AF37" s="4398"/>
      <c r="AG37" s="4404"/>
      <c r="AH37" s="4405"/>
      <c r="AI37" s="4405"/>
      <c r="AJ37" s="4406"/>
      <c r="AK37" s="1748"/>
      <c r="AL37" s="1330">
        <f>IF(Místicos!AG37=0,0,VLOOKUP(Místicos!AG37,Tabla_Conjuros,3,FALSE)-10)</f>
        <v>0</v>
      </c>
      <c r="AM37" s="1507" t="str">
        <f t="shared" si="2"/>
        <v>Conjuros_LibreAcceso</v>
      </c>
      <c r="AN37" s="541"/>
      <c r="AO37" s="828"/>
      <c r="AP37" s="831" t="s">
        <v>7126</v>
      </c>
      <c r="AQ37" s="4483" t="s">
        <v>7153</v>
      </c>
      <c r="AR37" s="4484"/>
      <c r="AS37" s="4484"/>
      <c r="AT37" s="4484"/>
      <c r="AU37" s="4484"/>
      <c r="AV37" s="4484"/>
      <c r="AW37" s="4485"/>
      <c r="AX37" s="839"/>
      <c r="AY37" s="649"/>
      <c r="AZ37" s="2766"/>
      <c r="BA37" s="1986" t="b">
        <f t="shared" si="4"/>
        <v>0</v>
      </c>
      <c r="BB37" s="2796" t="b">
        <f t="shared" si="5"/>
        <v>0</v>
      </c>
      <c r="BC37" s="2796" t="b">
        <f t="shared" si="6"/>
        <v>0</v>
      </c>
      <c r="BD37" s="1986" t="b">
        <f t="shared" si="7"/>
        <v>0</v>
      </c>
      <c r="BE37" s="1986" t="b">
        <f t="shared" si="8"/>
        <v>0</v>
      </c>
      <c r="BF37" s="1986" t="b">
        <f t="shared" si="9"/>
        <v>0</v>
      </c>
      <c r="BG37" s="1986" t="b">
        <f t="shared" si="10"/>
        <v>0</v>
      </c>
      <c r="BH37" s="1986"/>
      <c r="BI37" s="1986"/>
      <c r="BJ37" s="1986"/>
      <c r="BK37" s="1986"/>
    </row>
    <row r="38" spans="1:63" ht="12" customHeight="1" x14ac:dyDescent="0.2">
      <c r="A38" s="31"/>
      <c r="B38" s="542"/>
      <c r="C38" s="4342"/>
      <c r="D38" s="4342"/>
      <c r="E38" s="4342"/>
      <c r="F38" s="4342"/>
      <c r="G38" s="4342"/>
      <c r="H38" s="1747"/>
      <c r="J38" s="4340"/>
      <c r="K38" s="4341"/>
      <c r="L38" s="4341"/>
      <c r="M38" s="4341"/>
      <c r="N38" s="4341"/>
      <c r="O38" s="4341"/>
      <c r="P38" s="724" t="str">
        <f>IF(J38=0,"",VLOOKUP(J38,Tablas!$AB$1027:$AD$1196,2,FALSE))</f>
        <v/>
      </c>
      <c r="Q38" s="754" t="str">
        <f>IF(J38=0,"",VLOOKUP(J38,Tablas!$AB$1027:$AD$1196,3,FALSE)*IF($P$25="Invocador",0.5,1))</f>
        <v/>
      </c>
      <c r="S38" s="652"/>
      <c r="T38" s="541" t="str">
        <f t="shared" si="1"/>
        <v>Conjuros</v>
      </c>
      <c r="U38" s="31"/>
      <c r="V38" s="763">
        <f>IF(AC38="",0,VLOOKUP(AC38,Tablas!$M$1038:$N$1047,2))</f>
        <v>0</v>
      </c>
      <c r="W38" s="4391"/>
      <c r="X38" s="3621"/>
      <c r="Y38" s="4401"/>
      <c r="Z38" s="4402"/>
      <c r="AA38" s="4402"/>
      <c r="AB38" s="4403"/>
      <c r="AC38" s="609" t="str">
        <f>IF(Místicos!Y38=0,"",VLOOKUP(Místicos!Y38,Tabla_Conjuros,3,FALSE))</f>
        <v/>
      </c>
      <c r="AD38" s="2819" t="str">
        <f t="shared" si="0"/>
        <v/>
      </c>
      <c r="AE38" s="4391"/>
      <c r="AF38" s="3621"/>
      <c r="AG38" s="4401"/>
      <c r="AH38" s="4402"/>
      <c r="AI38" s="4402"/>
      <c r="AJ38" s="4403"/>
      <c r="AK38" s="1675"/>
      <c r="AL38" s="1330">
        <f>IF(Místicos!AG38=0,0,VLOOKUP(Místicos!AG38,Tabla_Conjuros,3,FALSE)-10)</f>
        <v>0</v>
      </c>
      <c r="AM38" s="1507" t="str">
        <f t="shared" si="2"/>
        <v>Conjuros_LibreAcceso</v>
      </c>
      <c r="AN38" s="541"/>
      <c r="AO38" s="828"/>
      <c r="AP38" s="831" t="s">
        <v>7127</v>
      </c>
      <c r="AQ38" s="4570" t="s">
        <v>7152</v>
      </c>
      <c r="AR38" s="4485"/>
      <c r="AS38" s="4485"/>
      <c r="AT38" s="4485"/>
      <c r="AU38" s="4485"/>
      <c r="AV38" s="4485"/>
      <c r="AW38" s="4485"/>
      <c r="AX38" s="839"/>
      <c r="AY38" s="649"/>
      <c r="AZ38" s="2766"/>
      <c r="BA38" s="1986" t="b">
        <f t="shared" si="4"/>
        <v>0</v>
      </c>
      <c r="BB38" s="2796" t="b">
        <f t="shared" si="5"/>
        <v>0</v>
      </c>
      <c r="BC38" s="2796" t="b">
        <f t="shared" si="6"/>
        <v>0</v>
      </c>
      <c r="BD38" s="1986" t="b">
        <f t="shared" si="7"/>
        <v>0</v>
      </c>
      <c r="BE38" s="1986" t="b">
        <f t="shared" si="8"/>
        <v>0</v>
      </c>
      <c r="BF38" s="1986" t="b">
        <f t="shared" si="9"/>
        <v>0</v>
      </c>
      <c r="BG38" s="1986" t="b">
        <f t="shared" si="10"/>
        <v>0</v>
      </c>
      <c r="BH38" s="1986"/>
      <c r="BI38" s="1986"/>
      <c r="BJ38" s="1986"/>
      <c r="BK38" s="1986"/>
    </row>
    <row r="39" spans="1:63" ht="12" customHeight="1" x14ac:dyDescent="0.2">
      <c r="A39" s="31"/>
      <c r="B39" s="542"/>
      <c r="C39" s="4343"/>
      <c r="D39" s="4343"/>
      <c r="E39" s="4343"/>
      <c r="F39" s="4343"/>
      <c r="G39" s="4343"/>
      <c r="H39" s="1701"/>
      <c r="J39" s="4486"/>
      <c r="K39" s="4487"/>
      <c r="L39" s="4487"/>
      <c r="M39" s="4487"/>
      <c r="N39" s="4487"/>
      <c r="O39" s="4487"/>
      <c r="P39" s="723" t="str">
        <f>IF(J39=0,"",VLOOKUP(J39,Tablas!$AB$1027:$AD$1196,2,FALSE))</f>
        <v/>
      </c>
      <c r="Q39" s="753" t="str">
        <f>IF(J39=0,"",VLOOKUP(J39,Tablas!$AB$1027:$AD$1196,3,FALSE)*IF($P$25="Invocador",0.5,1))</f>
        <v/>
      </c>
      <c r="S39" s="652"/>
      <c r="T39" s="541" t="str">
        <f t="shared" si="1"/>
        <v>Conjuros</v>
      </c>
      <c r="U39" s="31"/>
      <c r="V39" s="763">
        <f>IF(AC39="",0,VLOOKUP(AC39,Tablas!$M$1038:$N$1047,2))</f>
        <v>0</v>
      </c>
      <c r="W39" s="4392"/>
      <c r="X39" s="3624"/>
      <c r="Y39" s="4404"/>
      <c r="Z39" s="4405"/>
      <c r="AA39" s="4405"/>
      <c r="AB39" s="4406"/>
      <c r="AC39" s="608" t="str">
        <f>IF(Místicos!Y39=0,"",VLOOKUP(Místicos!Y39,Tabla_Conjuros,3,FALSE))</f>
        <v/>
      </c>
      <c r="AD39" s="2819" t="str">
        <f t="shared" si="0"/>
        <v/>
      </c>
      <c r="AE39" s="4397"/>
      <c r="AF39" s="4398"/>
      <c r="AG39" s="4404"/>
      <c r="AH39" s="4405"/>
      <c r="AI39" s="4405"/>
      <c r="AJ39" s="4406"/>
      <c r="AK39" s="1748"/>
      <c r="AL39" s="1330">
        <f>IF(Místicos!AG39=0,0,VLOOKUP(Místicos!AG39,Tabla_Conjuros,3,FALSE)-10)</f>
        <v>0</v>
      </c>
      <c r="AM39" s="1507" t="str">
        <f t="shared" si="2"/>
        <v>Conjuros_LibreAcceso</v>
      </c>
      <c r="AN39" s="541"/>
      <c r="AO39" s="828"/>
      <c r="AP39" s="831" t="s">
        <v>7128</v>
      </c>
      <c r="AQ39" s="4570" t="s">
        <v>7151</v>
      </c>
      <c r="AR39" s="4485"/>
      <c r="AS39" s="4485"/>
      <c r="AT39" s="4485"/>
      <c r="AU39" s="4485"/>
      <c r="AV39" s="4485"/>
      <c r="AW39" s="4485"/>
      <c r="AX39" s="839"/>
      <c r="AY39" s="649"/>
      <c r="AZ39" s="2766"/>
      <c r="BA39" s="1986" t="b">
        <f t="shared" si="4"/>
        <v>0</v>
      </c>
      <c r="BB39" s="2796" t="b">
        <f t="shared" si="5"/>
        <v>0</v>
      </c>
      <c r="BC39" s="2796" t="b">
        <f t="shared" si="6"/>
        <v>0</v>
      </c>
      <c r="BD39" s="1986" t="b">
        <f t="shared" si="7"/>
        <v>0</v>
      </c>
      <c r="BE39" s="1986" t="b">
        <f t="shared" si="8"/>
        <v>0</v>
      </c>
      <c r="BF39" s="1986" t="b">
        <f t="shared" si="9"/>
        <v>0</v>
      </c>
      <c r="BG39" s="1986" t="b">
        <f t="shared" si="10"/>
        <v>0</v>
      </c>
      <c r="BH39" s="1986"/>
      <c r="BI39" s="1986"/>
      <c r="BJ39" s="1986"/>
      <c r="BK39" s="1986"/>
    </row>
    <row r="40" spans="1:63" ht="12" customHeight="1" x14ac:dyDescent="0.2">
      <c r="A40" s="31"/>
      <c r="B40" s="542"/>
      <c r="C40" s="4342"/>
      <c r="D40" s="4342"/>
      <c r="E40" s="4342"/>
      <c r="F40" s="4342"/>
      <c r="G40" s="4342"/>
      <c r="H40" s="1747"/>
      <c r="J40" s="4340"/>
      <c r="K40" s="4341"/>
      <c r="L40" s="4341"/>
      <c r="M40" s="4341"/>
      <c r="N40" s="4341"/>
      <c r="O40" s="4341"/>
      <c r="P40" s="724" t="str">
        <f>IF(J40=0,"",VLOOKUP(J40,Tablas!$AB$1027:$AD$1196,2,FALSE))</f>
        <v/>
      </c>
      <c r="Q40" s="754" t="str">
        <f>IF(J40=0,"",VLOOKUP(J40,Tablas!$AB$1027:$AD$1196,3,FALSE)*IF($P$25="Invocador",0.5,1))</f>
        <v/>
      </c>
      <c r="S40" s="652"/>
      <c r="T40" s="541" t="str">
        <f t="shared" si="1"/>
        <v>Conjuros</v>
      </c>
      <c r="U40" s="31"/>
      <c r="V40" s="763">
        <f>IF(AC40="",0,VLOOKUP(AC40,Tablas!$M$1038:$N$1047,2))</f>
        <v>0</v>
      </c>
      <c r="W40" s="4391"/>
      <c r="X40" s="3621"/>
      <c r="Y40" s="4401"/>
      <c r="Z40" s="4402"/>
      <c r="AA40" s="4402"/>
      <c r="AB40" s="4403"/>
      <c r="AC40" s="609" t="str">
        <f>IF(Místicos!Y40=0,"",VLOOKUP(Místicos!Y40,Tabla_Conjuros,3,FALSE))</f>
        <v/>
      </c>
      <c r="AD40" s="2819" t="str">
        <f t="shared" si="0"/>
        <v/>
      </c>
      <c r="AE40" s="4391"/>
      <c r="AF40" s="3621"/>
      <c r="AG40" s="4401"/>
      <c r="AH40" s="4402"/>
      <c r="AI40" s="4402"/>
      <c r="AJ40" s="4403"/>
      <c r="AK40" s="1675"/>
      <c r="AL40" s="1330">
        <f>IF(Místicos!AG40=0,0,VLOOKUP(Místicos!AG40,Tabla_Conjuros,3,FALSE)-10)</f>
        <v>0</v>
      </c>
      <c r="AM40" s="1507" t="str">
        <f t="shared" si="2"/>
        <v>Conjuros_LibreAcceso</v>
      </c>
      <c r="AN40" s="541"/>
      <c r="AO40" s="828"/>
      <c r="AP40" s="831" t="s">
        <v>7129</v>
      </c>
      <c r="AQ40" s="4570" t="s">
        <v>7160</v>
      </c>
      <c r="AR40" s="4485"/>
      <c r="AS40" s="4485"/>
      <c r="AT40" s="4485"/>
      <c r="AU40" s="4485"/>
      <c r="AV40" s="4485"/>
      <c r="AW40" s="4485"/>
      <c r="AX40" s="839"/>
      <c r="AY40" s="649"/>
      <c r="AZ40" s="2766"/>
      <c r="BA40" s="1986" t="b">
        <f t="shared" si="4"/>
        <v>0</v>
      </c>
      <c r="BB40" s="2796" t="b">
        <f t="shared" si="5"/>
        <v>0</v>
      </c>
      <c r="BC40" s="2796" t="b">
        <f t="shared" si="6"/>
        <v>0</v>
      </c>
      <c r="BD40" s="1986" t="b">
        <f t="shared" si="7"/>
        <v>0</v>
      </c>
      <c r="BE40" s="1986" t="b">
        <f t="shared" si="8"/>
        <v>0</v>
      </c>
      <c r="BF40" s="1986" t="b">
        <f t="shared" si="9"/>
        <v>0</v>
      </c>
      <c r="BG40" s="1986" t="b">
        <f t="shared" si="10"/>
        <v>0</v>
      </c>
      <c r="BH40" s="1986"/>
      <c r="BI40" s="1986"/>
      <c r="BJ40" s="1986"/>
      <c r="BK40" s="1986"/>
    </row>
    <row r="41" spans="1:63" ht="12" customHeight="1" x14ac:dyDescent="0.2">
      <c r="A41" s="31"/>
      <c r="B41" s="542"/>
      <c r="C41" s="4343"/>
      <c r="D41" s="4343"/>
      <c r="E41" s="4343"/>
      <c r="F41" s="4343"/>
      <c r="G41" s="4343"/>
      <c r="H41" s="1701"/>
      <c r="J41" s="4486"/>
      <c r="K41" s="4487"/>
      <c r="L41" s="4487"/>
      <c r="M41" s="4487"/>
      <c r="N41" s="4487"/>
      <c r="O41" s="4487"/>
      <c r="P41" s="723" t="str">
        <f>IF(J41=0,"",VLOOKUP(J41,Tablas!$AB$1027:$AD$1196,2,FALSE))</f>
        <v/>
      </c>
      <c r="Q41" s="753" t="str">
        <f>IF(J41=0,"",VLOOKUP(J41,Tablas!$AB$1027:$AD$1196,3,FALSE)*IF($P$25="Invocador",0.5,1))</f>
        <v/>
      </c>
      <c r="S41" s="652"/>
      <c r="T41" s="541" t="str">
        <f t="shared" si="1"/>
        <v>Conjuros</v>
      </c>
      <c r="U41" s="31"/>
      <c r="V41" s="763">
        <f>IF(AC41="",0,VLOOKUP(AC41,Tablas!$M$1038:$N$1047,2))</f>
        <v>0</v>
      </c>
      <c r="W41" s="4392"/>
      <c r="X41" s="3624"/>
      <c r="Y41" s="4404"/>
      <c r="Z41" s="4405"/>
      <c r="AA41" s="4405"/>
      <c r="AB41" s="4406"/>
      <c r="AC41" s="608" t="str">
        <f>IF(Místicos!Y41=0,"",VLOOKUP(Místicos!Y41,Tabla_Conjuros,3,FALSE))</f>
        <v/>
      </c>
      <c r="AD41" s="2819" t="str">
        <f t="shared" si="0"/>
        <v/>
      </c>
      <c r="AE41" s="4397"/>
      <c r="AF41" s="4398"/>
      <c r="AG41" s="4404"/>
      <c r="AH41" s="4405"/>
      <c r="AI41" s="4405"/>
      <c r="AJ41" s="4406"/>
      <c r="AK41" s="1748"/>
      <c r="AL41" s="1330">
        <f>IF(Místicos!AG41=0,0,VLOOKUP(Místicos!AG41,Tabla_Conjuros,3,FALSE)-10)</f>
        <v>0</v>
      </c>
      <c r="AM41" s="1507" t="str">
        <f t="shared" si="2"/>
        <v>Conjuros_LibreAcceso</v>
      </c>
      <c r="AN41" s="541"/>
      <c r="AO41" s="828"/>
      <c r="AP41" s="831" t="s">
        <v>7130</v>
      </c>
      <c r="AQ41" s="4570" t="s">
        <v>7150</v>
      </c>
      <c r="AR41" s="4485"/>
      <c r="AS41" s="4485"/>
      <c r="AT41" s="4485"/>
      <c r="AU41" s="4485"/>
      <c r="AV41" s="4485"/>
      <c r="AW41" s="4485"/>
      <c r="AX41" s="839"/>
      <c r="AY41" s="649"/>
      <c r="AZ41" s="2766"/>
      <c r="BA41" s="1986" t="b">
        <f t="shared" si="4"/>
        <v>0</v>
      </c>
      <c r="BB41" s="2796" t="b">
        <f t="shared" si="5"/>
        <v>0</v>
      </c>
      <c r="BC41" s="2796" t="b">
        <f t="shared" si="6"/>
        <v>0</v>
      </c>
      <c r="BD41" s="1986" t="b">
        <f t="shared" si="7"/>
        <v>0</v>
      </c>
      <c r="BE41" s="1986" t="b">
        <f t="shared" si="8"/>
        <v>0</v>
      </c>
      <c r="BF41" s="1986" t="b">
        <f t="shared" si="9"/>
        <v>0</v>
      </c>
      <c r="BG41" s="1986" t="b">
        <f t="shared" si="10"/>
        <v>0</v>
      </c>
      <c r="BH41" s="1986"/>
      <c r="BI41" s="1986"/>
      <c r="BJ41" s="1986"/>
      <c r="BK41" s="1986"/>
    </row>
    <row r="42" spans="1:63" ht="12" customHeight="1" thickBot="1" x14ac:dyDescent="0.25">
      <c r="A42" s="31"/>
      <c r="B42" s="542"/>
      <c r="C42" s="4342"/>
      <c r="D42" s="4342"/>
      <c r="E42" s="4342"/>
      <c r="F42" s="4342"/>
      <c r="G42" s="4342"/>
      <c r="H42" s="1747"/>
      <c r="J42" s="4340"/>
      <c r="K42" s="4341"/>
      <c r="L42" s="4341"/>
      <c r="M42" s="4341"/>
      <c r="N42" s="4341"/>
      <c r="O42" s="4341"/>
      <c r="P42" s="724" t="str">
        <f>IF(J42=0,"",VLOOKUP(J42,Tablas!$AB$1027:$AD$1196,2,FALSE))</f>
        <v/>
      </c>
      <c r="Q42" s="754" t="str">
        <f>IF(J42=0,"",VLOOKUP(J42,Tablas!$AB$1027:$AD$1196,3,FALSE)*IF($P$25="Invocador",0.5,1))</f>
        <v/>
      </c>
      <c r="S42" s="652"/>
      <c r="T42" s="541" t="str">
        <f t="shared" si="1"/>
        <v>Conjuros</v>
      </c>
      <c r="U42" s="31"/>
      <c r="V42" s="763">
        <f>IF(AC42="",0,VLOOKUP(AC42,Tablas!$M$1038:$N$1047,2))</f>
        <v>0</v>
      </c>
      <c r="W42" s="4391"/>
      <c r="X42" s="3621"/>
      <c r="Y42" s="4401"/>
      <c r="Z42" s="4402"/>
      <c r="AA42" s="4402"/>
      <c r="AB42" s="4403"/>
      <c r="AC42" s="609" t="str">
        <f>IF(Místicos!Y42=0,"",VLOOKUP(Místicos!Y42,Tabla_Conjuros,3,FALSE))</f>
        <v/>
      </c>
      <c r="AD42" s="2819" t="str">
        <f t="shared" si="0"/>
        <v/>
      </c>
      <c r="AE42" s="4391"/>
      <c r="AF42" s="3621"/>
      <c r="AG42" s="4401"/>
      <c r="AH42" s="4402"/>
      <c r="AI42" s="4402"/>
      <c r="AJ42" s="4403"/>
      <c r="AK42" s="1675"/>
      <c r="AL42" s="1330">
        <f>IF(Místicos!AG42=0,0,VLOOKUP(Místicos!AG42,Tabla_Conjuros,3,FALSE)-10)</f>
        <v>0</v>
      </c>
      <c r="AM42" s="1507" t="str">
        <f t="shared" si="2"/>
        <v>Conjuros_LibreAcceso</v>
      </c>
      <c r="AN42" s="541"/>
      <c r="AO42" s="828"/>
      <c r="AP42" s="832">
        <v>-9</v>
      </c>
      <c r="AQ42" s="4571" t="s">
        <v>7149</v>
      </c>
      <c r="AR42" s="4572"/>
      <c r="AS42" s="4572"/>
      <c r="AT42" s="4572"/>
      <c r="AU42" s="4572"/>
      <c r="AV42" s="4572"/>
      <c r="AW42" s="4572"/>
      <c r="AX42" s="839"/>
      <c r="AY42" s="649"/>
      <c r="AZ42" s="2766"/>
      <c r="BA42" s="1986" t="b">
        <f t="shared" si="4"/>
        <v>0</v>
      </c>
      <c r="BB42" s="2796" t="b">
        <f t="shared" si="5"/>
        <v>0</v>
      </c>
      <c r="BC42" s="2796" t="b">
        <f t="shared" si="6"/>
        <v>0</v>
      </c>
      <c r="BD42" s="1986" t="b">
        <f t="shared" si="7"/>
        <v>0</v>
      </c>
      <c r="BE42" s="1986" t="b">
        <f t="shared" si="8"/>
        <v>0</v>
      </c>
      <c r="BF42" s="1986" t="b">
        <f t="shared" si="9"/>
        <v>0</v>
      </c>
      <c r="BG42" s="1986" t="b">
        <f t="shared" si="10"/>
        <v>0</v>
      </c>
      <c r="BH42" s="1986"/>
      <c r="BI42" s="1986"/>
      <c r="BJ42" s="1986"/>
      <c r="BK42" s="1986"/>
    </row>
    <row r="43" spans="1:63" ht="12" customHeight="1" x14ac:dyDescent="0.2">
      <c r="A43" s="31"/>
      <c r="B43" s="542"/>
      <c r="C43" s="4343"/>
      <c r="D43" s="4343"/>
      <c r="E43" s="4343"/>
      <c r="F43" s="4343"/>
      <c r="G43" s="4343"/>
      <c r="H43" s="1701"/>
      <c r="J43" s="4486"/>
      <c r="K43" s="4487"/>
      <c r="L43" s="4487"/>
      <c r="M43" s="4487"/>
      <c r="N43" s="4487"/>
      <c r="O43" s="4487"/>
      <c r="P43" s="723" t="str">
        <f>IF(J43=0,"",VLOOKUP(J43,Tablas!$AB$1027:$AD$1196,2,FALSE))</f>
        <v/>
      </c>
      <c r="Q43" s="753" t="str">
        <f>IF(J43=0,"",VLOOKUP(J43,Tablas!$AB$1027:$AD$1196,3,FALSE)*IF($P$25="Invocador",0.5,1))</f>
        <v/>
      </c>
      <c r="S43" s="652"/>
      <c r="T43" s="541" t="str">
        <f t="shared" si="1"/>
        <v>Conjuros</v>
      </c>
      <c r="U43" s="31"/>
      <c r="V43" s="763">
        <f>IF(AC43="",0,VLOOKUP(AC43,Tablas!$M$1038:$N$1047,2))</f>
        <v>0</v>
      </c>
      <c r="W43" s="4392"/>
      <c r="X43" s="3624"/>
      <c r="Y43" s="4404"/>
      <c r="Z43" s="4405"/>
      <c r="AA43" s="4405"/>
      <c r="AB43" s="4406"/>
      <c r="AC43" s="608" t="str">
        <f>IF(Místicos!Y43=0,"",VLOOKUP(Místicos!Y43,Tabla_Conjuros,3,FALSE))</f>
        <v/>
      </c>
      <c r="AD43" s="2819" t="str">
        <f t="shared" si="0"/>
        <v/>
      </c>
      <c r="AE43" s="4397"/>
      <c r="AF43" s="4398"/>
      <c r="AG43" s="4404"/>
      <c r="AH43" s="4405"/>
      <c r="AI43" s="4405"/>
      <c r="AJ43" s="4406"/>
      <c r="AK43" s="1748"/>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2766"/>
      <c r="BA43" s="1986" t="b">
        <f t="shared" si="4"/>
        <v>0</v>
      </c>
      <c r="BB43" s="2796" t="b">
        <f t="shared" si="5"/>
        <v>0</v>
      </c>
      <c r="BC43" s="2796" t="b">
        <f t="shared" si="6"/>
        <v>0</v>
      </c>
      <c r="BD43" s="1986" t="b">
        <f t="shared" si="7"/>
        <v>0</v>
      </c>
      <c r="BE43" s="1986" t="b">
        <f t="shared" si="8"/>
        <v>0</v>
      </c>
      <c r="BF43" s="1986" t="b">
        <f t="shared" si="9"/>
        <v>0</v>
      </c>
      <c r="BG43" s="1986" t="b">
        <f t="shared" si="10"/>
        <v>0</v>
      </c>
      <c r="BH43" s="1986"/>
      <c r="BI43" s="1986"/>
      <c r="BJ43" s="1986"/>
      <c r="BK43" s="1986"/>
    </row>
    <row r="44" spans="1:63" ht="12" customHeight="1" x14ac:dyDescent="0.2">
      <c r="A44" s="31"/>
      <c r="B44" s="542"/>
      <c r="C44" s="4342"/>
      <c r="D44" s="4342"/>
      <c r="E44" s="4342"/>
      <c r="F44" s="4342"/>
      <c r="G44" s="4342"/>
      <c r="H44" s="1747"/>
      <c r="J44" s="4340"/>
      <c r="K44" s="4341"/>
      <c r="L44" s="4341"/>
      <c r="M44" s="4341"/>
      <c r="N44" s="4341"/>
      <c r="O44" s="4341"/>
      <c r="P44" s="724" t="str">
        <f>IF(J44=0,"",VLOOKUP(J44,Tablas!$AB$1027:$AD$1196,2,FALSE))</f>
        <v/>
      </c>
      <c r="Q44" s="754" t="str">
        <f>IF(J44=0,"",VLOOKUP(J44,Tablas!$AB$1027:$AD$1196,3,FALSE)*IF($P$25="Invocador",0.5,1))</f>
        <v/>
      </c>
      <c r="S44" s="652"/>
      <c r="T44" s="541" t="str">
        <f t="shared" si="1"/>
        <v>Conjuros</v>
      </c>
      <c r="U44" s="31"/>
      <c r="V44" s="763">
        <f>IF(AC44="",0,VLOOKUP(AC44,Tablas!$M$1038:$N$1047,2))</f>
        <v>0</v>
      </c>
      <c r="W44" s="4391"/>
      <c r="X44" s="3621"/>
      <c r="Y44" s="4401"/>
      <c r="Z44" s="4402"/>
      <c r="AA44" s="4402"/>
      <c r="AB44" s="4403"/>
      <c r="AC44" s="609" t="str">
        <f>IF(Místicos!Y44=0,"",VLOOKUP(Místicos!Y44,Tabla_Conjuros,3,FALSE))</f>
        <v/>
      </c>
      <c r="AD44" s="2819" t="str">
        <f t="shared" si="0"/>
        <v/>
      </c>
      <c r="AE44" s="4391"/>
      <c r="AF44" s="3621"/>
      <c r="AG44" s="4401"/>
      <c r="AH44" s="4402"/>
      <c r="AI44" s="4402"/>
      <c r="AJ44" s="4403"/>
      <c r="AK44" s="1675"/>
      <c r="AL44" s="1330">
        <f>IF(Místicos!AG44=0,0,VLOOKUP(Místicos!AG44,Tabla_Conjuros,3,FALSE)-10)</f>
        <v>0</v>
      </c>
      <c r="AM44" s="1507" t="str">
        <f t="shared" si="2"/>
        <v>Conjuros_LibreAcceso</v>
      </c>
      <c r="AN44" s="541"/>
      <c r="AO44" s="828"/>
      <c r="AP44" s="4568" t="str">
        <f>IF(OR(AT10="General",AT10="Magia Natural"),"",AT10)</f>
        <v/>
      </c>
      <c r="AQ44" s="4568"/>
      <c r="AR44" s="4568"/>
      <c r="AS44" s="4568"/>
      <c r="AT44" s="4568"/>
      <c r="AU44" s="4568"/>
      <c r="AV44" s="4568"/>
      <c r="AW44" s="4568"/>
      <c r="AX44" s="839"/>
      <c r="AY44" s="649"/>
      <c r="AZ44" s="2766"/>
      <c r="BA44" s="1986" t="b">
        <f t="shared" si="4"/>
        <v>0</v>
      </c>
      <c r="BB44" s="2796" t="b">
        <f t="shared" si="5"/>
        <v>0</v>
      </c>
      <c r="BC44" s="2796" t="b">
        <f t="shared" si="6"/>
        <v>0</v>
      </c>
      <c r="BD44" s="1986" t="b">
        <f t="shared" si="7"/>
        <v>0</v>
      </c>
      <c r="BE44" s="1986" t="b">
        <f t="shared" si="8"/>
        <v>0</v>
      </c>
      <c r="BF44" s="1986" t="b">
        <f t="shared" si="9"/>
        <v>0</v>
      </c>
      <c r="BG44" s="1986" t="b">
        <f t="shared" si="10"/>
        <v>0</v>
      </c>
      <c r="BH44" s="1986"/>
      <c r="BI44" s="1986"/>
      <c r="BJ44" s="1986"/>
      <c r="BK44" s="1986"/>
    </row>
    <row r="45" spans="1:63" ht="12" customHeight="1" x14ac:dyDescent="0.2">
      <c r="A45" s="31"/>
      <c r="B45" s="542"/>
      <c r="C45" s="4343"/>
      <c r="D45" s="4343"/>
      <c r="E45" s="4343"/>
      <c r="F45" s="4343"/>
      <c r="G45" s="4343"/>
      <c r="H45" s="1701"/>
      <c r="J45" s="4486"/>
      <c r="K45" s="4487"/>
      <c r="L45" s="4487"/>
      <c r="M45" s="4487"/>
      <c r="N45" s="4487"/>
      <c r="O45" s="4487"/>
      <c r="P45" s="723" t="str">
        <f>IF(J45=0,"",VLOOKUP(J45,Tablas!$AB$1027:$AD$1196,2,FALSE))</f>
        <v/>
      </c>
      <c r="Q45" s="753" t="str">
        <f>IF(J45=0,"",VLOOKUP(J45,Tablas!$AB$1027:$AD$1196,3,FALSE)*IF($P$25="Invocador",0.5,1))</f>
        <v/>
      </c>
      <c r="S45" s="652"/>
      <c r="T45" s="541" t="str">
        <f t="shared" si="1"/>
        <v>Conjuros</v>
      </c>
      <c r="U45" s="31"/>
      <c r="V45" s="763">
        <f>IF(AC45="",0,VLOOKUP(AC45,Tablas!$M$1038:$N$1047,2))</f>
        <v>0</v>
      </c>
      <c r="W45" s="4392"/>
      <c r="X45" s="3624"/>
      <c r="Y45" s="4404"/>
      <c r="Z45" s="4405"/>
      <c r="AA45" s="4405"/>
      <c r="AB45" s="4406"/>
      <c r="AC45" s="608" t="str">
        <f>IF(Místicos!Y45=0,"",VLOOKUP(Místicos!Y45,Tabla_Conjuros,3,FALSE))</f>
        <v/>
      </c>
      <c r="AD45" s="2819" t="str">
        <f t="shared" si="0"/>
        <v/>
      </c>
      <c r="AE45" s="4397"/>
      <c r="AF45" s="4398"/>
      <c r="AG45" s="4404"/>
      <c r="AH45" s="4405"/>
      <c r="AI45" s="4405"/>
      <c r="AJ45" s="4406"/>
      <c r="AK45" s="1748"/>
      <c r="AL45" s="1330">
        <f>IF(Místicos!AG45=0,0,VLOOKUP(Místicos!AG45,Tabla_Conjuros,3,FALSE)-10)</f>
        <v>0</v>
      </c>
      <c r="AM45" s="1507" t="str">
        <f t="shared" si="2"/>
        <v>Conjuros_LibreAcceso</v>
      </c>
      <c r="AN45" s="541"/>
      <c r="AO45" s="828"/>
      <c r="AX45" s="839"/>
      <c r="AY45" s="649"/>
      <c r="AZ45" s="2766"/>
      <c r="BA45" s="1986" t="b">
        <f t="shared" si="4"/>
        <v>0</v>
      </c>
      <c r="BB45" s="2796" t="b">
        <f t="shared" si="5"/>
        <v>0</v>
      </c>
      <c r="BC45" s="2796" t="b">
        <f t="shared" si="6"/>
        <v>0</v>
      </c>
      <c r="BD45" s="1986" t="b">
        <f t="shared" si="7"/>
        <v>0</v>
      </c>
      <c r="BE45" s="1986" t="b">
        <f t="shared" si="8"/>
        <v>0</v>
      </c>
      <c r="BF45" s="1986" t="b">
        <f t="shared" si="9"/>
        <v>0</v>
      </c>
      <c r="BG45" s="1986" t="b">
        <f t="shared" si="10"/>
        <v>0</v>
      </c>
      <c r="BH45" s="1986"/>
      <c r="BI45" s="1986"/>
      <c r="BJ45" s="1986"/>
      <c r="BK45" s="1986"/>
    </row>
    <row r="46" spans="1:63" ht="12" customHeight="1" x14ac:dyDescent="0.2">
      <c r="A46" s="31"/>
      <c r="B46" s="542"/>
      <c r="C46" s="4342"/>
      <c r="D46" s="4342"/>
      <c r="E46" s="4342"/>
      <c r="F46" s="4342"/>
      <c r="G46" s="4342"/>
      <c r="H46" s="1747"/>
      <c r="J46" s="4340"/>
      <c r="K46" s="4341"/>
      <c r="L46" s="4341"/>
      <c r="M46" s="4341"/>
      <c r="N46" s="4341"/>
      <c r="O46" s="4341"/>
      <c r="P46" s="724" t="str">
        <f>IF(J46=0,"",VLOOKUP(J46,Tablas!$AB$1027:$AD$1196,2,FALSE))</f>
        <v/>
      </c>
      <c r="Q46" s="754" t="str">
        <f>IF(J46=0,"",VLOOKUP(J46,Tablas!$AB$1027:$AD$1196,3,FALSE)*IF($P$25="Invocador",0.5,1))</f>
        <v/>
      </c>
      <c r="S46" s="652"/>
      <c r="T46" s="541" t="str">
        <f t="shared" si="1"/>
        <v>Conjuros</v>
      </c>
      <c r="U46" s="31"/>
      <c r="V46" s="763">
        <f>IF(AC46="",0,VLOOKUP(AC46,Tablas!$M$1038:$N$1047,2))</f>
        <v>0</v>
      </c>
      <c r="W46" s="4391"/>
      <c r="X46" s="3621"/>
      <c r="Y46" s="4401"/>
      <c r="Z46" s="4402"/>
      <c r="AA46" s="4402"/>
      <c r="AB46" s="4403"/>
      <c r="AC46" s="609" t="str">
        <f>IF(Místicos!Y46=0,"",VLOOKUP(Místicos!Y46,Tabla_Conjuros,3,FALSE))</f>
        <v/>
      </c>
      <c r="AD46" s="2819" t="str">
        <f t="shared" si="0"/>
        <v/>
      </c>
      <c r="AE46" s="4391"/>
      <c r="AF46" s="3621"/>
      <c r="AG46" s="4401"/>
      <c r="AH46" s="4402"/>
      <c r="AI46" s="4402"/>
      <c r="AJ46" s="4403"/>
      <c r="AK46" s="1675"/>
      <c r="AL46" s="1330">
        <f>IF(Místicos!AG46=0,0,VLOOKUP(Místicos!AG46,Tabla_Conjuros,3,FALSE)-10)</f>
        <v>0</v>
      </c>
      <c r="AM46" s="1507" t="str">
        <f t="shared" si="2"/>
        <v>Conjuros_LibreAcceso</v>
      </c>
      <c r="AN46" s="541"/>
      <c r="AO46" s="828"/>
      <c r="AP46" s="4386"/>
      <c r="AQ46" s="4386"/>
      <c r="AR46" s="4400" t="str">
        <f>IF($BA$11,"Caligrafía ritual",IF($BB$11,"Vínculos Físicos",IF($BC$11,"Zonas Espirituales","""")))</f>
        <v>"</v>
      </c>
      <c r="AS46" s="4400"/>
      <c r="AT46" s="4400"/>
      <c r="AU46" s="4400"/>
      <c r="AV46" s="4410"/>
      <c r="AW46" s="4410"/>
      <c r="AX46" s="839"/>
      <c r="AY46" s="649"/>
      <c r="AZ46" s="2766"/>
      <c r="BA46" s="1986" t="b">
        <f t="shared" si="4"/>
        <v>0</v>
      </c>
      <c r="BB46" s="2796" t="b">
        <f t="shared" si="5"/>
        <v>0</v>
      </c>
      <c r="BC46" s="2796" t="b">
        <f t="shared" si="6"/>
        <v>0</v>
      </c>
      <c r="BD46" s="1986" t="b">
        <f t="shared" si="7"/>
        <v>0</v>
      </c>
      <c r="BE46" s="1986" t="b">
        <f t="shared" si="8"/>
        <v>0</v>
      </c>
      <c r="BF46" s="1986" t="b">
        <f t="shared" si="9"/>
        <v>0</v>
      </c>
      <c r="BG46" s="1986" t="b">
        <f t="shared" si="10"/>
        <v>0</v>
      </c>
      <c r="BH46" s="1986"/>
      <c r="BI46" s="1986"/>
      <c r="BJ46" s="1986"/>
      <c r="BK46" s="1986"/>
    </row>
    <row r="47" spans="1:63" ht="12" customHeight="1" x14ac:dyDescent="0.2">
      <c r="A47" s="31"/>
      <c r="B47" s="542"/>
      <c r="C47" s="4343"/>
      <c r="D47" s="4343"/>
      <c r="E47" s="4343"/>
      <c r="F47" s="4343"/>
      <c r="G47" s="4343"/>
      <c r="H47" s="1701"/>
      <c r="J47" s="4486"/>
      <c r="K47" s="4487"/>
      <c r="L47" s="4487"/>
      <c r="M47" s="4487"/>
      <c r="N47" s="4487"/>
      <c r="O47" s="4487"/>
      <c r="P47" s="723" t="str">
        <f>IF(J47=0,"",VLOOKUP(J47,Tablas!$AB$1027:$AD$1196,2,FALSE))</f>
        <v/>
      </c>
      <c r="Q47" s="753" t="str">
        <f>IF(J47=0,"",VLOOKUP(J47,Tablas!$AB$1027:$AD$1196,3,FALSE)*IF($P$25="Invocador",0.5,1))</f>
        <v/>
      </c>
      <c r="S47" s="652"/>
      <c r="T47" s="541" t="str">
        <f t="shared" si="1"/>
        <v>Conjuros</v>
      </c>
      <c r="U47" s="31"/>
      <c r="V47" s="763">
        <f>IF(AC47="",0,VLOOKUP(AC47,Tablas!$M$1038:$N$1047,2))</f>
        <v>0</v>
      </c>
      <c r="W47" s="4392"/>
      <c r="X47" s="3624"/>
      <c r="Y47" s="4404"/>
      <c r="Z47" s="4405"/>
      <c r="AA47" s="4405"/>
      <c r="AB47" s="4406"/>
      <c r="AC47" s="608" t="str">
        <f>IF(Místicos!Y47=0,"",VLOOKUP(Místicos!Y47,Tabla_Conjuros,3,FALSE))</f>
        <v/>
      </c>
      <c r="AD47" s="2819" t="str">
        <f t="shared" si="0"/>
        <v/>
      </c>
      <c r="AE47" s="4397"/>
      <c r="AF47" s="4398"/>
      <c r="AG47" s="4404"/>
      <c r="AH47" s="4405"/>
      <c r="AI47" s="4405"/>
      <c r="AJ47" s="4406"/>
      <c r="AK47" s="1748"/>
      <c r="AL47" s="1330">
        <f>IF(Místicos!AG47=0,0,VLOOKUP(Místicos!AG47,Tabla_Conjuros,3,FALSE)-10)</f>
        <v>0</v>
      </c>
      <c r="AM47" s="1507" t="str">
        <f t="shared" si="2"/>
        <v>Conjuros_LibreAcceso</v>
      </c>
      <c r="AN47" s="541"/>
      <c r="AO47" s="828"/>
      <c r="AP47" s="4386" t="str">
        <f>IF($BA$11,"Nv. Conjuro  Dif.",IF($BB$11,"",IF($BC$11,"Tipo de zona","""")))</f>
        <v>"</v>
      </c>
      <c r="AQ47" s="4386"/>
      <c r="AR47" s="4410" t="str">
        <f>IF($BA$11,"Tiempo empleado en la preparación",IF($BB$11,"Objeto a consumir - Bono a RM",IF($BC$11,"Descripción","")))</f>
        <v/>
      </c>
      <c r="AS47" s="4410"/>
      <c r="AT47" s="4410"/>
      <c r="AU47" s="4410"/>
      <c r="AV47" s="4410" t="str">
        <f>IF($BA$11,"Bono",IF($BB$11,"",IF($BC$11,"Llamar espíritus","")))</f>
        <v/>
      </c>
      <c r="AW47" s="4410"/>
      <c r="AX47" s="839"/>
      <c r="AY47" s="649"/>
      <c r="AZ47" s="2766"/>
      <c r="BA47" s="1986" t="b">
        <f t="shared" si="4"/>
        <v>0</v>
      </c>
      <c r="BB47" s="2796" t="b">
        <f t="shared" si="5"/>
        <v>0</v>
      </c>
      <c r="BC47" s="2796" t="b">
        <f t="shared" si="6"/>
        <v>0</v>
      </c>
      <c r="BD47" s="1986" t="b">
        <f t="shared" si="7"/>
        <v>0</v>
      </c>
      <c r="BE47" s="1986" t="b">
        <f t="shared" si="8"/>
        <v>0</v>
      </c>
      <c r="BF47" s="1986" t="b">
        <f t="shared" si="9"/>
        <v>0</v>
      </c>
      <c r="BG47" s="1986" t="b">
        <f t="shared" si="10"/>
        <v>0</v>
      </c>
      <c r="BH47" s="1986"/>
      <c r="BI47" s="1986"/>
      <c r="BJ47" s="1986"/>
      <c r="BK47" s="1986"/>
    </row>
    <row r="48" spans="1:63" ht="12" customHeight="1" x14ac:dyDescent="0.2">
      <c r="A48" s="31"/>
      <c r="B48" s="542"/>
      <c r="C48" s="4342"/>
      <c r="D48" s="4342"/>
      <c r="E48" s="4342"/>
      <c r="F48" s="4342"/>
      <c r="G48" s="4342"/>
      <c r="H48" s="1747"/>
      <c r="J48" s="4340"/>
      <c r="K48" s="4341"/>
      <c r="L48" s="4341"/>
      <c r="M48" s="4341"/>
      <c r="N48" s="4341"/>
      <c r="O48" s="4341"/>
      <c r="P48" s="724" t="str">
        <f>IF(J48=0,"",VLOOKUP(J48,Tablas!$AB$1027:$AD$1196,2,FALSE))</f>
        <v/>
      </c>
      <c r="Q48" s="754" t="str">
        <f>IF(J48=0,"",VLOOKUP(J48,Tablas!$AB$1027:$AD$1196,3,FALSE)*IF($P$25="Invocador",0.5,1))</f>
        <v/>
      </c>
      <c r="S48" s="652"/>
      <c r="T48" s="541" t="str">
        <f t="shared" si="1"/>
        <v>Conjuros</v>
      </c>
      <c r="U48" s="31"/>
      <c r="V48" s="763">
        <f>IF(AC48="",0,VLOOKUP(AC48,Tablas!$M$1038:$N$1047,2))</f>
        <v>0</v>
      </c>
      <c r="W48" s="4391"/>
      <c r="X48" s="3621"/>
      <c r="Y48" s="4401"/>
      <c r="Z48" s="4402"/>
      <c r="AA48" s="4402"/>
      <c r="AB48" s="4403"/>
      <c r="AC48" s="609" t="str">
        <f>IF(Místicos!Y48=0,"",VLOOKUP(Místicos!Y48,Tabla_Conjuros,3,FALSE))</f>
        <v/>
      </c>
      <c r="AD48" s="2819" t="str">
        <f t="shared" si="0"/>
        <v/>
      </c>
      <c r="AE48" s="4391"/>
      <c r="AF48" s="3621"/>
      <c r="AG48" s="4401"/>
      <c r="AH48" s="4402"/>
      <c r="AI48" s="4402"/>
      <c r="AJ48" s="4403"/>
      <c r="AK48" s="1675"/>
      <c r="AL48" s="1330">
        <f>IF(Místicos!AG48=0,0,VLOOKUP(Místicos!AG48,Tabla_Conjuros,3,FALSE)-10)</f>
        <v>0</v>
      </c>
      <c r="AM48" s="1507" t="str">
        <f t="shared" si="2"/>
        <v>Conjuros_LibreAcceso</v>
      </c>
      <c r="AN48" s="541"/>
      <c r="AO48" s="828"/>
      <c r="AP48" s="3735" t="str">
        <f t="shared" ref="AP48:AP58" si="11">IF($BA$11,BA13,IF($BB$11,BB13,IF($BC$11,BC13,"")))</f>
        <v/>
      </c>
      <c r="AQ48" s="3735"/>
      <c r="AR48" s="3403" t="str">
        <f t="shared" ref="AR48:AR58" si="12">IF($BA$11,BD13,IF($BB$11,BE13,IF($BC$11,BF13,"")))</f>
        <v/>
      </c>
      <c r="AS48" s="3403"/>
      <c r="AT48" s="3403"/>
      <c r="AU48" s="3403"/>
      <c r="AV48" s="3403" t="str">
        <f t="shared" ref="AV48:AV55" si="13">IF($BA$11,BG13,IF($BB$11,BH13,IF($BC$11,BI13,"")))</f>
        <v/>
      </c>
      <c r="AW48" s="3403"/>
      <c r="AX48" s="839"/>
      <c r="AY48" s="649"/>
      <c r="AZ48" s="2766"/>
      <c r="BA48" s="1986" t="b">
        <f t="shared" si="4"/>
        <v>0</v>
      </c>
      <c r="BB48" s="2796" t="b">
        <f t="shared" si="5"/>
        <v>0</v>
      </c>
      <c r="BC48" s="2796" t="b">
        <f t="shared" si="6"/>
        <v>0</v>
      </c>
      <c r="BD48" s="1986" t="b">
        <f t="shared" si="7"/>
        <v>0</v>
      </c>
      <c r="BE48" s="1986" t="b">
        <f t="shared" si="8"/>
        <v>0</v>
      </c>
      <c r="BF48" s="1986" t="b">
        <f t="shared" si="9"/>
        <v>0</v>
      </c>
      <c r="BG48" s="1986" t="b">
        <f t="shared" si="10"/>
        <v>0</v>
      </c>
      <c r="BH48" s="1986"/>
      <c r="BI48" s="1986"/>
      <c r="BJ48" s="1986"/>
      <c r="BK48" s="1986"/>
    </row>
    <row r="49" spans="1:63" ht="12" customHeight="1" x14ac:dyDescent="0.2">
      <c r="A49" s="31"/>
      <c r="B49" s="542"/>
      <c r="C49" s="4343"/>
      <c r="D49" s="4343"/>
      <c r="E49" s="4343"/>
      <c r="F49" s="4343"/>
      <c r="G49" s="4343"/>
      <c r="H49" s="1701"/>
      <c r="J49" s="4486"/>
      <c r="K49" s="4487"/>
      <c r="L49" s="4487"/>
      <c r="M49" s="4487"/>
      <c r="N49" s="4487"/>
      <c r="O49" s="4487"/>
      <c r="P49" s="723" t="str">
        <f>IF(J49=0,"",VLOOKUP(J49,Tablas!$AB$1027:$AD$1196,2,FALSE))</f>
        <v/>
      </c>
      <c r="Q49" s="753" t="str">
        <f>IF(J49=0,"",VLOOKUP(J49,Tablas!$AB$1027:$AD$1196,3,FALSE)*IF($P$25="Invocador",0.5,1))</f>
        <v/>
      </c>
      <c r="S49" s="652"/>
      <c r="T49" s="541" t="str">
        <f t="shared" si="1"/>
        <v>Conjuros</v>
      </c>
      <c r="U49" s="31"/>
      <c r="V49" s="763">
        <f>IF(AC49="",0,VLOOKUP(AC49,Tablas!$M$1038:$N$1047,2))</f>
        <v>0</v>
      </c>
      <c r="W49" s="4392"/>
      <c r="X49" s="3624"/>
      <c r="Y49" s="4404"/>
      <c r="Z49" s="4405"/>
      <c r="AA49" s="4405"/>
      <c r="AB49" s="4406"/>
      <c r="AC49" s="608" t="str">
        <f>IF(Místicos!Y49=0,"",VLOOKUP(Místicos!Y49,Tabla_Conjuros,3,FALSE))</f>
        <v/>
      </c>
      <c r="AD49" s="2819" t="str">
        <f t="shared" si="0"/>
        <v/>
      </c>
      <c r="AE49" s="4397"/>
      <c r="AF49" s="4398"/>
      <c r="AG49" s="4404"/>
      <c r="AH49" s="4405"/>
      <c r="AI49" s="4405"/>
      <c r="AJ49" s="4406"/>
      <c r="AK49" s="1748"/>
      <c r="AL49" s="1330">
        <f>IF(Místicos!AG49=0,0,VLOOKUP(Místicos!AG49,Tabla_Conjuros,3,FALSE)-10)</f>
        <v>0</v>
      </c>
      <c r="AM49" s="1507" t="str">
        <f t="shared" si="2"/>
        <v>Conjuros_LibreAcceso</v>
      </c>
      <c r="AN49" s="541"/>
      <c r="AO49" s="828"/>
      <c r="AP49" s="3735" t="str">
        <f t="shared" si="11"/>
        <v/>
      </c>
      <c r="AQ49" s="3735"/>
      <c r="AR49" s="3403" t="str">
        <f t="shared" si="12"/>
        <v/>
      </c>
      <c r="AS49" s="3403"/>
      <c r="AT49" s="3403"/>
      <c r="AU49" s="3403"/>
      <c r="AV49" s="3403" t="str">
        <f t="shared" si="13"/>
        <v/>
      </c>
      <c r="AW49" s="3403"/>
      <c r="AX49" s="839"/>
      <c r="AY49" s="649"/>
      <c r="AZ49" s="2766"/>
      <c r="BA49" s="1986" t="b">
        <f t="shared" si="4"/>
        <v>0</v>
      </c>
      <c r="BB49" s="2796" t="b">
        <f t="shared" si="5"/>
        <v>0</v>
      </c>
      <c r="BC49" s="2796" t="b">
        <f t="shared" si="6"/>
        <v>0</v>
      </c>
      <c r="BD49" s="1986" t="b">
        <f t="shared" si="7"/>
        <v>0</v>
      </c>
      <c r="BE49" s="1986" t="b">
        <f t="shared" si="8"/>
        <v>0</v>
      </c>
      <c r="BF49" s="1986" t="b">
        <f t="shared" si="9"/>
        <v>0</v>
      </c>
      <c r="BG49" s="1986" t="b">
        <f t="shared" si="10"/>
        <v>0</v>
      </c>
      <c r="BH49" s="1986"/>
      <c r="BI49" s="1986"/>
      <c r="BJ49" s="1986"/>
      <c r="BK49" s="1986"/>
    </row>
    <row r="50" spans="1:63" ht="12" customHeight="1" thickBot="1" x14ac:dyDescent="0.25">
      <c r="A50" s="31"/>
      <c r="B50" s="542"/>
      <c r="C50" s="4342"/>
      <c r="D50" s="4342"/>
      <c r="E50" s="4342"/>
      <c r="F50" s="4342"/>
      <c r="G50" s="4342"/>
      <c r="H50" s="1747"/>
      <c r="J50" s="4340"/>
      <c r="K50" s="4341"/>
      <c r="L50" s="4341"/>
      <c r="M50" s="4341"/>
      <c r="N50" s="4341"/>
      <c r="O50" s="4341"/>
      <c r="P50" s="724" t="str">
        <f>IF(J50=0,"",VLOOKUP(J50,Tablas!$AB$1027:$AD$1196,2,FALSE))</f>
        <v/>
      </c>
      <c r="Q50" s="754" t="str">
        <f>IF(J50=0,"",VLOOKUP(J50,Tablas!$AB$1027:$AD$1196,3,FALSE)*IF($P$25="Invocador",0.5,1))</f>
        <v/>
      </c>
      <c r="S50" s="652"/>
      <c r="T50" s="541" t="str">
        <f t="shared" si="1"/>
        <v>Conjuros</v>
      </c>
      <c r="U50" s="31"/>
      <c r="V50" s="763">
        <f>IF(AC50="",0,VLOOKUP(AC50,Tablas!$M$1038:$N$1047,2))</f>
        <v>0</v>
      </c>
      <c r="W50" s="4491"/>
      <c r="X50" s="4492"/>
      <c r="Y50" s="4488"/>
      <c r="Z50" s="4489"/>
      <c r="AA50" s="4489"/>
      <c r="AB50" s="4490"/>
      <c r="AC50" s="770" t="str">
        <f>IF(Místicos!Y50=0,"",VLOOKUP(Místicos!Y50,Tabla_Conjuros,3,FALSE))</f>
        <v/>
      </c>
      <c r="AD50" s="2819" t="str">
        <f t="shared" si="0"/>
        <v/>
      </c>
      <c r="AE50" s="4491"/>
      <c r="AF50" s="4492"/>
      <c r="AG50" s="4488"/>
      <c r="AH50" s="4489"/>
      <c r="AI50" s="4489"/>
      <c r="AJ50" s="4490"/>
      <c r="AK50" s="1743"/>
      <c r="AL50" s="1330">
        <f>IF(Místicos!AG50=0,0,VLOOKUP(Místicos!AG50,Tabla_Conjuros,3,FALSE)-10)</f>
        <v>0</v>
      </c>
      <c r="AM50" s="1507" t="str">
        <f t="shared" si="2"/>
        <v>Conjuros_LibreAcceso</v>
      </c>
      <c r="AN50" s="541"/>
      <c r="AO50" s="828"/>
      <c r="AP50" s="3735" t="str">
        <f t="shared" si="11"/>
        <v/>
      </c>
      <c r="AQ50" s="3735"/>
      <c r="AR50" s="3403" t="str">
        <f t="shared" si="12"/>
        <v/>
      </c>
      <c r="AS50" s="3403"/>
      <c r="AT50" s="3403"/>
      <c r="AU50" s="3403"/>
      <c r="AV50" s="3403" t="str">
        <f t="shared" si="13"/>
        <v/>
      </c>
      <c r="AW50" s="3403"/>
      <c r="AX50" s="839"/>
      <c r="AY50" s="649"/>
      <c r="AZ50" s="2766"/>
      <c r="BA50" s="1986" t="b">
        <f t="shared" si="4"/>
        <v>0</v>
      </c>
      <c r="BB50" s="2796" t="b">
        <f t="shared" si="5"/>
        <v>0</v>
      </c>
      <c r="BC50" s="2796" t="b">
        <f t="shared" si="6"/>
        <v>0</v>
      </c>
      <c r="BD50" s="1986" t="b">
        <f t="shared" si="7"/>
        <v>0</v>
      </c>
      <c r="BE50" s="1986" t="b">
        <f t="shared" si="8"/>
        <v>0</v>
      </c>
      <c r="BF50" s="1986" t="b">
        <f t="shared" si="9"/>
        <v>0</v>
      </c>
      <c r="BG50" s="1986" t="b">
        <f t="shared" si="10"/>
        <v>0</v>
      </c>
      <c r="BH50" s="1986"/>
      <c r="BI50" s="1986"/>
      <c r="BJ50" s="1986"/>
      <c r="BK50" s="1986"/>
    </row>
    <row r="51" spans="1:63" ht="12" customHeight="1" thickBot="1" x14ac:dyDescent="0.25">
      <c r="A51" s="31"/>
      <c r="B51" s="542"/>
      <c r="C51" s="4343"/>
      <c r="D51" s="4343"/>
      <c r="E51" s="4343"/>
      <c r="F51" s="4343"/>
      <c r="G51" s="4343"/>
      <c r="H51" s="1701"/>
      <c r="J51" s="4486"/>
      <c r="K51" s="4487"/>
      <c r="L51" s="4487"/>
      <c r="M51" s="4487"/>
      <c r="N51" s="4487"/>
      <c r="O51" s="4487"/>
      <c r="P51" s="723" t="str">
        <f>IF(J51=0,"",VLOOKUP(J51,Tablas!$AB$1027:$AD$1196,2,FALSE))</f>
        <v/>
      </c>
      <c r="Q51" s="753" t="str">
        <f>IF(J51=0,"",VLOOKUP(J51,Tablas!$AB$1027:$AD$1196,3,FALSE)*IF($P$25="Invocador",0.5,1))</f>
        <v/>
      </c>
      <c r="S51" s="652"/>
      <c r="T51" s="541"/>
      <c r="U51" s="31"/>
      <c r="V51" s="764"/>
      <c r="AL51" s="1330"/>
      <c r="AM51" s="31"/>
      <c r="AN51" s="31"/>
      <c r="AO51" s="828"/>
      <c r="AP51" s="3735" t="str">
        <f t="shared" si="11"/>
        <v/>
      </c>
      <c r="AQ51" s="3735"/>
      <c r="AR51" s="3403" t="str">
        <f t="shared" si="12"/>
        <v/>
      </c>
      <c r="AS51" s="3403"/>
      <c r="AT51" s="3403"/>
      <c r="AU51" s="3403"/>
      <c r="AV51" s="3403" t="str">
        <f t="shared" si="13"/>
        <v/>
      </c>
      <c r="AW51" s="3403"/>
      <c r="AX51" s="839"/>
      <c r="AY51" s="649"/>
      <c r="AZ51" s="2766"/>
      <c r="BA51" s="1986" t="b">
        <f t="shared" si="4"/>
        <v>0</v>
      </c>
      <c r="BB51" s="2796" t="b">
        <f t="shared" si="5"/>
        <v>0</v>
      </c>
      <c r="BC51" s="2796" t="b">
        <f t="shared" si="6"/>
        <v>0</v>
      </c>
      <c r="BD51" s="1986" t="b">
        <f t="shared" si="7"/>
        <v>0</v>
      </c>
      <c r="BE51" s="1986" t="b">
        <f t="shared" si="8"/>
        <v>0</v>
      </c>
      <c r="BF51" s="1986" t="b">
        <f t="shared" si="9"/>
        <v>0</v>
      </c>
      <c r="BG51" s="1986" t="b">
        <f t="shared" si="10"/>
        <v>0</v>
      </c>
      <c r="BH51" s="1986"/>
      <c r="BI51" s="1986"/>
      <c r="BJ51" s="1986"/>
      <c r="BK51" s="1986"/>
    </row>
    <row r="52" spans="1:63" ht="12" customHeight="1" thickBot="1" x14ac:dyDescent="0.25">
      <c r="A52" s="31"/>
      <c r="B52" s="542"/>
      <c r="C52" s="4342"/>
      <c r="D52" s="4342"/>
      <c r="E52" s="4342"/>
      <c r="F52" s="4342"/>
      <c r="G52" s="4342"/>
      <c r="H52" s="1747"/>
      <c r="J52" s="4340"/>
      <c r="K52" s="4341"/>
      <c r="L52" s="4341"/>
      <c r="M52" s="4341"/>
      <c r="N52" s="4341"/>
      <c r="O52" s="4341"/>
      <c r="P52" s="724" t="str">
        <f>IF(J52=0,"",VLOOKUP(J52,Tablas!$AB$1027:$AD$1196,2,FALSE))</f>
        <v/>
      </c>
      <c r="Q52" s="754" t="str">
        <f>IF(J52=0,"",VLOOKUP(J52,Tablas!$AB$1027:$AD$1196,3,FALSE)*IF($P$25="Invocador",0.5,1))</f>
        <v/>
      </c>
      <c r="S52" s="652"/>
      <c r="T52" s="541"/>
      <c r="U52" s="31"/>
      <c r="V52" s="764"/>
      <c r="W52" s="3062" t="s">
        <v>1730</v>
      </c>
      <c r="X52" s="3063"/>
      <c r="Y52" s="3063"/>
      <c r="Z52" s="3063"/>
      <c r="AA52" s="3063"/>
      <c r="AB52" s="4494" t="s">
        <v>1558</v>
      </c>
      <c r="AC52" s="4494"/>
      <c r="AD52" s="4494"/>
      <c r="AE52" s="4494"/>
      <c r="AF52" s="4494"/>
      <c r="AG52" s="4494"/>
      <c r="AH52" s="4494"/>
      <c r="AI52" s="4494"/>
      <c r="AJ52" s="4494"/>
      <c r="AK52" s="4495"/>
      <c r="AL52" s="1330"/>
      <c r="AM52" s="31"/>
      <c r="AN52" s="31"/>
      <c r="AO52" s="828"/>
      <c r="AP52" s="3735" t="str">
        <f t="shared" si="11"/>
        <v/>
      </c>
      <c r="AQ52" s="3735"/>
      <c r="AR52" s="3403" t="str">
        <f t="shared" si="12"/>
        <v/>
      </c>
      <c r="AS52" s="3403"/>
      <c r="AT52" s="3403"/>
      <c r="AU52" s="3403"/>
      <c r="AV52" s="3403" t="str">
        <f t="shared" si="13"/>
        <v/>
      </c>
      <c r="AW52" s="3403"/>
      <c r="AX52" s="839"/>
      <c r="AY52" s="649"/>
      <c r="AZ52" s="2766"/>
      <c r="BA52" s="1986" t="b">
        <f t="shared" si="4"/>
        <v>0</v>
      </c>
      <c r="BB52" s="2796" t="b">
        <f t="shared" si="5"/>
        <v>0</v>
      </c>
      <c r="BC52" s="2796" t="b">
        <f t="shared" si="6"/>
        <v>0</v>
      </c>
      <c r="BD52" s="1986" t="b">
        <f t="shared" si="7"/>
        <v>0</v>
      </c>
      <c r="BE52" s="1986" t="b">
        <f t="shared" si="8"/>
        <v>0</v>
      </c>
      <c r="BF52" s="1986" t="b">
        <f t="shared" si="9"/>
        <v>0</v>
      </c>
      <c r="BG52" s="1986" t="b">
        <f t="shared" si="10"/>
        <v>0</v>
      </c>
      <c r="BH52" s="1986"/>
      <c r="BI52" s="1986"/>
      <c r="BJ52" s="1986"/>
      <c r="BK52" s="1986"/>
    </row>
    <row r="53" spans="1:63" ht="12" customHeight="1" x14ac:dyDescent="0.2">
      <c r="A53" s="31"/>
      <c r="B53" s="542"/>
      <c r="C53" s="4343"/>
      <c r="D53" s="4343"/>
      <c r="E53" s="4343"/>
      <c r="F53" s="4343"/>
      <c r="G53" s="4343"/>
      <c r="H53" s="1701"/>
      <c r="J53" s="4486"/>
      <c r="K53" s="4487"/>
      <c r="L53" s="4487"/>
      <c r="M53" s="4487"/>
      <c r="N53" s="4487"/>
      <c r="O53" s="4487"/>
      <c r="P53" s="723" t="str">
        <f>IF(J53=0,"",VLOOKUP(J53,Tablas!$AB$1027:$AD$1196,2,FALSE))</f>
        <v/>
      </c>
      <c r="Q53" s="753" t="str">
        <f>IF(J53=0,"",VLOOKUP(J53,Tablas!$AB$1027:$AD$1196,3,FALSE)*IF($P$25="Invocador",0.5,1))</f>
        <v/>
      </c>
      <c r="S53" s="652"/>
      <c r="T53" s="541"/>
      <c r="U53" s="31"/>
      <c r="V53" s="764"/>
      <c r="W53" s="4497" t="str">
        <f>IF(SUM(Tablas!P1125:S1166)=0,"",IF(Tablas!A1&gt;MAX(Tablas!$P$1125:$P$1166),"",VLOOKUP(Tablas!A1,Tablas!$P$1125:$T$1166,2,FALSE)))</f>
        <v/>
      </c>
      <c r="X53" s="3826"/>
      <c r="Y53" s="3826"/>
      <c r="Z53" s="3826"/>
      <c r="AA53" s="3826"/>
      <c r="AB53" s="4498" t="str">
        <f>IF(SUM(Tablas!$P$1125:$P$1166)=0,"",IF(Tablas!A1&gt;MAX(Tablas!$P$1125:$P$1166),"",VLOOKUP(Tablas!A1,Tablas!$P$1125:$T$1166,4,FALSE)))</f>
        <v/>
      </c>
      <c r="AC53" s="4499"/>
      <c r="AD53" s="4499"/>
      <c r="AE53" s="4499"/>
      <c r="AF53" s="4499"/>
      <c r="AG53" s="4499"/>
      <c r="AH53" s="4499"/>
      <c r="AI53" s="4499"/>
      <c r="AJ53" s="4499"/>
      <c r="AK53" s="4500"/>
      <c r="AL53" s="1330"/>
      <c r="AM53" s="31"/>
      <c r="AN53" s="31"/>
      <c r="AO53" s="828"/>
      <c r="AP53" s="3735" t="str">
        <f t="shared" si="11"/>
        <v/>
      </c>
      <c r="AQ53" s="3735"/>
      <c r="AR53" s="3403" t="str">
        <f t="shared" si="12"/>
        <v/>
      </c>
      <c r="AS53" s="3403"/>
      <c r="AT53" s="3403"/>
      <c r="AU53" s="3403"/>
      <c r="AV53" s="3403" t="str">
        <f t="shared" si="13"/>
        <v/>
      </c>
      <c r="AW53" s="3403"/>
      <c r="AX53" s="839"/>
      <c r="AY53" s="649"/>
      <c r="AZ53" s="2766"/>
      <c r="BA53" s="1986" t="b">
        <f t="shared" si="4"/>
        <v>0</v>
      </c>
      <c r="BB53" s="2796" t="b">
        <f t="shared" si="5"/>
        <v>0</v>
      </c>
      <c r="BC53" s="2796" t="b">
        <f t="shared" si="6"/>
        <v>0</v>
      </c>
      <c r="BD53" s="1986" t="b">
        <f t="shared" si="7"/>
        <v>0</v>
      </c>
      <c r="BE53" s="1986" t="b">
        <f t="shared" si="8"/>
        <v>0</v>
      </c>
      <c r="BF53" s="1986" t="b">
        <f t="shared" si="9"/>
        <v>0</v>
      </c>
      <c r="BG53" s="1986" t="b">
        <f t="shared" si="10"/>
        <v>0</v>
      </c>
      <c r="BH53" s="1986"/>
      <c r="BI53" s="1986"/>
      <c r="BJ53" s="1986"/>
      <c r="BK53" s="1986"/>
    </row>
    <row r="54" spans="1:63" ht="12" customHeight="1" x14ac:dyDescent="0.2">
      <c r="A54" s="31"/>
      <c r="B54" s="542"/>
      <c r="C54" s="4342"/>
      <c r="D54" s="4342"/>
      <c r="E54" s="4342"/>
      <c r="F54" s="4342"/>
      <c r="G54" s="4342"/>
      <c r="H54" s="1747"/>
      <c r="J54" s="4340"/>
      <c r="K54" s="4341"/>
      <c r="L54" s="4341"/>
      <c r="M54" s="4341"/>
      <c r="N54" s="4341"/>
      <c r="O54" s="4341"/>
      <c r="P54" s="724" t="str">
        <f>IF(J54=0,"",VLOOKUP(J54,Tablas!$AB$1027:$AD$1196,2,FALSE))</f>
        <v/>
      </c>
      <c r="Q54" s="754" t="str">
        <f>IF(J54=0,"",VLOOKUP(J54,Tablas!$AB$1027:$AD$1196,3,FALSE)*IF($P$25="Invocador",0.5,1))</f>
        <v/>
      </c>
      <c r="S54" s="652"/>
      <c r="T54" s="541"/>
      <c r="U54" s="31"/>
      <c r="V54" s="764"/>
      <c r="W54" s="4493" t="str">
        <f>IF(SUM(Tablas!$P$1125:$P$1166)=0,"",IF(Tablas!A2&gt;MAX(Tablas!$P$1125:$P$1166),"",VLOOKUP(Tablas!A2,Tablas!$P$1125:$T$1166,2,FALSE)))</f>
        <v/>
      </c>
      <c r="X54" s="3857"/>
      <c r="Y54" s="3857"/>
      <c r="Z54" s="3857"/>
      <c r="AA54" s="3857"/>
      <c r="AB54" s="3242" t="str">
        <f>IF(SUM(Tablas!$P$1125:$P$1166)=0,"",IF(Tablas!A2&gt;MAX(Tablas!$P$1125:$P$1166),"",VLOOKUP(Tablas!A2,Tablas!$P$1125:$T$1166,4,FALSE)))</f>
        <v/>
      </c>
      <c r="AC54" s="3243"/>
      <c r="AD54" s="3243"/>
      <c r="AE54" s="3243"/>
      <c r="AF54" s="3243"/>
      <c r="AG54" s="3243"/>
      <c r="AH54" s="3243"/>
      <c r="AI54" s="3243"/>
      <c r="AJ54" s="3243"/>
      <c r="AK54" s="3835"/>
      <c r="AL54" s="1330"/>
      <c r="AM54" s="31"/>
      <c r="AN54" s="31"/>
      <c r="AO54" s="828"/>
      <c r="AP54" s="3735" t="str">
        <f t="shared" si="11"/>
        <v/>
      </c>
      <c r="AQ54" s="3735"/>
      <c r="AR54" s="3403" t="str">
        <f t="shared" si="12"/>
        <v/>
      </c>
      <c r="AS54" s="3403"/>
      <c r="AT54" s="3403"/>
      <c r="AU54" s="3403"/>
      <c r="AV54" s="3403" t="str">
        <f t="shared" si="13"/>
        <v/>
      </c>
      <c r="AW54" s="3403"/>
      <c r="AX54" s="839"/>
      <c r="AY54" s="649"/>
      <c r="AZ54" s="2766"/>
      <c r="BA54" s="1986" t="b">
        <f t="shared" si="4"/>
        <v>0</v>
      </c>
      <c r="BB54" s="2796" t="b">
        <f t="shared" si="5"/>
        <v>0</v>
      </c>
      <c r="BC54" s="2796" t="b">
        <f t="shared" si="6"/>
        <v>0</v>
      </c>
      <c r="BD54" s="1986" t="b">
        <f t="shared" si="7"/>
        <v>0</v>
      </c>
      <c r="BE54" s="1986" t="b">
        <f t="shared" si="8"/>
        <v>0</v>
      </c>
      <c r="BF54" s="1986" t="b">
        <f t="shared" si="9"/>
        <v>0</v>
      </c>
      <c r="BG54" s="1986" t="b">
        <f t="shared" si="10"/>
        <v>0</v>
      </c>
      <c r="BH54" s="1986"/>
      <c r="BI54" s="1986"/>
      <c r="BJ54" s="1986"/>
      <c r="BK54" s="1986"/>
    </row>
    <row r="55" spans="1:63" ht="12" customHeight="1" x14ac:dyDescent="0.2">
      <c r="A55" s="31"/>
      <c r="B55" s="542"/>
      <c r="C55" s="4343"/>
      <c r="D55" s="4343"/>
      <c r="E55" s="4343"/>
      <c r="F55" s="4343"/>
      <c r="G55" s="4343"/>
      <c r="H55" s="1701"/>
      <c r="J55" s="4486"/>
      <c r="K55" s="4487"/>
      <c r="L55" s="4487"/>
      <c r="M55" s="4487"/>
      <c r="N55" s="4487"/>
      <c r="O55" s="4487"/>
      <c r="P55" s="723" t="str">
        <f>IF(J55=0,"",VLOOKUP(J55,Tablas!$AB$1027:$AD$1196,2,FALSE))</f>
        <v/>
      </c>
      <c r="Q55" s="753" t="str">
        <f>IF(J55=0,"",VLOOKUP(J55,Tablas!$AB$1027:$AD$1196,3,FALSE)*IF($P$25="Invocador",0.5,1))</f>
        <v/>
      </c>
      <c r="S55" s="652"/>
      <c r="T55" s="541"/>
      <c r="U55" s="31"/>
      <c r="V55" s="764"/>
      <c r="W55" s="4496" t="str">
        <f>IF(SUM(Tablas!$P$1125:$P$1166)=0,"",IF(Tablas!A3&gt;MAX(Tablas!$P$1125:$P$1166),"",VLOOKUP(Tablas!A3,Tablas!$P$1125:$T$1166,2,FALSE)))</f>
        <v/>
      </c>
      <c r="X55" s="3824"/>
      <c r="Y55" s="3824"/>
      <c r="Z55" s="3824"/>
      <c r="AA55" s="3825"/>
      <c r="AB55" s="3242" t="str">
        <f>IF(SUM(Tablas!$P$1125:$P$1166)=0,"",IF(Tablas!A3&gt;MAX(Tablas!$P$1125:$P$1166),"",VLOOKUP(Tablas!A3,Tablas!$P$1125:$T$1166,4,FALSE)))</f>
        <v/>
      </c>
      <c r="AC55" s="3243"/>
      <c r="AD55" s="3243"/>
      <c r="AE55" s="3243"/>
      <c r="AF55" s="3243"/>
      <c r="AG55" s="3243"/>
      <c r="AH55" s="3243"/>
      <c r="AI55" s="3243"/>
      <c r="AJ55" s="3243"/>
      <c r="AK55" s="3835"/>
      <c r="AL55" s="1330"/>
      <c r="AM55" s="31"/>
      <c r="AN55" s="31"/>
      <c r="AO55" s="828"/>
      <c r="AP55" s="4534" t="str">
        <f t="shared" si="11"/>
        <v/>
      </c>
      <c r="AQ55" s="4534"/>
      <c r="AR55" s="2862" t="str">
        <f t="shared" si="12"/>
        <v/>
      </c>
      <c r="AS55" s="2862"/>
      <c r="AT55" s="2862"/>
      <c r="AU55" s="2862"/>
      <c r="AV55" s="2862" t="str">
        <f t="shared" si="13"/>
        <v/>
      </c>
      <c r="AW55" s="2862"/>
      <c r="AX55" s="839"/>
      <c r="AY55" s="649"/>
      <c r="AZ55" s="2766"/>
      <c r="BA55" s="1986" t="b">
        <f t="shared" si="4"/>
        <v>0</v>
      </c>
      <c r="BB55" s="2796" t="b">
        <f t="shared" si="5"/>
        <v>0</v>
      </c>
      <c r="BC55" s="2796" t="b">
        <f t="shared" si="6"/>
        <v>0</v>
      </c>
      <c r="BD55" s="1986" t="b">
        <f t="shared" si="7"/>
        <v>0</v>
      </c>
      <c r="BE55" s="1986" t="b">
        <f t="shared" si="8"/>
        <v>0</v>
      </c>
      <c r="BF55" s="1986" t="b">
        <f t="shared" si="9"/>
        <v>0</v>
      </c>
      <c r="BG55" s="1986" t="b">
        <f t="shared" si="10"/>
        <v>0</v>
      </c>
      <c r="BH55" s="1986"/>
      <c r="BI55" s="1986"/>
      <c r="BJ55" s="1986"/>
      <c r="BK55" s="1986"/>
    </row>
    <row r="56" spans="1:63" ht="12" customHeight="1" x14ac:dyDescent="0.2">
      <c r="A56" s="31"/>
      <c r="B56" s="542"/>
      <c r="C56" s="4342"/>
      <c r="D56" s="4342"/>
      <c r="E56" s="4342"/>
      <c r="F56" s="4342"/>
      <c r="G56" s="4342"/>
      <c r="H56" s="1747"/>
      <c r="J56" s="4340"/>
      <c r="K56" s="4341"/>
      <c r="L56" s="4341"/>
      <c r="M56" s="4341"/>
      <c r="N56" s="4341"/>
      <c r="O56" s="4341"/>
      <c r="P56" s="724" t="str">
        <f>IF(J56=0,"",VLOOKUP(J56,Tablas!$AB$1027:$AD$1196,2,FALSE))</f>
        <v/>
      </c>
      <c r="Q56" s="754" t="str">
        <f>IF(J56=0,"",VLOOKUP(J56,Tablas!$AB$1027:$AD$1196,3,FALSE)*IF($P$25="Invocador",0.5,1))</f>
        <v/>
      </c>
      <c r="S56" s="652"/>
      <c r="T56" s="541"/>
      <c r="U56" s="31"/>
      <c r="V56" s="764"/>
      <c r="W56" s="4496" t="str">
        <f>IF(SUM(Tablas!$P$1125:$P$1166)=0,"",IF(Tablas!A4&gt;MAX(Tablas!$P$1125:$P$1166),"",VLOOKUP(Tablas!A4,Tablas!$P$1125:$T$1166,2,FALSE)))</f>
        <v/>
      </c>
      <c r="X56" s="3824"/>
      <c r="Y56" s="3824"/>
      <c r="Z56" s="3824"/>
      <c r="AA56" s="3825"/>
      <c r="AB56" s="3242" t="str">
        <f>IF(SUM(Tablas!$P$1125:$P$1166)=0,"",IF(Tablas!A4&gt;MAX(Tablas!$P$1125:$P$1166),"",VLOOKUP(Tablas!A4,Tablas!$P$1125:$T$1166,4,FALSE)))</f>
        <v/>
      </c>
      <c r="AC56" s="3243"/>
      <c r="AD56" s="3243"/>
      <c r="AE56" s="3243"/>
      <c r="AF56" s="3243"/>
      <c r="AG56" s="3243"/>
      <c r="AH56" s="3243"/>
      <c r="AI56" s="3243"/>
      <c r="AJ56" s="3243"/>
      <c r="AK56" s="3835"/>
      <c r="AL56" s="1330"/>
      <c r="AM56" s="31"/>
      <c r="AN56" s="31"/>
      <c r="AO56" s="828"/>
      <c r="AP56" s="4385" t="str">
        <f t="shared" si="11"/>
        <v/>
      </c>
      <c r="AQ56" s="4385"/>
      <c r="AR56" s="4533" t="str">
        <f t="shared" si="12"/>
        <v/>
      </c>
      <c r="AS56" s="4533"/>
      <c r="AT56" s="4533"/>
      <c r="AU56" s="4533"/>
      <c r="AV56" s="4533"/>
      <c r="AW56" s="4533"/>
      <c r="AX56" s="839"/>
      <c r="AY56" s="649"/>
      <c r="AZ56" s="1986"/>
      <c r="BA56" s="1986" t="b">
        <f t="shared" si="4"/>
        <v>0</v>
      </c>
      <c r="BB56" s="2796" t="b">
        <f t="shared" si="5"/>
        <v>0</v>
      </c>
      <c r="BC56" s="2796" t="b">
        <f t="shared" si="6"/>
        <v>0</v>
      </c>
      <c r="BD56" s="1986" t="b">
        <f t="shared" si="7"/>
        <v>0</v>
      </c>
      <c r="BE56" s="1986" t="b">
        <f t="shared" si="8"/>
        <v>0</v>
      </c>
      <c r="BF56" s="1986" t="b">
        <f t="shared" si="9"/>
        <v>0</v>
      </c>
      <c r="BG56" s="1986" t="b">
        <f t="shared" si="10"/>
        <v>0</v>
      </c>
      <c r="BH56" s="1986"/>
      <c r="BI56" s="1986"/>
      <c r="BJ56" s="1986"/>
      <c r="BK56" s="1986"/>
    </row>
    <row r="57" spans="1:63" ht="12" customHeight="1" x14ac:dyDescent="0.2">
      <c r="A57" s="31"/>
      <c r="B57" s="542"/>
      <c r="C57" s="4343"/>
      <c r="D57" s="4343"/>
      <c r="E57" s="4343"/>
      <c r="F57" s="4343"/>
      <c r="G57" s="4343"/>
      <c r="H57" s="1701"/>
      <c r="J57" s="4486"/>
      <c r="K57" s="4487"/>
      <c r="L57" s="4487"/>
      <c r="M57" s="4487"/>
      <c r="N57" s="4487"/>
      <c r="O57" s="4487"/>
      <c r="P57" s="723" t="str">
        <f>IF(J57=0,"",VLOOKUP(J57,Tablas!$AB$1027:$AD$1196,2,FALSE))</f>
        <v/>
      </c>
      <c r="Q57" s="753" t="str">
        <f>IF(J57=0,"",VLOOKUP(J57,Tablas!$AB$1027:$AD$1196,3,FALSE)*IF($P$25="Invocador",0.5,1))</f>
        <v/>
      </c>
      <c r="S57" s="652"/>
      <c r="T57" s="541"/>
      <c r="U57" s="31"/>
      <c r="V57" s="764"/>
      <c r="W57" s="4496" t="str">
        <f>IF(SUM(Tablas!$P$1125:$P$1166)=0,"",IF(Tablas!A5&gt;MAX(Tablas!$P$1125:$P$1166),"",VLOOKUP(Tablas!A5,Tablas!$P$1125:$T$1166,2,FALSE)))</f>
        <v/>
      </c>
      <c r="X57" s="3824"/>
      <c r="Y57" s="3824"/>
      <c r="Z57" s="3824"/>
      <c r="AA57" s="3825"/>
      <c r="AB57" s="3242" t="str">
        <f>IF(SUM(Tablas!$P$1125:$P$1166)=0,"",IF(Tablas!A5&gt;MAX(Tablas!$P$1125:$P$1166),"",VLOOKUP(Tablas!A5,Tablas!$P$1125:$T$1166,4,FALSE)))</f>
        <v/>
      </c>
      <c r="AC57" s="3243"/>
      <c r="AD57" s="3243"/>
      <c r="AE57" s="3243"/>
      <c r="AF57" s="3243"/>
      <c r="AG57" s="3243"/>
      <c r="AH57" s="3243"/>
      <c r="AI57" s="3243"/>
      <c r="AJ57" s="3243"/>
      <c r="AK57" s="3835"/>
      <c r="AL57" s="1330"/>
      <c r="AM57" s="31"/>
      <c r="AN57" s="31"/>
      <c r="AO57" s="828"/>
      <c r="AP57" s="4385" t="str">
        <f t="shared" si="11"/>
        <v/>
      </c>
      <c r="AQ57" s="4385"/>
      <c r="AR57" s="4533" t="str">
        <f t="shared" si="12"/>
        <v/>
      </c>
      <c r="AS57" s="4533"/>
      <c r="AT57" s="4533"/>
      <c r="AU57" s="4533"/>
      <c r="AV57" s="4533"/>
      <c r="AW57" s="4533"/>
      <c r="AX57" s="839"/>
      <c r="AY57" s="649"/>
      <c r="AZ57" s="1986"/>
      <c r="BA57" s="1986" t="b">
        <f t="shared" si="4"/>
        <v>0</v>
      </c>
      <c r="BB57" s="2796" t="b">
        <f t="shared" si="5"/>
        <v>0</v>
      </c>
      <c r="BC57" s="2796" t="b">
        <f t="shared" si="6"/>
        <v>0</v>
      </c>
      <c r="BD57" s="1986" t="b">
        <f t="shared" si="7"/>
        <v>0</v>
      </c>
      <c r="BE57" s="1986" t="b">
        <f t="shared" si="8"/>
        <v>0</v>
      </c>
      <c r="BF57" s="1986" t="b">
        <f t="shared" si="9"/>
        <v>0</v>
      </c>
      <c r="BG57" s="1986" t="b">
        <f t="shared" si="10"/>
        <v>0</v>
      </c>
      <c r="BH57" s="1986"/>
      <c r="BI57" s="1986"/>
      <c r="BJ57" s="1986"/>
      <c r="BK57" s="1986"/>
    </row>
    <row r="58" spans="1:63" ht="12" customHeight="1" x14ac:dyDescent="0.2">
      <c r="A58" s="31"/>
      <c r="B58" s="542"/>
      <c r="C58" s="4342"/>
      <c r="D58" s="4342"/>
      <c r="E58" s="4342"/>
      <c r="F58" s="4342"/>
      <c r="G58" s="4342"/>
      <c r="H58" s="1747"/>
      <c r="J58" s="4340"/>
      <c r="K58" s="4341"/>
      <c r="L58" s="4341"/>
      <c r="M58" s="4341"/>
      <c r="N58" s="4341"/>
      <c r="O58" s="4341"/>
      <c r="P58" s="724" t="str">
        <f>IF(J58=0,"",VLOOKUP(J58,Tablas!$AB$1027:$AD$1196,2,FALSE))</f>
        <v/>
      </c>
      <c r="Q58" s="754" t="str">
        <f>IF(J58=0,"",VLOOKUP(J58,Tablas!$AB$1027:$AD$1196,3,FALSE)*IF($P$25="Invocador",0.5,1))</f>
        <v/>
      </c>
      <c r="S58" s="652"/>
      <c r="T58" s="541"/>
      <c r="U58" s="31"/>
      <c r="V58" s="764"/>
      <c r="W58" s="4496" t="str">
        <f>IF(SUM(Tablas!$P$1125:$P$1166)=0,"",IF(Tablas!A6&gt;MAX(Tablas!$P$1125:$P$1166),"",VLOOKUP(Tablas!A6,Tablas!$P$1125:$T$1166,2,FALSE)))</f>
        <v/>
      </c>
      <c r="X58" s="3824"/>
      <c r="Y58" s="3824"/>
      <c r="Z58" s="3824"/>
      <c r="AA58" s="3825"/>
      <c r="AB58" s="3242" t="str">
        <f>IF(SUM(Tablas!$P$1125:$P$1166)=0,"",IF(Tablas!A6&gt;MAX(Tablas!$P$1125:$P$1166),"",VLOOKUP(Tablas!A6,Tablas!$P$1125:$T$1166,4,FALSE)))</f>
        <v/>
      </c>
      <c r="AC58" s="3243"/>
      <c r="AD58" s="3243"/>
      <c r="AE58" s="3243"/>
      <c r="AF58" s="3243"/>
      <c r="AG58" s="3243"/>
      <c r="AH58" s="3243"/>
      <c r="AI58" s="3243"/>
      <c r="AJ58" s="3243"/>
      <c r="AK58" s="3835"/>
      <c r="AL58" s="1330"/>
      <c r="AM58" s="31"/>
      <c r="AN58" s="31"/>
      <c r="AO58" s="828"/>
      <c r="AP58" s="4385" t="str">
        <f t="shared" si="11"/>
        <v/>
      </c>
      <c r="AQ58" s="4385"/>
      <c r="AR58" s="4533" t="str">
        <f t="shared" si="12"/>
        <v/>
      </c>
      <c r="AS58" s="4533"/>
      <c r="AT58" s="4533"/>
      <c r="AU58" s="4533"/>
      <c r="AV58" s="4533"/>
      <c r="AW58" s="4533"/>
      <c r="AX58" s="839"/>
      <c r="AY58" s="649"/>
      <c r="AZ58" s="1986"/>
      <c r="BA58" s="1986" t="b">
        <f t="shared" si="4"/>
        <v>0</v>
      </c>
      <c r="BB58" s="2796" t="b">
        <f t="shared" si="5"/>
        <v>0</v>
      </c>
      <c r="BC58" s="2796" t="b">
        <f t="shared" si="6"/>
        <v>0</v>
      </c>
      <c r="BD58" s="1986" t="b">
        <f t="shared" si="7"/>
        <v>0</v>
      </c>
      <c r="BE58" s="1986" t="b">
        <f t="shared" si="8"/>
        <v>0</v>
      </c>
      <c r="BF58" s="1986" t="b">
        <f t="shared" si="9"/>
        <v>0</v>
      </c>
      <c r="BG58" s="1986" t="b">
        <f t="shared" si="10"/>
        <v>0</v>
      </c>
      <c r="BH58" s="1986"/>
      <c r="BI58" s="1986"/>
      <c r="BJ58" s="1986"/>
      <c r="BK58" s="1986"/>
    </row>
    <row r="59" spans="1:63" ht="12" customHeight="1" x14ac:dyDescent="0.2">
      <c r="A59" s="31"/>
      <c r="B59" s="542"/>
      <c r="C59" s="4343"/>
      <c r="D59" s="4343"/>
      <c r="E59" s="4343"/>
      <c r="F59" s="4343"/>
      <c r="G59" s="4343"/>
      <c r="H59" s="1701"/>
      <c r="J59" s="4338"/>
      <c r="K59" s="4339"/>
      <c r="L59" s="4339"/>
      <c r="M59" s="4339"/>
      <c r="N59" s="4339"/>
      <c r="O59" s="4339"/>
      <c r="P59" s="2480" t="str">
        <f>IF(J59=0,"",VLOOKUP(J59,Tablas!$AB$1027:$AD$1196,2,FALSE))</f>
        <v/>
      </c>
      <c r="Q59" s="2481" t="str">
        <f>IF(J59=0,"",VLOOKUP(J59,Tablas!$AB$1027:$AD$1196,3,FALSE)*IF($P$25="Invocador",0.5,1))</f>
        <v/>
      </c>
      <c r="S59" s="652"/>
      <c r="T59" s="541"/>
      <c r="U59" s="31"/>
      <c r="V59" s="764"/>
      <c r="W59" s="4496" t="str">
        <f>IF(SUM(Tablas!$P$1125:$P$1166)=0,"",IF(Tablas!A7&gt;MAX(Tablas!$P$1125:$P$1166),"",VLOOKUP(Tablas!A7,Tablas!$P$1125:$T$1166,2,FALSE)))</f>
        <v/>
      </c>
      <c r="X59" s="3824"/>
      <c r="Y59" s="3824"/>
      <c r="Z59" s="3824"/>
      <c r="AA59" s="3825"/>
      <c r="AB59" s="3242" t="str">
        <f>IF(SUM(Tablas!$P$1125:$P$1166)=0,"",IF(Tablas!A7&gt;MAX(Tablas!$P$1125:$P$1166),"",VLOOKUP(Tablas!A7,Tablas!$P$1125:$T$1166,4,FALSE)))</f>
        <v/>
      </c>
      <c r="AC59" s="3243"/>
      <c r="AD59" s="3243"/>
      <c r="AE59" s="3243"/>
      <c r="AF59" s="3243"/>
      <c r="AG59" s="3243"/>
      <c r="AH59" s="3243"/>
      <c r="AI59" s="3243"/>
      <c r="AJ59" s="3243"/>
      <c r="AK59" s="3835"/>
      <c r="AL59" s="1330"/>
      <c r="AM59" s="31"/>
      <c r="AN59" s="31"/>
      <c r="AO59" s="828"/>
      <c r="AX59" s="839"/>
      <c r="AY59" s="649"/>
      <c r="AZ59" s="1986"/>
      <c r="BA59" s="1986" t="b">
        <f t="shared" si="4"/>
        <v>0</v>
      </c>
      <c r="BB59" s="2796" t="b">
        <f t="shared" si="5"/>
        <v>0</v>
      </c>
      <c r="BC59" s="2796" t="b">
        <f t="shared" si="6"/>
        <v>0</v>
      </c>
      <c r="BD59" s="1986" t="b">
        <f t="shared" si="7"/>
        <v>0</v>
      </c>
      <c r="BE59" s="1986" t="b">
        <f t="shared" si="8"/>
        <v>0</v>
      </c>
      <c r="BF59" s="1986" t="b">
        <f t="shared" si="9"/>
        <v>0</v>
      </c>
      <c r="BG59" s="1986" t="b">
        <f t="shared" si="10"/>
        <v>0</v>
      </c>
      <c r="BH59" s="1986"/>
      <c r="BI59" s="1986"/>
      <c r="BJ59" s="1986"/>
      <c r="BK59" s="1986"/>
    </row>
    <row r="60" spans="1:63" ht="12" customHeight="1" x14ac:dyDescent="0.2">
      <c r="A60" s="31"/>
      <c r="B60" s="542"/>
      <c r="C60" s="4342"/>
      <c r="D60" s="4342"/>
      <c r="E60" s="4342"/>
      <c r="F60" s="4342"/>
      <c r="G60" s="4342"/>
      <c r="H60" s="1747"/>
      <c r="J60" s="4340"/>
      <c r="K60" s="4341"/>
      <c r="L60" s="4341"/>
      <c r="M60" s="4341"/>
      <c r="N60" s="4341"/>
      <c r="O60" s="4341"/>
      <c r="P60" s="724" t="str">
        <f>IF(J60=0,"",VLOOKUP(J60,Tablas!$AB$1027:$AD$1196,2,FALSE))</f>
        <v/>
      </c>
      <c r="Q60" s="754" t="str">
        <f>IF(J60=0,"",VLOOKUP(J60,Tablas!$AB$1027:$AD$1196,3,FALSE)*IF($P$25="Invocador",0.5,1))</f>
        <v/>
      </c>
      <c r="S60" s="652"/>
      <c r="T60" s="541"/>
      <c r="U60" s="31"/>
      <c r="V60" s="764"/>
      <c r="W60" s="4496" t="str">
        <f>IF(SUM(Tablas!$P$1125:$P$1166)=0,"",IF(Tablas!A8&gt;MAX(Tablas!$P$1125:$P$1166),"",VLOOKUP(Tablas!A8,Tablas!$P$1125:$T$1166,2,FALSE)))</f>
        <v/>
      </c>
      <c r="X60" s="3824"/>
      <c r="Y60" s="3824"/>
      <c r="Z60" s="3824"/>
      <c r="AA60" s="3825"/>
      <c r="AB60" s="3242" t="str">
        <f>IF(SUM(Tablas!$P$1125:$P$1166)=0,"",IF(Tablas!A8&gt;MAX(Tablas!$P$1125:$P$1166),"",VLOOKUP(Tablas!A8,Tablas!$P$1125:$T$1166,4,FALSE)))</f>
        <v/>
      </c>
      <c r="AC60" s="3243"/>
      <c r="AD60" s="3243"/>
      <c r="AE60" s="3243"/>
      <c r="AF60" s="3243"/>
      <c r="AG60" s="3243"/>
      <c r="AH60" s="3243"/>
      <c r="AI60" s="3243"/>
      <c r="AJ60" s="3243"/>
      <c r="AK60" s="3835"/>
      <c r="AL60" s="1330"/>
      <c r="AM60" s="31"/>
      <c r="AN60" s="31"/>
      <c r="AO60" s="828"/>
      <c r="AP60" s="4569" t="s">
        <v>7156</v>
      </c>
      <c r="AQ60" s="4569"/>
      <c r="AR60" s="4569"/>
      <c r="AS60" s="4569"/>
      <c r="AT60" s="4569"/>
      <c r="AU60" s="4569"/>
      <c r="AV60" s="4569"/>
      <c r="AW60" s="4569"/>
      <c r="AX60" s="839"/>
      <c r="AY60" s="649"/>
      <c r="AZ60" s="1986"/>
      <c r="BA60" s="1986" t="b">
        <f t="shared" si="4"/>
        <v>0</v>
      </c>
      <c r="BB60" s="2796" t="b">
        <f t="shared" si="5"/>
        <v>0</v>
      </c>
      <c r="BC60" s="2796" t="b">
        <f t="shared" si="6"/>
        <v>0</v>
      </c>
      <c r="BD60" s="1986" t="b">
        <f t="shared" si="7"/>
        <v>0</v>
      </c>
      <c r="BE60" s="1986" t="b">
        <f t="shared" si="8"/>
        <v>0</v>
      </c>
      <c r="BF60" s="1986" t="b">
        <f t="shared" si="9"/>
        <v>0</v>
      </c>
      <c r="BG60" s="1986" t="b">
        <f t="shared" si="10"/>
        <v>0</v>
      </c>
      <c r="BH60" s="1986"/>
      <c r="BI60" s="1986"/>
      <c r="BJ60" s="1986"/>
      <c r="BK60" s="1986"/>
    </row>
    <row r="61" spans="1:63" ht="12" customHeight="1" thickBot="1" x14ac:dyDescent="0.25">
      <c r="A61" s="31"/>
      <c r="B61" s="542"/>
      <c r="C61" s="4527" t="s">
        <v>1728</v>
      </c>
      <c r="D61" s="4527"/>
      <c r="E61" s="4527"/>
      <c r="F61" s="4527"/>
      <c r="G61" s="4527"/>
      <c r="H61" s="101">
        <f>SUM(H33:H60)+IF(Sheele!$F$5="No",0,Sheele!$U$5)</f>
        <v>0</v>
      </c>
      <c r="J61" s="4530" t="str">
        <f>IF(Tablas!X21,IF(AND(22-COUNTBLANK(P33:P60)&gt;VLOOKUP(Nivel_Sobrenatural,Tablas!$S$9:$X$12,6,FALSE)),"Número inicial de invocaciones excesivo. ","")&amp;IF(P25="Invocador","Costes de las invocaciones ya reducidos",""),"")</f>
        <v/>
      </c>
      <c r="K61" s="4531"/>
      <c r="L61" s="4531"/>
      <c r="M61" s="4531"/>
      <c r="N61" s="4531"/>
      <c r="O61" s="4531"/>
      <c r="P61" s="4531"/>
      <c r="Q61" s="4532"/>
      <c r="S61" s="652"/>
      <c r="T61" s="541"/>
      <c r="U61" s="31"/>
      <c r="V61" s="764"/>
      <c r="W61" s="4496" t="str">
        <f>IF(SUM(Tablas!$P$1125:$P$1166)=0,"",IF(Tablas!A9&gt;MAX(Tablas!$P$1125:$P$1166),"",VLOOKUP(Tablas!A9,Tablas!$P$1125:$T$1166,2,FALSE)))</f>
        <v/>
      </c>
      <c r="X61" s="3824"/>
      <c r="Y61" s="3824"/>
      <c r="Z61" s="3824"/>
      <c r="AA61" s="3825"/>
      <c r="AB61" s="4506" t="str">
        <f>IF(SUM(Tablas!$P$1125:$P$1166)=0,"",IF(Tablas!A9&gt;MAX(Tablas!$P$1125:$P$1166),"",VLOOKUP(Tablas!A9,Tablas!$P$1125:$T$1166,4,FALSE)))</f>
        <v/>
      </c>
      <c r="AC61" s="3818"/>
      <c r="AD61" s="3818"/>
      <c r="AE61" s="3818"/>
      <c r="AF61" s="3818"/>
      <c r="AG61" s="3818"/>
      <c r="AH61" s="3818"/>
      <c r="AI61" s="3818"/>
      <c r="AJ61" s="3818"/>
      <c r="AK61" s="4507"/>
      <c r="AL61" s="1330"/>
      <c r="AM61" s="31"/>
      <c r="AN61" s="31"/>
      <c r="AO61" s="828"/>
      <c r="AP61" s="4410" t="s">
        <v>1704</v>
      </c>
      <c r="AQ61" s="4410"/>
      <c r="AR61" s="4410" t="s">
        <v>1703</v>
      </c>
      <c r="AS61" s="4410"/>
      <c r="AT61" s="4410"/>
      <c r="AU61" s="2663"/>
      <c r="AV61" s="2664" t="s">
        <v>7157</v>
      </c>
      <c r="AW61" s="1073" t="s">
        <v>2740</v>
      </c>
      <c r="AX61" s="839"/>
      <c r="AY61" s="649"/>
      <c r="AZ61" s="1986"/>
      <c r="BA61" s="1986" t="s">
        <v>1357</v>
      </c>
      <c r="BB61" s="2796" t="b">
        <f>OR(BB34:BB60)</f>
        <v>0</v>
      </c>
      <c r="BC61" s="2796" t="b">
        <f>OR(BC34:BC60)</f>
        <v>0</v>
      </c>
      <c r="BD61" s="2796" t="b">
        <f t="shared" ref="BD61:BG61" si="14">OR(BD34:BD60)</f>
        <v>0</v>
      </c>
      <c r="BE61" s="2796" t="b">
        <f t="shared" si="14"/>
        <v>0</v>
      </c>
      <c r="BF61" s="2796" t="b">
        <f t="shared" si="14"/>
        <v>0</v>
      </c>
      <c r="BG61" s="2796" t="b">
        <f t="shared" si="14"/>
        <v>0</v>
      </c>
      <c r="BH61" s="1986"/>
      <c r="BI61" s="1986"/>
      <c r="BJ61" s="1986"/>
      <c r="BK61" s="1986"/>
    </row>
    <row r="62" spans="1:63" ht="12" customHeight="1" thickBot="1" x14ac:dyDescent="0.25">
      <c r="A62" s="31"/>
      <c r="B62" s="542"/>
      <c r="S62" s="652"/>
      <c r="T62" s="541"/>
      <c r="U62" s="31"/>
      <c r="V62" s="764"/>
      <c r="W62" s="4496" t="str">
        <f>IF(SUM(Tablas!$P$1125:$P$1166)=0,"",IF(Tablas!A10&gt;MAX(Tablas!$P$1125:$P$1166),"",VLOOKUP(Tablas!A10,Tablas!$P$1125:$T$1166,2,FALSE)))</f>
        <v/>
      </c>
      <c r="X62" s="3824"/>
      <c r="Y62" s="3824"/>
      <c r="Z62" s="3824"/>
      <c r="AA62" s="3825"/>
      <c r="AB62" s="4506" t="str">
        <f>IF(SUM(Tablas!$P$1125:$P$1166)=0,"",IF(Tablas!A10&gt;MAX(Tablas!$P$1125:$P$1166),"",VLOOKUP(Tablas!A10,Tablas!$P$1125:$T$1166,4,FALSE)))</f>
        <v/>
      </c>
      <c r="AC62" s="3818"/>
      <c r="AD62" s="3818"/>
      <c r="AE62" s="3818"/>
      <c r="AF62" s="3818"/>
      <c r="AG62" s="3818"/>
      <c r="AH62" s="3818"/>
      <c r="AI62" s="3818"/>
      <c r="AJ62" s="3818"/>
      <c r="AK62" s="4507"/>
      <c r="AL62" s="1330"/>
      <c r="AM62" s="31"/>
      <c r="AN62" s="31"/>
      <c r="AO62" s="969" t="str">
        <f>"Conjuros"&amp;IF(AP62="","","_"&amp;AP62)</f>
        <v>Conjuros</v>
      </c>
      <c r="AP62" s="4576"/>
      <c r="AQ62" s="4576"/>
      <c r="AR62" s="3621"/>
      <c r="AS62" s="3621"/>
      <c r="AT62" s="3621"/>
      <c r="AU62" s="3621"/>
      <c r="AV62" s="2661"/>
      <c r="AW62" s="1660">
        <f>IF(AR62="",0,AV62*VLOOKUP(AR62,'Tablas Magia'!$D$6:$Z$680,11,FALSE)/2)</f>
        <v>0</v>
      </c>
      <c r="AX62" s="839"/>
      <c r="AY62" s="649"/>
      <c r="AZ62" s="1986"/>
      <c r="BA62" s="1986"/>
      <c r="BB62" s="2796"/>
      <c r="BC62" s="2796"/>
      <c r="BD62" s="1986"/>
      <c r="BE62" s="2007"/>
      <c r="BF62" s="1986"/>
      <c r="BG62" s="1986"/>
      <c r="BH62" s="1986"/>
      <c r="BI62" s="1986"/>
      <c r="BJ62" s="1986"/>
      <c r="BK62" s="1986"/>
    </row>
    <row r="63" spans="1:63" ht="12" customHeight="1" thickBot="1" x14ac:dyDescent="0.25">
      <c r="A63" s="31"/>
      <c r="B63" s="542"/>
      <c r="C63" s="3156" t="s">
        <v>9906</v>
      </c>
      <c r="D63" s="3156"/>
      <c r="E63" s="3156"/>
      <c r="F63" s="3156"/>
      <c r="G63" s="3156"/>
      <c r="H63" s="3156"/>
      <c r="J63" s="3173" t="s">
        <v>1729</v>
      </c>
      <c r="K63" s="4434"/>
      <c r="L63" s="4434"/>
      <c r="M63" s="4508" t="s">
        <v>1520</v>
      </c>
      <c r="N63" s="4508"/>
      <c r="O63" s="4508"/>
      <c r="P63" s="4508"/>
      <c r="Q63" s="4509"/>
      <c r="S63" s="652"/>
      <c r="T63" s="541"/>
      <c r="U63" s="31"/>
      <c r="V63" s="764"/>
      <c r="W63" s="4496" t="str">
        <f>IF(SUM(Tablas!$P$1125:$P$1166)=0,"",IF(Tablas!A11&gt;MAX(Tablas!$P$1125:$P$1166),"",VLOOKUP(Tablas!A11,Tablas!$P$1125:$T$1166,2,FALSE)))</f>
        <v/>
      </c>
      <c r="X63" s="3824"/>
      <c r="Y63" s="3824"/>
      <c r="Z63" s="3824"/>
      <c r="AA63" s="3825"/>
      <c r="AB63" s="4506" t="str">
        <f>IF(SUM(Tablas!$P$1125:$P$1166)=0,"",IF(Tablas!A11&gt;MAX(Tablas!$P$1125:$P$1166),"",VLOOKUP(Tablas!A11,Tablas!$P$1125:$T$1166,4,FALSE)))</f>
        <v/>
      </c>
      <c r="AC63" s="3818"/>
      <c r="AD63" s="3818"/>
      <c r="AE63" s="3818"/>
      <c r="AF63" s="3818"/>
      <c r="AG63" s="3818"/>
      <c r="AH63" s="3818"/>
      <c r="AI63" s="3818"/>
      <c r="AJ63" s="3818"/>
      <c r="AK63" s="4507"/>
      <c r="AL63" s="1330"/>
      <c r="AM63" s="31"/>
      <c r="AN63" s="31"/>
      <c r="AO63" s="969" t="str">
        <f t="shared" ref="AO63:AO72" si="15">"Conjuros"&amp;IF(AP63="","","_"&amp;AP63)</f>
        <v>Conjuros</v>
      </c>
      <c r="AP63" s="4577"/>
      <c r="AQ63" s="4577"/>
      <c r="AR63" s="4398"/>
      <c r="AS63" s="4398"/>
      <c r="AT63" s="4398"/>
      <c r="AU63" s="4398"/>
      <c r="AV63" s="2662"/>
      <c r="AW63" s="2665">
        <f>IF(AR63="",0,AV63*VLOOKUP(AR63,'Tablas Magia'!$D$6:$Z$680,11,FALSE)/2)</f>
        <v>0</v>
      </c>
      <c r="AX63" s="839"/>
      <c r="AY63" s="649"/>
      <c r="AZ63" s="1986"/>
      <c r="BA63" s="1986"/>
      <c r="BB63" s="2796"/>
      <c r="BC63" s="2796"/>
      <c r="BD63" s="1986"/>
      <c r="BE63" s="2007"/>
      <c r="BF63" s="1986"/>
      <c r="BG63" s="1986"/>
      <c r="BH63" s="1986"/>
      <c r="BI63" s="1986"/>
      <c r="BJ63" s="1986"/>
      <c r="BK63" s="1986"/>
    </row>
    <row r="64" spans="1:63" ht="12" customHeight="1" x14ac:dyDescent="0.2">
      <c r="A64" s="31"/>
      <c r="B64" s="542"/>
      <c r="C64" s="4510"/>
      <c r="D64" s="3289"/>
      <c r="E64" s="3289"/>
      <c r="F64" s="3289"/>
      <c r="G64" s="3289"/>
      <c r="H64" s="4511"/>
      <c r="J64" s="2478">
        <v>20</v>
      </c>
      <c r="K64" s="4503" t="s">
        <v>1732</v>
      </c>
      <c r="L64" s="4503"/>
      <c r="M64" s="4504" t="s">
        <v>1733</v>
      </c>
      <c r="N64" s="4504"/>
      <c r="O64" s="4504"/>
      <c r="P64" s="4504"/>
      <c r="Q64" s="4505"/>
      <c r="S64" s="652"/>
      <c r="T64" s="541"/>
      <c r="U64" s="31"/>
      <c r="V64" s="764"/>
      <c r="W64" s="4496" t="str">
        <f>IF(SUM(Tablas!$P$1125:$P$1166)=0,"",IF(Tablas!A12&gt;MAX(Tablas!$P$1125:$P$1166),"",VLOOKUP(Tablas!A12,Tablas!$P$1125:$T$1166,2,FALSE)))</f>
        <v/>
      </c>
      <c r="X64" s="3824"/>
      <c r="Y64" s="3824"/>
      <c r="Z64" s="3824"/>
      <c r="AA64" s="3825"/>
      <c r="AB64" s="4506" t="str">
        <f>IF(SUM(Tablas!$P$1125:$P$1166)=0,"",IF(Tablas!A12&gt;MAX(Tablas!$P$1125:$P$1166),"",VLOOKUP(Tablas!A12,Tablas!$P$1125:$T$1166,4,FALSE)))</f>
        <v/>
      </c>
      <c r="AC64" s="3818"/>
      <c r="AD64" s="3818"/>
      <c r="AE64" s="3818"/>
      <c r="AF64" s="3818"/>
      <c r="AG64" s="3818"/>
      <c r="AH64" s="3818"/>
      <c r="AI64" s="3818"/>
      <c r="AJ64" s="3818"/>
      <c r="AK64" s="4507"/>
      <c r="AL64" s="1330"/>
      <c r="AM64" s="31"/>
      <c r="AN64" s="31"/>
      <c r="AO64" s="969" t="str">
        <f t="shared" si="15"/>
        <v>Conjuros</v>
      </c>
      <c r="AP64" s="4576"/>
      <c r="AQ64" s="4576"/>
      <c r="AR64" s="3621"/>
      <c r="AS64" s="3621"/>
      <c r="AT64" s="3621"/>
      <c r="AU64" s="3621"/>
      <c r="AV64" s="2661"/>
      <c r="AW64" s="1660">
        <f>IF(AR64="",0,AV64*VLOOKUP(AR64,'Tablas Magia'!$D$6:$Z$680,11,FALSE)/2)</f>
        <v>0</v>
      </c>
      <c r="AX64" s="839"/>
      <c r="AY64" s="649"/>
      <c r="AZ64" s="1986"/>
      <c r="BA64" s="1986"/>
      <c r="BB64" s="2796"/>
      <c r="BC64" s="2796"/>
      <c r="BD64" s="1986"/>
      <c r="BE64" s="1986"/>
      <c r="BF64" s="1986"/>
      <c r="BG64" s="1986"/>
      <c r="BH64" s="1986"/>
      <c r="BI64" s="1986"/>
      <c r="BJ64" s="1986"/>
      <c r="BK64" s="1986"/>
    </row>
    <row r="65" spans="1:63" ht="12" customHeight="1" x14ac:dyDescent="0.2">
      <c r="A65" s="31"/>
      <c r="B65" s="542"/>
      <c r="C65" s="4512"/>
      <c r="D65" s="3292"/>
      <c r="E65" s="3292"/>
      <c r="F65" s="3292"/>
      <c r="G65" s="3292"/>
      <c r="H65" s="4513"/>
      <c r="J65" s="2478">
        <v>40</v>
      </c>
      <c r="K65" s="4503" t="s">
        <v>1734</v>
      </c>
      <c r="L65" s="4503"/>
      <c r="M65" s="4501" t="s">
        <v>1735</v>
      </c>
      <c r="N65" s="4501"/>
      <c r="O65" s="4501"/>
      <c r="P65" s="4501"/>
      <c r="Q65" s="4502"/>
      <c r="S65" s="652"/>
      <c r="T65" s="541"/>
      <c r="U65" s="31"/>
      <c r="V65" s="764"/>
      <c r="W65" s="4496" t="str">
        <f>IF(SUM(Tablas!$P$1125:$P$1166)=0,"",IF(Tablas!A13&gt;MAX(Tablas!$P$1125:$P$1166),"",VLOOKUP(Tablas!A13,Tablas!$P$1125:$T$1166,2,FALSE)))</f>
        <v/>
      </c>
      <c r="X65" s="3824"/>
      <c r="Y65" s="3824"/>
      <c r="Z65" s="3824"/>
      <c r="AA65" s="3825"/>
      <c r="AB65" s="4506" t="str">
        <f>IF(SUM(Tablas!$P$1125:$P$1166)=0,"",IF(Tablas!A13&gt;MAX(Tablas!$P$1125:$P$1166),"",VLOOKUP(Tablas!A13,Tablas!$P$1125:$T$1166,4,FALSE)))</f>
        <v/>
      </c>
      <c r="AC65" s="3818"/>
      <c r="AD65" s="3818"/>
      <c r="AE65" s="3818"/>
      <c r="AF65" s="3818"/>
      <c r="AG65" s="3818"/>
      <c r="AH65" s="3818"/>
      <c r="AI65" s="3818"/>
      <c r="AJ65" s="3818"/>
      <c r="AK65" s="4507"/>
      <c r="AL65" s="1209"/>
      <c r="AM65" s="31"/>
      <c r="AN65" s="31"/>
      <c r="AO65" s="969" t="str">
        <f t="shared" si="15"/>
        <v>Conjuros</v>
      </c>
      <c r="AP65" s="4577"/>
      <c r="AQ65" s="4577"/>
      <c r="AR65" s="4398"/>
      <c r="AS65" s="4398"/>
      <c r="AT65" s="4398"/>
      <c r="AU65" s="4398"/>
      <c r="AV65" s="2662"/>
      <c r="AW65" s="2665">
        <f>IF(AR65="",0,AV65*VLOOKUP(AR65,'Tablas Magia'!$D$6:$Z$680,11,FALSE)/2)</f>
        <v>0</v>
      </c>
      <c r="AX65" s="838"/>
      <c r="AY65" s="649"/>
      <c r="AZ65" s="1986"/>
      <c r="BA65" s="1986"/>
      <c r="BB65" s="2796"/>
      <c r="BC65" s="2796"/>
      <c r="BD65" s="1986"/>
      <c r="BE65" s="1986"/>
      <c r="BF65" s="1986"/>
      <c r="BG65" s="1986"/>
      <c r="BH65" s="1986"/>
      <c r="BI65" s="1986"/>
      <c r="BJ65" s="1986"/>
      <c r="BK65" s="1986"/>
    </row>
    <row r="66" spans="1:63" ht="12" customHeight="1" x14ac:dyDescent="0.2">
      <c r="A66" s="31"/>
      <c r="B66" s="542"/>
      <c r="C66" s="4512"/>
      <c r="D66" s="3292"/>
      <c r="E66" s="3292"/>
      <c r="F66" s="3292"/>
      <c r="G66" s="3292"/>
      <c r="H66" s="4513"/>
      <c r="J66" s="2478">
        <v>80</v>
      </c>
      <c r="K66" s="4503" t="s">
        <v>1737</v>
      </c>
      <c r="L66" s="4503"/>
      <c r="M66" s="4501" t="s">
        <v>1738</v>
      </c>
      <c r="N66" s="4501"/>
      <c r="O66" s="4501"/>
      <c r="P66" s="4501"/>
      <c r="Q66" s="4502"/>
      <c r="S66" s="652"/>
      <c r="T66" s="541"/>
      <c r="U66" s="31"/>
      <c r="V66" s="764"/>
      <c r="W66" s="4496" t="str">
        <f>IF(SUM(Tablas!$P$1125:$P$1166)=0,"",IF(Tablas!A14&gt;MAX(Tablas!$P$1125:$P$1166),"",VLOOKUP(Tablas!A14,Tablas!$P$1125:$T$1166,2,FALSE)))</f>
        <v/>
      </c>
      <c r="X66" s="3824"/>
      <c r="Y66" s="3824"/>
      <c r="Z66" s="3824"/>
      <c r="AA66" s="3825"/>
      <c r="AB66" s="4506" t="str">
        <f>IF(SUM(Tablas!$P$1125:$P$1166)=0,"",IF(Tablas!A14&gt;MAX(Tablas!$P$1125:$P$1166),"",VLOOKUP(Tablas!A14,Tablas!$P$1125:$T$1166,4,FALSE)))</f>
        <v/>
      </c>
      <c r="AC66" s="3818"/>
      <c r="AD66" s="3818"/>
      <c r="AE66" s="3818"/>
      <c r="AF66" s="3818"/>
      <c r="AG66" s="3818"/>
      <c r="AH66" s="3818"/>
      <c r="AI66" s="3818"/>
      <c r="AJ66" s="3818"/>
      <c r="AK66" s="4507"/>
      <c r="AL66" s="1209"/>
      <c r="AM66" s="31"/>
      <c r="AN66" s="31"/>
      <c r="AO66" s="969" t="str">
        <f t="shared" si="15"/>
        <v>Conjuros</v>
      </c>
      <c r="AP66" s="4576"/>
      <c r="AQ66" s="4576"/>
      <c r="AR66" s="3621"/>
      <c r="AS66" s="3621"/>
      <c r="AT66" s="3621"/>
      <c r="AU66" s="3621"/>
      <c r="AV66" s="2661"/>
      <c r="AW66" s="1660">
        <f>IF(AR66="",0,AV66*VLOOKUP(AR66,'Tablas Magia'!$D$6:$Z$680,11,FALSE)/2)</f>
        <v>0</v>
      </c>
      <c r="AX66" s="838"/>
      <c r="AY66" s="649"/>
      <c r="AZ66" s="1986"/>
      <c r="BA66" s="1986"/>
      <c r="BB66" s="2796"/>
      <c r="BC66" s="2796"/>
      <c r="BD66" s="1986"/>
      <c r="BE66" s="1986"/>
      <c r="BF66" s="1986"/>
      <c r="BG66" s="1986"/>
      <c r="BH66" s="1986"/>
      <c r="BI66" s="1986"/>
      <c r="BJ66" s="1986"/>
      <c r="BK66" s="1986"/>
    </row>
    <row r="67" spans="1:63" ht="12" customHeight="1" x14ac:dyDescent="0.2">
      <c r="A67" s="31"/>
      <c r="B67" s="542"/>
      <c r="C67" s="4512"/>
      <c r="D67" s="3292"/>
      <c r="E67" s="3292"/>
      <c r="F67" s="3292"/>
      <c r="G67" s="3292"/>
      <c r="H67" s="4513"/>
      <c r="J67" s="2478">
        <v>120</v>
      </c>
      <c r="K67" s="4503" t="s">
        <v>1740</v>
      </c>
      <c r="L67" s="4503"/>
      <c r="M67" s="4501" t="str">
        <f>IF(Metamagia!$R$54+Metamagia!$U$54+Metamagia!$AA$54+Metamagia!$AA$59+Metamagia!$AA$64+Metamagia!$AD$48+Metamagia!$AG$46&gt;0,"Blancos hasta 100m. Zeón 10","Blancos hasta 100m")</f>
        <v>Blancos hasta 100m</v>
      </c>
      <c r="N67" s="4501"/>
      <c r="O67" s="4501"/>
      <c r="P67" s="4501"/>
      <c r="Q67" s="4502"/>
      <c r="S67" s="652"/>
      <c r="T67" s="541"/>
      <c r="U67" s="31"/>
      <c r="V67" s="764"/>
      <c r="W67" s="4496" t="str">
        <f>IF(SUM(Tablas!$P$1125:$P$1166)=0,"",IF(Tablas!A15&gt;MAX(Tablas!$P$1125:$P$1166),"",VLOOKUP(Tablas!A15,Tablas!$P$1125:$T$1166,2,FALSE)))</f>
        <v/>
      </c>
      <c r="X67" s="3824"/>
      <c r="Y67" s="3824"/>
      <c r="Z67" s="3824"/>
      <c r="AA67" s="3825"/>
      <c r="AB67" s="4506" t="str">
        <f>IF(SUM(Tablas!$P$1125:$P$1166)=0,"",IF(Tablas!A15&gt;MAX(Tablas!$P$1125:$P$1166),"",VLOOKUP(Tablas!A15,Tablas!$P$1125:$T$1166,4,FALSE)))</f>
        <v/>
      </c>
      <c r="AC67" s="3818"/>
      <c r="AD67" s="3818"/>
      <c r="AE67" s="3818"/>
      <c r="AF67" s="3818"/>
      <c r="AG67" s="3818"/>
      <c r="AH67" s="3818"/>
      <c r="AI67" s="3818"/>
      <c r="AJ67" s="3818"/>
      <c r="AK67" s="4507"/>
      <c r="AL67" s="1209"/>
      <c r="AM67" s="31"/>
      <c r="AN67" s="31"/>
      <c r="AO67" s="969" t="str">
        <f t="shared" si="15"/>
        <v>Conjuros</v>
      </c>
      <c r="AP67" s="4577"/>
      <c r="AQ67" s="4577"/>
      <c r="AR67" s="4398"/>
      <c r="AS67" s="4398"/>
      <c r="AT67" s="4398"/>
      <c r="AU67" s="4398"/>
      <c r="AV67" s="2662"/>
      <c r="AW67" s="2665">
        <f>IF(AR67="",0,AV67*VLOOKUP(AR67,'Tablas Magia'!$D$6:$Z$680,11,FALSE)/2)</f>
        <v>0</v>
      </c>
      <c r="AX67" s="838"/>
      <c r="AY67" s="649"/>
      <c r="AZ67" s="1986"/>
      <c r="BA67" s="1986"/>
      <c r="BB67" s="1986"/>
      <c r="BC67" s="1986"/>
      <c r="BD67" s="1986"/>
      <c r="BE67" s="1986"/>
      <c r="BF67" s="1986"/>
      <c r="BG67" s="1986"/>
      <c r="BH67" s="1986"/>
      <c r="BI67" s="1986"/>
      <c r="BJ67" s="1986"/>
      <c r="BK67" s="1986"/>
    </row>
    <row r="68" spans="1:63" ht="12" customHeight="1" x14ac:dyDescent="0.2">
      <c r="A68" s="31"/>
      <c r="B68" s="542"/>
      <c r="C68" s="4512"/>
      <c r="D68" s="3292"/>
      <c r="E68" s="3292"/>
      <c r="F68" s="3292"/>
      <c r="G68" s="3292"/>
      <c r="H68" s="4513"/>
      <c r="J68" s="2478">
        <v>140</v>
      </c>
      <c r="K68" s="4503" t="s">
        <v>1742</v>
      </c>
      <c r="L68" s="4503"/>
      <c r="M68" s="4501" t="str">
        <f>IF(Metamagia!$R$54+Metamagia!$U$54+Metamagia!$AA$54+Metamagia!$AA$59+Metamagia!$AA$64+Metamagia!$AD$48+Metamagia!$AG$46&gt;1,"Blancos hasta 250m. Zeón 20","Blancos hasta 250m")</f>
        <v>Blancos hasta 250m</v>
      </c>
      <c r="N68" s="4501"/>
      <c r="O68" s="4501"/>
      <c r="P68" s="4501"/>
      <c r="Q68" s="4502"/>
      <c r="S68" s="652"/>
      <c r="T68" s="541"/>
      <c r="U68" s="31"/>
      <c r="V68" s="764"/>
      <c r="W68" s="4496" t="str">
        <f>IF(SUM(Tablas!$P$1125:$P$1166)=0,"",IF(Tablas!A16&gt;MAX(Tablas!$P$1125:$P$1166),"",VLOOKUP(Tablas!A16,Tablas!$P$1125:$T$1166,2,FALSE)))</f>
        <v/>
      </c>
      <c r="X68" s="3824"/>
      <c r="Y68" s="3824"/>
      <c r="Z68" s="3824"/>
      <c r="AA68" s="3825"/>
      <c r="AB68" s="4506" t="str">
        <f>IF(SUM(Tablas!$P$1125:$P$1166)=0,"",IF(Tablas!A16&gt;MAX(Tablas!$P$1125:$P$1166),"",VLOOKUP(Tablas!A16,Tablas!$P$1125:$T$1166,4,FALSE)))</f>
        <v/>
      </c>
      <c r="AC68" s="3818"/>
      <c r="AD68" s="3818"/>
      <c r="AE68" s="3818"/>
      <c r="AF68" s="3818"/>
      <c r="AG68" s="3818"/>
      <c r="AH68" s="3818"/>
      <c r="AI68" s="3818"/>
      <c r="AJ68" s="3818"/>
      <c r="AK68" s="4507"/>
      <c r="AL68" s="1209"/>
      <c r="AM68" s="31"/>
      <c r="AN68" s="31"/>
      <c r="AO68" s="969" t="str">
        <f t="shared" si="15"/>
        <v>Conjuros</v>
      </c>
      <c r="AP68" s="4576"/>
      <c r="AQ68" s="4576"/>
      <c r="AR68" s="3621"/>
      <c r="AS68" s="3621"/>
      <c r="AT68" s="3621"/>
      <c r="AU68" s="3621"/>
      <c r="AV68" s="2661"/>
      <c r="AW68" s="1660">
        <f>IF(AR68="",0,AV68*VLOOKUP(AR68,'Tablas Magia'!$D$6:$Z$680,11,FALSE)/2)</f>
        <v>0</v>
      </c>
      <c r="AX68" s="838"/>
      <c r="AY68" s="649"/>
      <c r="AZ68" s="1986"/>
      <c r="BA68" s="1986"/>
      <c r="BB68" s="1986"/>
      <c r="BC68" s="1986"/>
      <c r="BD68" s="1986"/>
      <c r="BE68" s="1986"/>
      <c r="BF68" s="1986"/>
      <c r="BG68" s="1986"/>
      <c r="BH68" s="1986"/>
      <c r="BI68" s="1986"/>
      <c r="BJ68" s="1986"/>
      <c r="BK68" s="1986"/>
    </row>
    <row r="69" spans="1:63" ht="12" customHeight="1" x14ac:dyDescent="0.2">
      <c r="A69" s="31"/>
      <c r="B69" s="542"/>
      <c r="C69" s="4512"/>
      <c r="D69" s="3292"/>
      <c r="E69" s="3292"/>
      <c r="F69" s="3292"/>
      <c r="G69" s="3292"/>
      <c r="H69" s="4513"/>
      <c r="J69" s="2478">
        <v>180</v>
      </c>
      <c r="K69" s="4503" t="s">
        <v>1744</v>
      </c>
      <c r="L69" s="4503"/>
      <c r="M69" s="4501" t="str">
        <f>IF(Metamagia!$R$54+Metamagia!$U$54+Metamagia!$AA$54+Metamagia!$AA$59+Metamagia!$AA$64+Metamagia!$AD$48+Metamagia!$AG$46&gt;2,"Blancos hasta 500m. Zeón 40","Blancos hasta 500m")</f>
        <v>Blancos hasta 500m</v>
      </c>
      <c r="N69" s="4501"/>
      <c r="O69" s="4501"/>
      <c r="P69" s="4501"/>
      <c r="Q69" s="4502"/>
      <c r="S69" s="652"/>
      <c r="T69" s="541"/>
      <c r="U69" s="31"/>
      <c r="V69" s="764"/>
      <c r="W69" s="4496" t="str">
        <f>IF(SUM(Tablas!$P$1125:$P$1166)=0,"",IF(Tablas!A17&gt;MAX(Tablas!$P$1125:$P$1166),"",VLOOKUP(Tablas!A17,Tablas!$P$1125:$T$1166,2,FALSE)))</f>
        <v/>
      </c>
      <c r="X69" s="3824"/>
      <c r="Y69" s="3824"/>
      <c r="Z69" s="3824"/>
      <c r="AA69" s="3825"/>
      <c r="AB69" s="4506" t="str">
        <f>IF(SUM(Tablas!$P$1125:$P$1166)=0,"",IF(Tablas!A17&gt;MAX(Tablas!$P$1125:$P$1166),"",VLOOKUP(Tablas!A17,Tablas!$P$1125:$T$1166,4,FALSE)))</f>
        <v/>
      </c>
      <c r="AC69" s="3818"/>
      <c r="AD69" s="3818"/>
      <c r="AE69" s="3818"/>
      <c r="AF69" s="3818"/>
      <c r="AG69" s="3818"/>
      <c r="AH69" s="3818"/>
      <c r="AI69" s="3818"/>
      <c r="AJ69" s="3818"/>
      <c r="AK69" s="4507"/>
      <c r="AL69" s="1209"/>
      <c r="AM69" s="31"/>
      <c r="AN69" s="31"/>
      <c r="AO69" s="969" t="str">
        <f t="shared" si="15"/>
        <v>Conjuros</v>
      </c>
      <c r="AP69" s="4577"/>
      <c r="AQ69" s="4577"/>
      <c r="AR69" s="4398"/>
      <c r="AS69" s="4398"/>
      <c r="AT69" s="4398"/>
      <c r="AU69" s="4398"/>
      <c r="AV69" s="2662"/>
      <c r="AW69" s="2665">
        <f>IF(AR69="",0,AV69*VLOOKUP(AR69,'Tablas Magia'!$D$6:$Z$680,11,FALSE)/2)</f>
        <v>0</v>
      </c>
      <c r="AX69" s="838"/>
      <c r="AY69" s="649"/>
      <c r="AZ69" s="1986"/>
      <c r="BA69" s="1986"/>
      <c r="BB69" s="1986"/>
      <c r="BC69" s="1986"/>
      <c r="BD69" s="1986"/>
      <c r="BE69" s="1986"/>
      <c r="BF69" s="1986"/>
      <c r="BG69" s="1986"/>
      <c r="BH69" s="1986"/>
      <c r="BI69" s="1986"/>
      <c r="BJ69" s="1986"/>
      <c r="BK69" s="1986"/>
    </row>
    <row r="70" spans="1:63" ht="12" customHeight="1" x14ac:dyDescent="0.2">
      <c r="A70" s="31"/>
      <c r="B70" s="542"/>
      <c r="C70" s="4512"/>
      <c r="D70" s="3292"/>
      <c r="E70" s="3292"/>
      <c r="F70" s="3292"/>
      <c r="G70" s="3292"/>
      <c r="H70" s="4513"/>
      <c r="J70" s="2478">
        <v>240</v>
      </c>
      <c r="K70" s="4503" t="s">
        <v>1746</v>
      </c>
      <c r="L70" s="4503"/>
      <c r="M70" s="4501" t="str">
        <f>IF(Metamagia!$R$54+Metamagia!$U$54+Metamagia!$AA$54+Metamagia!$AA$59+Metamagia!$AA$64+Metamagia!$AD$48+Metamagia!$AG$46&gt;3,"Hasta 1 km. Blanco localizado. Zeón 60","Hasta 1 km. Blanco localizado")</f>
        <v>Hasta 1 km. Blanco localizado</v>
      </c>
      <c r="N70" s="4501"/>
      <c r="O70" s="4501"/>
      <c r="P70" s="4501"/>
      <c r="Q70" s="4502"/>
      <c r="S70" s="652"/>
      <c r="T70" s="541"/>
      <c r="U70" s="31"/>
      <c r="V70" s="764"/>
      <c r="W70" s="4496" t="str">
        <f>IF(SUM(Tablas!$P$1125:$P$1166)=0,"",IF(Tablas!A18&gt;MAX(Tablas!$P$1125:$P$1166),"",VLOOKUP(Tablas!A18,Tablas!$P$1125:$T$1166,2,FALSE)))</f>
        <v/>
      </c>
      <c r="X70" s="3824"/>
      <c r="Y70" s="3824"/>
      <c r="Z70" s="3824"/>
      <c r="AA70" s="3825"/>
      <c r="AB70" s="4506" t="str">
        <f>IF(SUM(Tablas!$P$1125:$P$1166)=0,"",IF(Tablas!A18&gt;MAX(Tablas!$P$1125:$P$1166),"",VLOOKUP(Tablas!A18,Tablas!$P$1125:$T$1166,4,FALSE)))</f>
        <v/>
      </c>
      <c r="AC70" s="3818"/>
      <c r="AD70" s="3818"/>
      <c r="AE70" s="3818"/>
      <c r="AF70" s="3818"/>
      <c r="AG70" s="3818"/>
      <c r="AH70" s="3818"/>
      <c r="AI70" s="3818"/>
      <c r="AJ70" s="3818"/>
      <c r="AK70" s="4507"/>
      <c r="AL70" s="1209"/>
      <c r="AM70" s="31"/>
      <c r="AN70" s="31"/>
      <c r="AO70" s="969" t="str">
        <f t="shared" si="15"/>
        <v>Conjuros</v>
      </c>
      <c r="AP70" s="4576"/>
      <c r="AQ70" s="4576"/>
      <c r="AR70" s="3621"/>
      <c r="AS70" s="3621"/>
      <c r="AT70" s="3621"/>
      <c r="AU70" s="3621"/>
      <c r="AV70" s="2661"/>
      <c r="AW70" s="1660">
        <f>IF(AR70="",0,AV70*VLOOKUP(AR70,'Tablas Magia'!$D$6:$Z$680,11,FALSE)/2)</f>
        <v>0</v>
      </c>
      <c r="AX70" s="838"/>
      <c r="AY70" s="649"/>
      <c r="AZ70" s="1986"/>
      <c r="BA70" s="1986"/>
      <c r="BB70" s="1986"/>
      <c r="BC70" s="1986"/>
      <c r="BD70" s="1986"/>
      <c r="BE70" s="1986"/>
      <c r="BF70" s="1986"/>
      <c r="BG70" s="1986"/>
      <c r="BH70" s="1986"/>
      <c r="BI70" s="1986"/>
      <c r="BJ70" s="1986"/>
      <c r="BK70" s="1986"/>
    </row>
    <row r="71" spans="1:63" ht="12" customHeight="1" x14ac:dyDescent="0.2">
      <c r="A71" s="31"/>
      <c r="B71" s="542"/>
      <c r="C71" s="4512"/>
      <c r="D71" s="3292"/>
      <c r="E71" s="3292"/>
      <c r="F71" s="3292"/>
      <c r="G71" s="3292"/>
      <c r="H71" s="4513"/>
      <c r="J71" s="2478">
        <v>280</v>
      </c>
      <c r="K71" s="4503" t="s">
        <v>1747</v>
      </c>
      <c r="L71" s="4503"/>
      <c r="M71" s="4501" t="str">
        <f>IF(Metamagia!$R$54+Metamagia!$U$54+Metamagia!$AA$54+Metamagia!$AA$59+Metamagia!$AA$64+Metamagia!$AD$48+Metamagia!$AG$46&gt;4,"Hasta 10 km. Blanco aprox. Zeón 80","Hasta 10 km. Blanco aproximado")</f>
        <v>Hasta 10 km. Blanco aproximado</v>
      </c>
      <c r="N71" s="4501"/>
      <c r="O71" s="4501"/>
      <c r="P71" s="4501"/>
      <c r="Q71" s="4502"/>
      <c r="S71" s="652"/>
      <c r="T71" s="541"/>
      <c r="U71" s="31"/>
      <c r="V71" s="764"/>
      <c r="W71" s="4496" t="str">
        <f>IF(SUM(Tablas!$P$1125:$P$1166)=0,"",IF(Tablas!A19&gt;MAX(Tablas!$P$1125:$P$1166),"",VLOOKUP(Tablas!A19,Tablas!$P$1125:$T$1166,2,FALSE)))</f>
        <v/>
      </c>
      <c r="X71" s="3824"/>
      <c r="Y71" s="3824"/>
      <c r="Z71" s="3824"/>
      <c r="AA71" s="3825"/>
      <c r="AB71" s="4506" t="str">
        <f>IF(SUM(Tablas!$P$1125:$P$1166)=0,"",IF(Tablas!A19&gt;MAX(Tablas!$P$1125:$P$1166),"",VLOOKUP(Tablas!A19,Tablas!$P$1125:$T$1166,4,FALSE)))</f>
        <v/>
      </c>
      <c r="AC71" s="3818"/>
      <c r="AD71" s="3818"/>
      <c r="AE71" s="3818"/>
      <c r="AF71" s="3818"/>
      <c r="AG71" s="3818"/>
      <c r="AH71" s="3818"/>
      <c r="AI71" s="3818"/>
      <c r="AJ71" s="3818"/>
      <c r="AK71" s="4507"/>
      <c r="AL71" s="1209"/>
      <c r="AM71" s="31"/>
      <c r="AN71" s="31"/>
      <c r="AO71" s="969" t="str">
        <f t="shared" si="15"/>
        <v>Conjuros</v>
      </c>
      <c r="AP71" s="4577"/>
      <c r="AQ71" s="4577"/>
      <c r="AR71" s="4398"/>
      <c r="AS71" s="4398"/>
      <c r="AT71" s="4398"/>
      <c r="AU71" s="4398"/>
      <c r="AV71" s="2662"/>
      <c r="AW71" s="2665">
        <f>IF(AR71="",0,AV71*VLOOKUP(AR71,'Tablas Magia'!$D$6:$Z$680,11,FALSE)/2)</f>
        <v>0</v>
      </c>
      <c r="AX71" s="838"/>
      <c r="AY71" s="649"/>
      <c r="AZ71" s="1986"/>
      <c r="BA71" s="1986"/>
      <c r="BB71" s="1986"/>
      <c r="BC71" s="1986"/>
      <c r="BD71" s="1986"/>
      <c r="BE71" s="1986"/>
      <c r="BF71" s="1986"/>
      <c r="BG71" s="1986"/>
      <c r="BH71" s="1986"/>
      <c r="BI71" s="1986"/>
      <c r="BJ71" s="1986"/>
      <c r="BK71" s="1986"/>
    </row>
    <row r="72" spans="1:63" ht="12" customHeight="1" x14ac:dyDescent="0.2">
      <c r="A72" s="31"/>
      <c r="B72" s="542"/>
      <c r="C72" s="4512"/>
      <c r="D72" s="3292"/>
      <c r="E72" s="3292"/>
      <c r="F72" s="3292"/>
      <c r="G72" s="3292"/>
      <c r="H72" s="4513"/>
      <c r="J72" s="2478">
        <v>320</v>
      </c>
      <c r="K72" s="4503" t="s">
        <v>1749</v>
      </c>
      <c r="L72" s="4503"/>
      <c r="M72" s="4501" t="str">
        <f>IF(Metamagia!$R$54+Metamagia!$U$54+Metamagia!$AA$54+Metamagia!$AA$59+Metamagia!$AA$64+Metamagia!$AD$48+Metamagia!$AG$46&gt;5,"Zeón 100","-")</f>
        <v>-</v>
      </c>
      <c r="N72" s="4501"/>
      <c r="O72" s="4501"/>
      <c r="P72" s="4501"/>
      <c r="Q72" s="4502"/>
      <c r="S72" s="652"/>
      <c r="T72" s="541"/>
      <c r="U72" s="31"/>
      <c r="V72" s="764"/>
      <c r="W72" s="4496" t="str">
        <f>IF(SUM(Tablas!$P$1125:$P$1166)=0,"",IF(Tablas!A20&gt;MAX(Tablas!$P$1125:$P$1166),"",VLOOKUP(Tablas!A20,Tablas!$P$1125:$T$1166,2,FALSE)))</f>
        <v/>
      </c>
      <c r="X72" s="3824"/>
      <c r="Y72" s="3824"/>
      <c r="Z72" s="3824"/>
      <c r="AA72" s="3825"/>
      <c r="AB72" s="4506" t="str">
        <f>IF(SUM(Tablas!$P$1125:$P$1166)=0,"",IF(Tablas!A20&gt;MAX(Tablas!$P$1125:$P$1166),"",VLOOKUP(Tablas!A20,Tablas!$P$1125:$T$1166,4,FALSE)))</f>
        <v/>
      </c>
      <c r="AC72" s="3818"/>
      <c r="AD72" s="3818"/>
      <c r="AE72" s="3818"/>
      <c r="AF72" s="3818"/>
      <c r="AG72" s="3818"/>
      <c r="AH72" s="3818"/>
      <c r="AI72" s="3818"/>
      <c r="AJ72" s="3818"/>
      <c r="AK72" s="4507"/>
      <c r="AL72" s="1209"/>
      <c r="AM72" s="31"/>
      <c r="AN72" s="31"/>
      <c r="AO72" s="969" t="str">
        <f t="shared" si="15"/>
        <v>Conjuros</v>
      </c>
      <c r="AP72" s="4576"/>
      <c r="AQ72" s="4576"/>
      <c r="AR72" s="3621"/>
      <c r="AS72" s="3621"/>
      <c r="AT72" s="3621"/>
      <c r="AU72" s="3621"/>
      <c r="AV72" s="2661"/>
      <c r="AW72" s="1660">
        <f>IF(AR72="",0,AV72*VLOOKUP(AR72,'Tablas Magia'!$D$6:$Z$680,11,FALSE)/2)</f>
        <v>0</v>
      </c>
      <c r="AX72" s="838"/>
      <c r="AY72" s="649"/>
      <c r="AZ72" s="1986"/>
      <c r="BA72" s="1986"/>
      <c r="BB72" s="1986"/>
      <c r="BC72" s="1986"/>
      <c r="BD72" s="1986"/>
      <c r="BE72" s="1986"/>
      <c r="BF72" s="1986"/>
      <c r="BG72" s="1986"/>
      <c r="BH72" s="1986"/>
      <c r="BI72" s="1986"/>
      <c r="BJ72" s="1986"/>
      <c r="BK72" s="1986"/>
    </row>
    <row r="73" spans="1:63" ht="12" customHeight="1" thickBot="1" x14ac:dyDescent="0.25">
      <c r="A73" s="31"/>
      <c r="B73" s="542"/>
      <c r="C73" s="4514"/>
      <c r="D73" s="4515"/>
      <c r="E73" s="4515"/>
      <c r="F73" s="4515"/>
      <c r="G73" s="4515"/>
      <c r="H73" s="4516"/>
      <c r="J73" s="2479">
        <v>440</v>
      </c>
      <c r="K73" s="4517" t="s">
        <v>1692</v>
      </c>
      <c r="L73" s="4517"/>
      <c r="M73" s="4518" t="str">
        <f>IF(Metamagia!$R$54+Metamagia!$U$54+Metamagia!$AA$54+Metamagia!$AA$59+Metamagia!$AA$64+Metamagia!$AD$48+Metamagia!$AG$46&gt;6,"Zeón 200","-")</f>
        <v>-</v>
      </c>
      <c r="N73" s="4518"/>
      <c r="O73" s="4518"/>
      <c r="P73" s="4518"/>
      <c r="Q73" s="4519"/>
      <c r="S73" s="652"/>
      <c r="T73" s="541"/>
      <c r="U73" s="31"/>
      <c r="V73" s="764"/>
      <c r="W73" s="4520" t="str">
        <f>IF(SUM(Tablas!$P$1125:$P$1166)=0,"",IF(Tablas!A21&gt;MAX(Tablas!$P$1125:$P$1166),"",VLOOKUP(Tablas!A21,Tablas!$P$1125:$T$1166,2,FALSE)))</f>
        <v/>
      </c>
      <c r="X73" s="4521"/>
      <c r="Y73" s="4521"/>
      <c r="Z73" s="4521"/>
      <c r="AA73" s="4522"/>
      <c r="AB73" s="4523" t="str">
        <f>IF(SUM(Tablas!$P$1125:$P$1166)=0,"",IF(Tablas!A21&gt;MAX(Tablas!$P$1125:$P$1166),"",VLOOKUP(Tablas!A21,Tablas!$P$1125:$T$1166,4,FALSE)))</f>
        <v/>
      </c>
      <c r="AC73" s="4524"/>
      <c r="AD73" s="4524"/>
      <c r="AE73" s="4524"/>
      <c r="AF73" s="4524"/>
      <c r="AG73" s="4524"/>
      <c r="AH73" s="4524"/>
      <c r="AI73" s="4524"/>
      <c r="AJ73" s="4524"/>
      <c r="AK73" s="4525"/>
      <c r="AL73" s="1209"/>
      <c r="AM73" s="31"/>
      <c r="AN73" s="31"/>
      <c r="AO73" s="828"/>
      <c r="AX73" s="838"/>
      <c r="AY73" s="649"/>
      <c r="AZ73" s="1986"/>
      <c r="BA73" s="1986"/>
      <c r="BB73" s="1986"/>
      <c r="BC73" s="1986"/>
      <c r="BD73" s="1986"/>
      <c r="BE73" s="1986"/>
      <c r="BF73" s="1986"/>
      <c r="BG73" s="1986"/>
      <c r="BH73" s="1986"/>
      <c r="BI73" s="1986"/>
      <c r="BJ73" s="1986"/>
      <c r="BK73" s="1986"/>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1986"/>
      <c r="BA74" s="1986"/>
      <c r="BB74" s="1986"/>
      <c r="BC74" s="1986"/>
      <c r="BD74" s="1986"/>
      <c r="BE74" s="1986"/>
      <c r="BF74" s="1986"/>
      <c r="BG74" s="1986"/>
      <c r="BH74" s="1986"/>
      <c r="BI74" s="1986"/>
      <c r="BJ74" s="1986"/>
      <c r="BK74" s="1986"/>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2758"/>
      <c r="BA75" s="1986"/>
      <c r="BB75" s="1986"/>
      <c r="BC75" s="1986"/>
      <c r="BD75" s="1986"/>
      <c r="BE75" s="1986"/>
      <c r="BF75" s="1986"/>
      <c r="BG75" s="1986"/>
      <c r="BH75" s="1986"/>
      <c r="BI75" s="1986"/>
      <c r="BJ75" s="1986"/>
      <c r="BK75" s="1986"/>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792" priority="64" stopIfTrue="1" operator="greaterThan">
      <formula>$C$12</formula>
    </cfRule>
  </conditionalFormatting>
  <conditionalFormatting sqref="AK10">
    <cfRule type="cellIs" dxfId="791" priority="65" stopIfTrue="1" operator="equal">
      <formula>0</formula>
    </cfRule>
  </conditionalFormatting>
  <conditionalFormatting sqref="J61:Q61">
    <cfRule type="expression" dxfId="790" priority="1769">
      <formula>$P$25="Invocador"</formula>
    </cfRule>
  </conditionalFormatting>
  <conditionalFormatting sqref="K18:L19">
    <cfRule type="cellIs" dxfId="789" priority="52" operator="lessThan">
      <formula>0</formula>
    </cfRule>
  </conditionalFormatting>
  <conditionalFormatting sqref="AP44:AW44">
    <cfRule type="expression" dxfId="788" priority="33">
      <formula>$AP$44&lt;&gt;""</formula>
    </cfRule>
  </conditionalFormatting>
  <conditionalFormatting sqref="AK12:AK50">
    <cfRule type="expression" dxfId="787" priority="1916" stopIfTrue="1">
      <formula>VLOOKUP(AE12,$C$15:$H$25,6,FALSE)&lt;AK12</formula>
    </cfRule>
  </conditionalFormatting>
  <conditionalFormatting sqref="AG12:AI50">
    <cfRule type="expression" dxfId="786" priority="3" stopIfTrue="1">
      <formula>AK12&lt;VLOOKUP($AG12,Tabla_Conjuros_LA,3,0)</formula>
    </cfRule>
  </conditionalFormatting>
  <conditionalFormatting sqref="AE12:AF50">
    <cfRule type="expression" dxfId="785" priority="1">
      <formula>ISNA(VLOOKUP(AE12,$C$15:$D$25,1,0))</formula>
    </cfRule>
  </conditionalFormatting>
  <conditionalFormatting sqref="AJ12:AJ50">
    <cfRule type="expression" dxfId="784" priority="5802" stopIfTrue="1">
      <formula>AO12&lt;VLOOKUP($AG12,Tabla_Conjuros_LA,3,0)</formula>
    </cfRule>
  </conditionalFormatting>
  <conditionalFormatting sqref="AP55:AW55">
    <cfRule type="expression" dxfId="783" priority="9493">
      <formula>$BB$11</formula>
    </cfRule>
  </conditionalFormatting>
  <conditionalFormatting sqref="AP56:AQ58">
    <cfRule type="expression" dxfId="782" priority="9494">
      <formula>$BB$11</formula>
    </cfRule>
  </conditionalFormatting>
  <conditionalFormatting sqref="AP53:AW54">
    <cfRule type="expression" dxfId="781" priority="9495">
      <formula>$BC$11</formula>
    </cfRule>
  </conditionalFormatting>
  <conditionalFormatting sqref="AP60:AW72">
    <cfRule type="expression" dxfId="780" priority="9496" stopIfTrue="1">
      <formula>NOT($BA$11)</formula>
    </cfRule>
  </conditionalFormatting>
  <conditionalFormatting sqref="AP52:AW52">
    <cfRule type="expression" dxfId="779" priority="9497">
      <formula>$BC$11</formula>
    </cfRule>
  </conditionalFormatting>
  <conditionalFormatting sqref="AP56:AW58">
    <cfRule type="expression" dxfId="778" priority="9498">
      <formula>$BA$11</formula>
    </cfRule>
  </conditionalFormatting>
  <conditionalFormatting sqref="AP55:AU55">
    <cfRule type="expression" dxfId="777" priority="9499">
      <formula>$BA$11</formula>
    </cfRule>
  </conditionalFormatting>
  <conditionalFormatting sqref="AV55:AW55">
    <cfRule type="expression" dxfId="776" priority="9500">
      <formula>$BA$11</formula>
    </cfRule>
  </conditionalFormatting>
  <conditionalFormatting sqref="AP46:AW58">
    <cfRule type="expression" dxfId="775"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7"/>
      <c r="AC1" s="1997"/>
      <c r="AD1" s="1997"/>
      <c r="AE1" s="1997"/>
      <c r="AF1" s="1997"/>
      <c r="AG1" s="1997"/>
      <c r="AH1" s="1997"/>
      <c r="AI1" s="1997"/>
      <c r="AJ1" s="1997"/>
      <c r="AK1" s="2755" t="s">
        <v>9024</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8"/>
      <c r="AC2" s="1998"/>
      <c r="AD2" s="1998"/>
      <c r="AE2" s="1998"/>
      <c r="AF2" s="1998"/>
      <c r="AG2" s="1998"/>
      <c r="AH2" s="1998"/>
      <c r="AI2" s="1999"/>
      <c r="AJ2" s="1997"/>
      <c r="AK2" s="1986"/>
    </row>
    <row r="3" spans="1:37" ht="12" customHeight="1" thickBot="1" x14ac:dyDescent="0.25">
      <c r="A3" s="541">
        <v>15</v>
      </c>
      <c r="B3" s="107"/>
      <c r="C3" s="3023"/>
      <c r="D3" s="3023"/>
      <c r="E3" s="3023"/>
      <c r="F3" s="3023"/>
      <c r="G3" s="3023"/>
      <c r="H3" s="3023"/>
      <c r="I3" s="7"/>
      <c r="J3" s="108"/>
      <c r="K3" s="108"/>
      <c r="L3" s="108"/>
      <c r="M3" s="108"/>
      <c r="N3" s="108"/>
      <c r="O3" s="108"/>
      <c r="P3" s="108"/>
      <c r="Q3" s="108"/>
      <c r="R3" s="108"/>
      <c r="S3" s="108"/>
      <c r="T3" s="108"/>
      <c r="U3" s="108"/>
      <c r="V3" s="58"/>
      <c r="W3" s="58"/>
      <c r="X3" s="58"/>
      <c r="Y3" s="58"/>
      <c r="Z3" s="58"/>
      <c r="AA3" s="7"/>
      <c r="AB3" s="2000"/>
      <c r="AC3" s="2000"/>
      <c r="AD3" s="2000"/>
      <c r="AE3" s="2000"/>
      <c r="AF3" s="2000"/>
      <c r="AG3" s="2000"/>
      <c r="AH3" s="2001"/>
      <c r="AI3" s="2002"/>
      <c r="AJ3" s="1997"/>
      <c r="AK3" s="1986"/>
    </row>
    <row r="4" spans="1:37" ht="12" customHeight="1" thickBot="1" x14ac:dyDescent="0.25">
      <c r="A4" s="541">
        <v>20</v>
      </c>
      <c r="B4" s="107"/>
      <c r="C4" s="3023"/>
      <c r="D4" s="3023"/>
      <c r="E4" s="3023"/>
      <c r="F4" s="3023"/>
      <c r="G4" s="3023"/>
      <c r="H4" s="3023"/>
      <c r="I4" s="10"/>
      <c r="J4" s="104"/>
      <c r="K4" s="104"/>
      <c r="L4" s="104"/>
      <c r="M4" s="104"/>
      <c r="N4" s="104"/>
      <c r="O4" s="104"/>
      <c r="P4" s="104"/>
      <c r="Q4" s="104"/>
      <c r="R4" s="104"/>
      <c r="S4" s="104"/>
      <c r="T4" s="104"/>
      <c r="U4" s="104"/>
      <c r="V4" s="31"/>
      <c r="W4" s="31"/>
      <c r="X4" s="31"/>
      <c r="Y4" s="31"/>
      <c r="Z4" s="31"/>
      <c r="AA4" s="3024" t="s">
        <v>1331</v>
      </c>
      <c r="AB4" s="4578"/>
      <c r="AC4" s="4579" t="str">
        <f>IF(OR(General!$F$22="",General!$F$22=0),"",General!$F$22)</f>
        <v/>
      </c>
      <c r="AD4" s="4579"/>
      <c r="AE4" s="4579"/>
      <c r="AF4" s="4579"/>
      <c r="AG4" s="4579"/>
      <c r="AH4" s="2003"/>
      <c r="AI4" s="2002"/>
      <c r="AJ4" s="1997"/>
      <c r="AK4" s="1986"/>
    </row>
    <row r="5" spans="1:37" ht="12" customHeight="1" thickBot="1" x14ac:dyDescent="0.25">
      <c r="A5" s="541">
        <v>25</v>
      </c>
      <c r="B5" s="107"/>
      <c r="C5" s="3023"/>
      <c r="D5" s="3023"/>
      <c r="E5" s="3023"/>
      <c r="F5" s="3023"/>
      <c r="G5" s="3023"/>
      <c r="H5" s="3023"/>
      <c r="I5" s="10"/>
      <c r="J5" s="104"/>
      <c r="K5" s="104"/>
      <c r="L5" s="104"/>
      <c r="M5" s="104"/>
      <c r="N5" s="104"/>
      <c r="O5" s="104"/>
      <c r="P5" s="104"/>
      <c r="Q5" s="104"/>
      <c r="R5" s="104"/>
      <c r="S5" s="104"/>
      <c r="T5" s="104"/>
      <c r="U5" s="104"/>
      <c r="V5" s="31"/>
      <c r="W5" s="31"/>
      <c r="X5" s="31"/>
      <c r="Y5" s="31"/>
      <c r="Z5" s="31"/>
      <c r="AA5" s="3017" t="s">
        <v>1332</v>
      </c>
      <c r="AB5" s="4580"/>
      <c r="AC5" s="2838" t="str">
        <f>PDs!$J$8</f>
        <v>Novel</v>
      </c>
      <c r="AD5" s="2838"/>
      <c r="AE5" s="2838"/>
      <c r="AF5" s="2612" t="s">
        <v>1333</v>
      </c>
      <c r="AG5" s="2613" t="str">
        <f>Principal!$O$6</f>
        <v>1</v>
      </c>
      <c r="AH5" s="2004"/>
      <c r="AI5" s="2002"/>
      <c r="AJ5" s="1997"/>
      <c r="AK5" s="1986"/>
    </row>
    <row r="6" spans="1:37" ht="12" customHeight="1" thickBot="1" x14ac:dyDescent="0.25">
      <c r="A6" s="613"/>
      <c r="B6" s="109"/>
      <c r="C6" s="3023"/>
      <c r="D6" s="3023"/>
      <c r="E6" s="3023"/>
      <c r="F6" s="3023"/>
      <c r="G6" s="3023"/>
      <c r="H6" s="3023"/>
      <c r="I6" s="10"/>
      <c r="J6" s="104"/>
      <c r="K6" s="104"/>
      <c r="L6" s="104"/>
      <c r="M6" s="104"/>
      <c r="N6" s="104"/>
      <c r="O6" s="104"/>
      <c r="P6" s="104"/>
      <c r="Q6" s="104"/>
      <c r="R6" s="104"/>
      <c r="S6" s="104"/>
      <c r="T6" s="104"/>
      <c r="U6" s="104"/>
      <c r="V6" s="31"/>
      <c r="W6" s="31"/>
      <c r="X6" s="31"/>
      <c r="Y6" s="31"/>
      <c r="Z6" s="31"/>
      <c r="AA6" s="3018" t="s">
        <v>1752</v>
      </c>
      <c r="AB6" s="4581"/>
      <c r="AC6" s="4581"/>
      <c r="AD6" s="4581"/>
      <c r="AE6" s="4581"/>
      <c r="AF6" s="4581"/>
      <c r="AG6" s="4581"/>
      <c r="AH6" s="2004"/>
      <c r="AI6" s="2002"/>
      <c r="AJ6" s="1997"/>
      <c r="AK6" s="1986"/>
    </row>
    <row r="7" spans="1:37" ht="12" customHeight="1" thickBot="1" x14ac:dyDescent="0.25">
      <c r="A7" s="614"/>
      <c r="B7" s="110"/>
      <c r="C7" s="3023"/>
      <c r="D7" s="3023"/>
      <c r="E7" s="3023"/>
      <c r="F7" s="3023"/>
      <c r="G7" s="3023"/>
      <c r="H7" s="3023"/>
      <c r="I7" s="10"/>
      <c r="J7" s="104"/>
      <c r="K7" s="104"/>
      <c r="L7" s="104"/>
      <c r="M7" s="104"/>
      <c r="N7" s="104"/>
      <c r="O7" s="104"/>
      <c r="P7" s="104"/>
      <c r="Q7" s="104"/>
      <c r="R7" s="104"/>
      <c r="S7" s="104"/>
      <c r="T7" s="104"/>
      <c r="U7" s="104"/>
      <c r="V7" s="31"/>
      <c r="W7" s="31"/>
      <c r="X7" s="31"/>
      <c r="Y7" s="31"/>
      <c r="Z7" s="31"/>
      <c r="AA7" s="3018"/>
      <c r="AB7" s="4581"/>
      <c r="AC7" s="4581"/>
      <c r="AD7" s="4581"/>
      <c r="AE7" s="4581"/>
      <c r="AF7" s="4581"/>
      <c r="AG7" s="4581"/>
      <c r="AH7" s="2004"/>
      <c r="AI7" s="2002"/>
      <c r="AJ7" s="1997"/>
      <c r="AK7" s="1986"/>
    </row>
    <row r="8" spans="1:37" ht="12" customHeight="1" thickBot="1" x14ac:dyDescent="0.25">
      <c r="A8" s="614"/>
      <c r="B8" s="110"/>
      <c r="C8" s="3023"/>
      <c r="D8" s="3023"/>
      <c r="E8" s="3023"/>
      <c r="F8" s="3023"/>
      <c r="G8" s="3023"/>
      <c r="H8" s="3023"/>
      <c r="I8" s="13"/>
      <c r="J8" s="111"/>
      <c r="K8" s="111"/>
      <c r="L8" s="111"/>
      <c r="M8" s="111"/>
      <c r="N8" s="111"/>
      <c r="O8" s="111"/>
      <c r="P8" s="111"/>
      <c r="Q8" s="111"/>
      <c r="R8" s="111"/>
      <c r="S8" s="111"/>
      <c r="T8" s="111"/>
      <c r="U8" s="111"/>
      <c r="V8" s="53"/>
      <c r="W8" s="53"/>
      <c r="X8" s="53"/>
      <c r="Y8" s="53"/>
      <c r="Z8" s="53"/>
      <c r="AA8" s="13"/>
      <c r="AB8" s="2005"/>
      <c r="AC8" s="2005"/>
      <c r="AD8" s="2005"/>
      <c r="AE8" s="2005"/>
      <c r="AF8" s="2005"/>
      <c r="AG8" s="2005"/>
      <c r="AH8" s="2006"/>
      <c r="AI8" s="2002"/>
      <c r="AJ8" s="1997"/>
      <c r="AK8" s="1986"/>
    </row>
    <row r="9" spans="1:37" ht="12" customHeight="1" thickBot="1" x14ac:dyDescent="0.25">
      <c r="A9" s="615"/>
      <c r="B9" s="112"/>
      <c r="C9" s="28"/>
      <c r="D9" s="28"/>
      <c r="E9" s="28"/>
      <c r="AB9" s="1986"/>
      <c r="AC9" s="1986"/>
      <c r="AD9" s="1986"/>
      <c r="AE9" s="1986"/>
      <c r="AF9" s="1986"/>
      <c r="AG9" s="1986"/>
      <c r="AH9" s="1986"/>
      <c r="AI9" s="2002"/>
      <c r="AJ9" s="1997"/>
      <c r="AK9" s="1986"/>
    </row>
    <row r="10" spans="1:37" ht="12" customHeight="1" thickBot="1" x14ac:dyDescent="0.25">
      <c r="A10" s="616"/>
      <c r="B10" s="107"/>
      <c r="C10" s="28"/>
      <c r="D10" s="28"/>
      <c r="E10" s="28"/>
      <c r="F10" s="28"/>
      <c r="G10" s="28"/>
      <c r="H10" s="113"/>
      <c r="I10" s="4582" t="s">
        <v>1753</v>
      </c>
      <c r="J10" s="4582"/>
      <c r="K10" s="56"/>
      <c r="L10" s="28"/>
      <c r="M10" s="28"/>
      <c r="N10" s="28"/>
      <c r="X10" s="28"/>
      <c r="Y10" s="28"/>
      <c r="Z10" s="113"/>
      <c r="AA10" s="4582" t="s">
        <v>1754</v>
      </c>
      <c r="AB10" s="4583"/>
      <c r="AC10" s="1030"/>
      <c r="AD10" s="1986"/>
      <c r="AE10" s="1986"/>
      <c r="AF10" s="650"/>
      <c r="AG10" s="1986"/>
      <c r="AH10" s="1986"/>
      <c r="AI10" s="2002"/>
      <c r="AJ10" s="1997"/>
      <c r="AK10" s="1986"/>
    </row>
    <row r="11" spans="1:37" ht="12" customHeight="1" thickBot="1" x14ac:dyDescent="0.25">
      <c r="A11" s="616"/>
      <c r="B11" s="107"/>
      <c r="C11" s="28"/>
      <c r="D11" s="28"/>
      <c r="E11" s="28"/>
      <c r="F11" s="4582" t="s">
        <v>1755</v>
      </c>
      <c r="G11" s="4582"/>
      <c r="H11" s="114"/>
      <c r="I11" s="4582"/>
      <c r="J11" s="4582"/>
      <c r="K11" s="115"/>
      <c r="L11" s="4582" t="s">
        <v>1756</v>
      </c>
      <c r="M11" s="4582"/>
      <c r="N11" s="113"/>
      <c r="X11" s="4582" t="s">
        <v>1757</v>
      </c>
      <c r="Y11" s="4582"/>
      <c r="Z11" s="114"/>
      <c r="AA11" s="4582"/>
      <c r="AB11" s="4583"/>
      <c r="AC11" s="2046"/>
      <c r="AD11" s="4583" t="s">
        <v>1757</v>
      </c>
      <c r="AE11" s="4583"/>
      <c r="AF11" s="1030"/>
      <c r="AG11" s="1986"/>
      <c r="AH11" s="1986"/>
      <c r="AI11" s="2002"/>
      <c r="AJ11" s="1997"/>
      <c r="AK11" s="1986"/>
    </row>
    <row r="12" spans="1:37" ht="12" customHeight="1" thickBot="1" x14ac:dyDescent="0.25">
      <c r="A12" s="541"/>
      <c r="B12" s="107"/>
      <c r="C12" s="28"/>
      <c r="D12" s="28"/>
      <c r="E12" s="113"/>
      <c r="F12" s="4582"/>
      <c r="G12" s="4582"/>
      <c r="H12" s="117"/>
      <c r="I12" s="4582"/>
      <c r="J12" s="4582"/>
      <c r="K12" s="117"/>
      <c r="L12" s="4582"/>
      <c r="M12" s="4582"/>
      <c r="N12" s="113"/>
      <c r="X12" s="4582"/>
      <c r="Y12" s="4582"/>
      <c r="Z12" s="117"/>
      <c r="AA12" s="4582"/>
      <c r="AB12" s="4583"/>
      <c r="AC12" s="1030"/>
      <c r="AD12" s="4583"/>
      <c r="AE12" s="4583"/>
      <c r="AF12" s="1030"/>
      <c r="AG12" s="1986"/>
      <c r="AH12" s="1986"/>
      <c r="AI12" s="2002"/>
      <c r="AJ12" s="1997"/>
      <c r="AK12" s="1986"/>
    </row>
    <row r="13" spans="1:37" ht="12" customHeight="1" thickBot="1" x14ac:dyDescent="0.25">
      <c r="A13" s="541"/>
      <c r="B13" s="107"/>
      <c r="C13" s="28"/>
      <c r="D13" s="28"/>
      <c r="E13" s="113"/>
      <c r="F13" s="4582"/>
      <c r="G13" s="4582"/>
      <c r="H13" s="117"/>
      <c r="I13" s="118" t="str">
        <f>IF(PDs!$R$15&lt;Metamagia!K10,"Nv "&amp;Metamagia!K10,"")</f>
        <v/>
      </c>
      <c r="J13" s="1960"/>
      <c r="K13" s="117">
        <v>10</v>
      </c>
      <c r="L13" s="4582"/>
      <c r="M13" s="4582"/>
      <c r="N13" s="117"/>
      <c r="X13" s="4582"/>
      <c r="Y13" s="4582"/>
      <c r="Z13" s="117"/>
      <c r="AA13" s="118" t="str">
        <f>IF(PDs!$R$15&lt;Metamagia!AC10,"Nv "&amp;Metamagia!AC10,"")</f>
        <v/>
      </c>
      <c r="AB13" s="2008"/>
      <c r="AC13" s="1030">
        <v>5</v>
      </c>
      <c r="AD13" s="4583"/>
      <c r="AE13" s="4583"/>
      <c r="AF13" s="1030"/>
      <c r="AG13" s="1986"/>
      <c r="AH13" s="1986"/>
      <c r="AI13" s="2002"/>
      <c r="AJ13" s="1997"/>
      <c r="AK13" s="1986"/>
    </row>
    <row r="14" spans="1:37" ht="12" customHeight="1" thickBot="1" x14ac:dyDescent="0.25">
      <c r="A14" s="541"/>
      <c r="B14" s="107"/>
      <c r="F14" s="118" t="str">
        <f>IF(PDs!$R$15&lt;Metamagia!H11,"Nv "&amp;Metamagia!H11,"")</f>
        <v/>
      </c>
      <c r="G14" s="1960"/>
      <c r="H14" s="117">
        <v>5</v>
      </c>
      <c r="I14" s="99">
        <f>IF(J13&gt;0,1,0)</f>
        <v>0</v>
      </c>
      <c r="J14" s="119"/>
      <c r="K14" s="117"/>
      <c r="L14" s="118" t="str">
        <f>IF(PDs!$R$15&lt;Metamagia!N11,"Nv "&amp;Metamagia!N11,"")</f>
        <v/>
      </c>
      <c r="M14" s="1960"/>
      <c r="N14" s="117">
        <v>5</v>
      </c>
      <c r="X14" s="118" t="str">
        <f>IF(PDs!$R$15&lt;Metamagia!Z11,"Nv "&amp;Metamagia!Z11,"")</f>
        <v/>
      </c>
      <c r="Y14" s="1960"/>
      <c r="Z14" s="117">
        <v>5</v>
      </c>
      <c r="AA14" s="99">
        <f>IF(AB13&gt;0,1,0)</f>
        <v>0</v>
      </c>
      <c r="AB14" s="2009"/>
      <c r="AC14" s="1030"/>
      <c r="AD14" s="2054" t="str">
        <f>IF(PDs!$R$15&lt;Metamagia!AF11,"Nv "&amp;Metamagia!AF11,"")</f>
        <v/>
      </c>
      <c r="AE14" s="2008"/>
      <c r="AF14" s="1030">
        <v>5</v>
      </c>
      <c r="AG14" s="1986"/>
      <c r="AH14" s="1986"/>
      <c r="AI14" s="2002"/>
      <c r="AJ14" s="1997"/>
      <c r="AK14" s="1986"/>
    </row>
    <row r="15" spans="1:37" ht="12" customHeight="1" thickBot="1" x14ac:dyDescent="0.25">
      <c r="A15" s="541"/>
      <c r="B15" s="107"/>
      <c r="F15" s="99">
        <f>IF(G14&gt;0,1,0)</f>
        <v>0</v>
      </c>
      <c r="G15" s="105"/>
      <c r="H15" s="117"/>
      <c r="I15" s="4582" t="s">
        <v>1758</v>
      </c>
      <c r="J15" s="4582"/>
      <c r="K15" s="117"/>
      <c r="L15" s="120">
        <f>IF(M14&gt;0,1,0)</f>
        <v>0</v>
      </c>
      <c r="M15" s="28"/>
      <c r="N15" s="117"/>
      <c r="O15" s="28"/>
      <c r="P15" s="28"/>
      <c r="Q15" s="113"/>
      <c r="R15" s="4582" t="s">
        <v>1756</v>
      </c>
      <c r="S15" s="4582"/>
      <c r="T15" s="28"/>
      <c r="W15" s="56"/>
      <c r="X15" s="99">
        <f>IF(Y14&gt;0,1,0)</f>
        <v>0</v>
      </c>
      <c r="Y15" s="105"/>
      <c r="Z15" s="117"/>
      <c r="AA15" s="4582" t="s">
        <v>1759</v>
      </c>
      <c r="AB15" s="4583"/>
      <c r="AC15" s="1030"/>
      <c r="AD15" s="2052">
        <f>IF(AE14&gt;0,1,0)</f>
        <v>0</v>
      </c>
      <c r="AE15" s="1986"/>
      <c r="AF15" s="1030"/>
      <c r="AG15" s="1986"/>
      <c r="AH15" s="1986"/>
      <c r="AI15" s="2002"/>
      <c r="AJ15" s="1997"/>
      <c r="AK15" s="1986"/>
    </row>
    <row r="16" spans="1:37" ht="12" customHeight="1" thickBot="1" x14ac:dyDescent="0.25">
      <c r="A16" s="541"/>
      <c r="B16" s="107"/>
      <c r="F16" s="28"/>
      <c r="G16" s="121"/>
      <c r="H16" s="115"/>
      <c r="I16" s="4582"/>
      <c r="J16" s="4582"/>
      <c r="K16" s="122"/>
      <c r="L16" s="123"/>
      <c r="M16" s="28"/>
      <c r="N16" s="117"/>
      <c r="O16" s="28"/>
      <c r="P16" s="124"/>
      <c r="Q16" s="125"/>
      <c r="R16" s="4582"/>
      <c r="S16" s="4582"/>
      <c r="T16" s="113"/>
      <c r="W16" s="56"/>
      <c r="X16" s="28"/>
      <c r="Y16" s="121"/>
      <c r="Z16" s="115"/>
      <c r="AA16" s="4582"/>
      <c r="AB16" s="4583"/>
      <c r="AC16" s="1037"/>
      <c r="AD16" s="2010"/>
      <c r="AE16" s="1986"/>
      <c r="AF16" s="1030"/>
      <c r="AG16" s="1986"/>
      <c r="AH16" s="1986"/>
      <c r="AI16" s="2002"/>
      <c r="AJ16" s="1997"/>
      <c r="AK16" s="1986"/>
    </row>
    <row r="17" spans="1:37" ht="12" customHeight="1" x14ac:dyDescent="0.2">
      <c r="A17" s="541"/>
      <c r="B17" s="107"/>
      <c r="F17" s="28"/>
      <c r="G17" s="107"/>
      <c r="H17" s="117"/>
      <c r="I17" s="4582"/>
      <c r="J17" s="4582"/>
      <c r="K17" s="117"/>
      <c r="L17" s="126"/>
      <c r="M17" s="28"/>
      <c r="N17" s="117"/>
      <c r="O17" s="126"/>
      <c r="P17" s="28"/>
      <c r="Q17" s="113"/>
      <c r="R17" s="4582"/>
      <c r="S17" s="4582"/>
      <c r="T17" s="117"/>
      <c r="W17" s="56"/>
      <c r="X17" s="28"/>
      <c r="Y17" s="107"/>
      <c r="Z17" s="117"/>
      <c r="AA17" s="4582"/>
      <c r="AB17" s="4583"/>
      <c r="AC17" s="1030"/>
      <c r="AD17" s="2002"/>
      <c r="AE17" s="1986"/>
      <c r="AF17" s="1030"/>
      <c r="AG17" s="1986"/>
      <c r="AH17" s="1986"/>
      <c r="AI17" s="2002"/>
      <c r="AJ17" s="1997"/>
      <c r="AK17" s="1986"/>
    </row>
    <row r="18" spans="1:37" ht="12" customHeight="1" thickBot="1" x14ac:dyDescent="0.25">
      <c r="A18" s="541"/>
      <c r="B18" s="107"/>
      <c r="F18" s="28"/>
      <c r="G18" s="107"/>
      <c r="H18" s="117"/>
      <c r="I18" s="118" t="str">
        <f>IF(PDs!$R$15&lt;Metamagia!K15,"Nv "&amp;Metamagia!K15,"")</f>
        <v/>
      </c>
      <c r="J18" s="1960"/>
      <c r="K18" s="117">
        <v>10</v>
      </c>
      <c r="L18" s="126"/>
      <c r="M18" s="28"/>
      <c r="N18" s="117"/>
      <c r="O18" s="126"/>
      <c r="P18" s="28"/>
      <c r="Q18" s="113"/>
      <c r="R18" s="118" t="str">
        <f>IF(PDs!$R$15&lt;Metamagia!T15,"Nv "&amp;Metamagia!T15,"")</f>
        <v/>
      </c>
      <c r="S18" s="1960"/>
      <c r="T18" s="117">
        <v>5</v>
      </c>
      <c r="W18" s="56"/>
      <c r="X18" s="28"/>
      <c r="Y18" s="107"/>
      <c r="Z18" s="117"/>
      <c r="AA18" s="118" t="str">
        <f>IF(PDs!$R$15&lt;Metamagia!AC15,"Nv "&amp;Metamagia!AC15,"")</f>
        <v/>
      </c>
      <c r="AB18" s="2008"/>
      <c r="AC18" s="1030">
        <v>5</v>
      </c>
      <c r="AD18" s="2002"/>
      <c r="AE18" s="1986"/>
      <c r="AF18" s="1030"/>
      <c r="AG18" s="1986"/>
      <c r="AH18" s="1986"/>
      <c r="AI18" s="2002"/>
      <c r="AJ18" s="1997"/>
      <c r="AK18" s="1986"/>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6"/>
      <c r="AC19" s="1030"/>
      <c r="AD19" s="2010"/>
      <c r="AE19" s="1986"/>
      <c r="AF19" s="1030"/>
      <c r="AG19" s="1986"/>
      <c r="AH19" s="1986"/>
      <c r="AI19" s="2002"/>
      <c r="AJ19" s="1997"/>
      <c r="AK19" s="1986"/>
    </row>
    <row r="20" spans="1:37" ht="12" customHeight="1" thickBot="1" x14ac:dyDescent="0.25">
      <c r="A20" s="541"/>
      <c r="B20" s="107"/>
      <c r="C20" s="4582" t="s">
        <v>1756</v>
      </c>
      <c r="D20" s="4582"/>
      <c r="E20" s="117"/>
      <c r="F20" s="4582" t="s">
        <v>1760</v>
      </c>
      <c r="G20" s="4582"/>
      <c r="H20" s="117">
        <v>3</v>
      </c>
      <c r="I20" s="4582" t="s">
        <v>1761</v>
      </c>
      <c r="J20" s="4582"/>
      <c r="K20" s="117">
        <v>4</v>
      </c>
      <c r="L20" s="4582" t="s">
        <v>1762</v>
      </c>
      <c r="M20" s="4582"/>
      <c r="N20" s="117">
        <v>2</v>
      </c>
      <c r="O20" s="4582" t="s">
        <v>1753</v>
      </c>
      <c r="P20" s="4582"/>
      <c r="Q20" s="117">
        <v>4</v>
      </c>
      <c r="R20" s="4582" t="s">
        <v>1761</v>
      </c>
      <c r="S20" s="4582"/>
      <c r="T20" s="117">
        <v>5</v>
      </c>
      <c r="U20" s="4582" t="s">
        <v>1759</v>
      </c>
      <c r="V20" s="4582"/>
      <c r="W20" s="56"/>
      <c r="X20" s="4582" t="s">
        <v>1763</v>
      </c>
      <c r="Y20" s="4582"/>
      <c r="Z20" s="117">
        <v>3</v>
      </c>
      <c r="AA20" s="4582" t="s">
        <v>1764</v>
      </c>
      <c r="AB20" s="4583"/>
      <c r="AC20" s="1030">
        <v>5</v>
      </c>
      <c r="AD20" s="4583" t="s">
        <v>1765</v>
      </c>
      <c r="AE20" s="4583"/>
      <c r="AF20" s="1030">
        <v>2</v>
      </c>
      <c r="AG20" s="4583" t="s">
        <v>1763</v>
      </c>
      <c r="AH20" s="4583"/>
      <c r="AI20" s="2049">
        <v>3</v>
      </c>
      <c r="AJ20" s="1997"/>
      <c r="AK20" s="1986"/>
    </row>
    <row r="21" spans="1:37" ht="12" customHeight="1" thickBot="1" x14ac:dyDescent="0.25">
      <c r="A21" s="541"/>
      <c r="B21" s="107"/>
      <c r="C21" s="4582"/>
      <c r="D21" s="4582"/>
      <c r="E21" s="114"/>
      <c r="F21" s="4582"/>
      <c r="G21" s="4582"/>
      <c r="H21" s="114"/>
      <c r="I21" s="4582"/>
      <c r="J21" s="4582"/>
      <c r="K21" s="114"/>
      <c r="L21" s="4582"/>
      <c r="M21" s="4582"/>
      <c r="N21" s="114"/>
      <c r="O21" s="4582"/>
      <c r="P21" s="4582"/>
      <c r="Q21" s="117"/>
      <c r="R21" s="4582"/>
      <c r="S21" s="4582"/>
      <c r="T21" s="117"/>
      <c r="U21" s="4582"/>
      <c r="V21" s="4582"/>
      <c r="W21" s="116"/>
      <c r="X21" s="4582"/>
      <c r="Y21" s="4582"/>
      <c r="Z21" s="114"/>
      <c r="AA21" s="4582"/>
      <c r="AB21" s="4583"/>
      <c r="AC21" s="2046"/>
      <c r="AD21" s="4583"/>
      <c r="AE21" s="4583"/>
      <c r="AF21" s="2046"/>
      <c r="AG21" s="4583"/>
      <c r="AH21" s="4583"/>
      <c r="AI21" s="2049"/>
      <c r="AJ21" s="1997"/>
      <c r="AK21" s="1986"/>
    </row>
    <row r="22" spans="1:37" ht="12" customHeight="1" x14ac:dyDescent="0.2">
      <c r="A22" s="541"/>
      <c r="B22" s="107"/>
      <c r="C22" s="4582"/>
      <c r="D22" s="4582"/>
      <c r="E22" s="117"/>
      <c r="F22" s="4582"/>
      <c r="G22" s="4582"/>
      <c r="H22" s="117"/>
      <c r="I22" s="4582"/>
      <c r="J22" s="4582"/>
      <c r="K22" s="117"/>
      <c r="L22" s="4582"/>
      <c r="M22" s="4582"/>
      <c r="N22" s="117"/>
      <c r="O22" s="4582"/>
      <c r="P22" s="4582"/>
      <c r="Q22" s="117"/>
      <c r="R22" s="4582"/>
      <c r="S22" s="4582"/>
      <c r="T22" s="117"/>
      <c r="U22" s="4582"/>
      <c r="V22" s="4582"/>
      <c r="W22" s="56"/>
      <c r="X22" s="4582"/>
      <c r="Y22" s="4582"/>
      <c r="Z22" s="117"/>
      <c r="AA22" s="4582"/>
      <c r="AB22" s="4583"/>
      <c r="AC22" s="1030"/>
      <c r="AD22" s="4583"/>
      <c r="AE22" s="4583"/>
      <c r="AF22" s="1030"/>
      <c r="AG22" s="4583"/>
      <c r="AH22" s="4583"/>
      <c r="AI22" s="2049"/>
      <c r="AJ22" s="1997"/>
      <c r="AK22" s="1986"/>
    </row>
    <row r="23" spans="1:37" ht="12" customHeight="1" thickBot="1" x14ac:dyDescent="0.25">
      <c r="A23" s="541"/>
      <c r="B23" s="107"/>
      <c r="C23" s="118" t="str">
        <f>IF(PDs!$R$15&lt;Metamagia!E20,"Nv "&amp;Metamagia!E20,"")</f>
        <v/>
      </c>
      <c r="D23" s="1960"/>
      <c r="E23" s="117">
        <v>5</v>
      </c>
      <c r="F23" s="118" t="str">
        <f>IF(PDs!$R$15&lt;Metamagia!H20,"Nv "&amp;Metamagia!H20,"")</f>
        <v>Nv 3</v>
      </c>
      <c r="G23" s="1960"/>
      <c r="H23" s="117">
        <v>10</v>
      </c>
      <c r="I23" s="118" t="str">
        <f>IF(PDs!$R$15&lt;Metamagia!K20,"Nv "&amp;Metamagia!K20,"")</f>
        <v>Nv 4</v>
      </c>
      <c r="J23" s="1960"/>
      <c r="K23" s="117">
        <v>10</v>
      </c>
      <c r="L23" s="118" t="str">
        <f>IF(PDs!$R$15&lt;Metamagia!N20,"Nv "&amp;Metamagia!N20,"")</f>
        <v>Nv 2</v>
      </c>
      <c r="M23" s="1960"/>
      <c r="N23" s="117">
        <v>5</v>
      </c>
      <c r="O23" s="118" t="str">
        <f>IF(PDs!$R$15&lt;Metamagia!Q20,"Nv "&amp;Metamagia!Q20,"")</f>
        <v>Nv 4</v>
      </c>
      <c r="P23" s="1960"/>
      <c r="Q23" s="117">
        <v>10</v>
      </c>
      <c r="R23" s="118" t="str">
        <f>IF(PDs!$R$15&lt;Metamagia!T20,"Nv "&amp;Metamagia!T20,"")</f>
        <v>Nv 5</v>
      </c>
      <c r="S23" s="1960"/>
      <c r="T23" s="117">
        <v>10</v>
      </c>
      <c r="U23" s="118" t="str">
        <f>IF(PDs!$R$15&lt;Metamagia!W20,"Nv "&amp;Metamagia!W20,"")</f>
        <v/>
      </c>
      <c r="V23" s="1960"/>
      <c r="W23" s="117">
        <v>5</v>
      </c>
      <c r="X23" s="118" t="str">
        <f>IF(PDs!$R$15&lt;Metamagia!Z20,"Nv "&amp;Metamagia!Z20,"")</f>
        <v>Nv 3</v>
      </c>
      <c r="Y23" s="1960"/>
      <c r="Z23" s="117">
        <v>5</v>
      </c>
      <c r="AA23" s="118" t="str">
        <f>IF(PDs!$R$15&lt;Metamagia!AC20,"Nv "&amp;Metamagia!AC20,"")</f>
        <v>Nv 5</v>
      </c>
      <c r="AB23" s="2008"/>
      <c r="AC23" s="1030">
        <v>10</v>
      </c>
      <c r="AD23" s="2054" t="str">
        <f>IF(PDs!$R$15&lt;Metamagia!AF20,"Nv "&amp;Metamagia!AF20,"")</f>
        <v>Nv 2</v>
      </c>
      <c r="AE23" s="2008"/>
      <c r="AF23" s="1030">
        <v>5</v>
      </c>
      <c r="AG23" s="2054" t="str">
        <f>IF(PDs!$R$15&lt;Metamagia!AI20,"Nv "&amp;Metamagia!AI20,"")</f>
        <v>Nv 3</v>
      </c>
      <c r="AH23" s="2008"/>
      <c r="AI23" s="2049">
        <v>5</v>
      </c>
      <c r="AJ23" s="1997"/>
      <c r="AK23" s="1986"/>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6"/>
      <c r="AC24" s="1030"/>
      <c r="AD24" s="2052">
        <f>IF(AE23&gt;0,1,0)</f>
        <v>0</v>
      </c>
      <c r="AE24" s="1986"/>
      <c r="AF24" s="1030"/>
      <c r="AG24" s="766">
        <f>IF(AH23&gt;0,1,0)</f>
        <v>0</v>
      </c>
      <c r="AH24" s="2011"/>
      <c r="AI24" s="2049"/>
      <c r="AJ24" s="1997"/>
      <c r="AK24" s="1986"/>
    </row>
    <row r="25" spans="1:37" ht="12" customHeight="1" thickBot="1" x14ac:dyDescent="0.25">
      <c r="A25" s="541"/>
      <c r="B25" s="107"/>
      <c r="D25" s="39"/>
      <c r="E25" s="52"/>
      <c r="F25" s="123"/>
      <c r="G25" s="28"/>
      <c r="H25" s="117"/>
      <c r="I25" s="4582" t="s">
        <v>1762</v>
      </c>
      <c r="J25" s="4582"/>
      <c r="K25" s="117">
        <v>6</v>
      </c>
      <c r="L25" s="123"/>
      <c r="M25" s="28"/>
      <c r="N25" s="117"/>
      <c r="O25" s="28"/>
      <c r="P25" s="28"/>
      <c r="Q25" s="117"/>
      <c r="R25" s="4582" t="s">
        <v>1766</v>
      </c>
      <c r="S25" s="4582"/>
      <c r="T25" s="117">
        <v>2</v>
      </c>
      <c r="U25" s="40"/>
      <c r="W25" s="56"/>
      <c r="X25" s="123"/>
      <c r="Y25" s="28"/>
      <c r="Z25" s="117"/>
      <c r="AA25" s="4582" t="s">
        <v>1767</v>
      </c>
      <c r="AB25" s="4583"/>
      <c r="AC25" s="1030">
        <v>8</v>
      </c>
      <c r="AD25" s="2010"/>
      <c r="AE25" s="1986"/>
      <c r="AF25" s="1030"/>
      <c r="AG25" s="1986"/>
      <c r="AH25" s="2012"/>
      <c r="AI25" s="2049"/>
      <c r="AJ25" s="1997"/>
      <c r="AK25" s="1986"/>
    </row>
    <row r="26" spans="1:37" ht="12" customHeight="1" thickBot="1" x14ac:dyDescent="0.25">
      <c r="A26" s="541"/>
      <c r="B26" s="107"/>
      <c r="D26" s="39"/>
      <c r="E26" s="52"/>
      <c r="F26" s="4582" t="s">
        <v>1758</v>
      </c>
      <c r="G26" s="4582"/>
      <c r="H26" s="117">
        <v>6</v>
      </c>
      <c r="I26" s="4582"/>
      <c r="J26" s="4582"/>
      <c r="K26" s="117"/>
      <c r="L26" s="4582" t="s">
        <v>1760</v>
      </c>
      <c r="M26" s="4582"/>
      <c r="N26" s="117">
        <v>6</v>
      </c>
      <c r="O26" s="28"/>
      <c r="P26" s="28"/>
      <c r="Q26" s="117"/>
      <c r="R26" s="4582"/>
      <c r="S26" s="4582"/>
      <c r="T26" s="122"/>
      <c r="U26" s="78"/>
      <c r="W26" s="56"/>
      <c r="X26" s="4582" t="s">
        <v>1768</v>
      </c>
      <c r="Y26" s="4582"/>
      <c r="Z26" s="117">
        <v>7</v>
      </c>
      <c r="AA26" s="4582"/>
      <c r="AB26" s="4583"/>
      <c r="AC26" s="1030"/>
      <c r="AD26" s="4583" t="s">
        <v>1769</v>
      </c>
      <c r="AE26" s="4583"/>
      <c r="AF26" s="1030">
        <v>8</v>
      </c>
      <c r="AG26" s="1986"/>
      <c r="AH26" s="2012"/>
      <c r="AI26" s="1989"/>
      <c r="AJ26" s="1997"/>
      <c r="AK26" s="1986"/>
    </row>
    <row r="27" spans="1:37" ht="12" customHeight="1" thickBot="1" x14ac:dyDescent="0.25">
      <c r="A27" s="541"/>
      <c r="B27" s="107"/>
      <c r="D27" s="76"/>
      <c r="E27" s="52"/>
      <c r="F27" s="4582"/>
      <c r="G27" s="4582"/>
      <c r="H27" s="117"/>
      <c r="I27" s="4582"/>
      <c r="J27" s="4582"/>
      <c r="K27" s="117"/>
      <c r="L27" s="4582"/>
      <c r="M27" s="4582"/>
      <c r="N27" s="117"/>
      <c r="O27" s="28"/>
      <c r="P27" s="28"/>
      <c r="Q27" s="113"/>
      <c r="R27" s="4582"/>
      <c r="S27" s="4582"/>
      <c r="T27" s="117"/>
      <c r="W27" s="56"/>
      <c r="X27" s="4582"/>
      <c r="Y27" s="4582"/>
      <c r="Z27" s="117"/>
      <c r="AA27" s="4582"/>
      <c r="AB27" s="4583"/>
      <c r="AC27" s="1030"/>
      <c r="AD27" s="4583"/>
      <c r="AE27" s="4583"/>
      <c r="AF27" s="1030"/>
      <c r="AG27" s="1986"/>
      <c r="AH27" s="2013"/>
      <c r="AI27" s="1989"/>
      <c r="AJ27" s="1997"/>
      <c r="AK27" s="1986"/>
    </row>
    <row r="28" spans="1:37" ht="12" customHeight="1" thickBot="1" x14ac:dyDescent="0.25">
      <c r="A28" s="541"/>
      <c r="B28" s="107"/>
      <c r="C28" s="4582" t="s">
        <v>1755</v>
      </c>
      <c r="D28" s="4582"/>
      <c r="E28" s="117">
        <v>4</v>
      </c>
      <c r="F28" s="4582"/>
      <c r="G28" s="4582"/>
      <c r="H28" s="117"/>
      <c r="I28" s="118" t="str">
        <f>IF(PDs!$R$15&lt;Metamagia!K25,"Nv "&amp;Metamagia!K25,"")</f>
        <v>Nv 6</v>
      </c>
      <c r="J28" s="1960"/>
      <c r="K28" s="117">
        <v>10</v>
      </c>
      <c r="L28" s="4582"/>
      <c r="M28" s="4582"/>
      <c r="N28" s="117"/>
      <c r="O28" s="28"/>
      <c r="P28" s="28"/>
      <c r="Q28" s="113"/>
      <c r="R28" s="118" t="str">
        <f>IF(PDs!$R$15&lt;Metamagia!T25,"Nv "&amp;Metamagia!T25,"")</f>
        <v>Nv 2</v>
      </c>
      <c r="S28" s="1960"/>
      <c r="T28" s="117">
        <v>5</v>
      </c>
      <c r="W28" s="56"/>
      <c r="X28" s="4582"/>
      <c r="Y28" s="4582"/>
      <c r="Z28" s="117"/>
      <c r="AA28" s="118" t="str">
        <f>IF(PDs!$R$15&lt;Metamagia!AC25,"Nv "&amp;Metamagia!AC25,"")</f>
        <v>Nv 8</v>
      </c>
      <c r="AB28" s="2008"/>
      <c r="AC28" s="1030">
        <v>5</v>
      </c>
      <c r="AD28" s="4583"/>
      <c r="AE28" s="4583"/>
      <c r="AF28" s="1030"/>
      <c r="AG28" s="4583" t="s">
        <v>1765</v>
      </c>
      <c r="AH28" s="4583"/>
      <c r="AI28" s="2049">
        <v>4</v>
      </c>
      <c r="AJ28" s="1997"/>
      <c r="AK28" s="1986"/>
    </row>
    <row r="29" spans="1:37" ht="12" customHeight="1" thickBot="1" x14ac:dyDescent="0.25">
      <c r="A29" s="541"/>
      <c r="B29" s="107"/>
      <c r="C29" s="4582"/>
      <c r="D29" s="4582"/>
      <c r="E29" s="117"/>
      <c r="F29" s="118" t="str">
        <f>IF(PDs!$R$15&lt;Metamagia!H26,"Nv "&amp;Metamagia!H26,"")</f>
        <v>Nv 6</v>
      </c>
      <c r="G29" s="1960"/>
      <c r="H29" s="117">
        <v>10</v>
      </c>
      <c r="I29" s="99">
        <f>IF(J28&gt;0,1,0)</f>
        <v>0</v>
      </c>
      <c r="J29" s="28"/>
      <c r="K29" s="117"/>
      <c r="L29" s="118" t="str">
        <f>IF(PDs!$R$15&lt;Metamagia!N26,"Nv "&amp;Metamagia!N26,"")</f>
        <v>Nv 6</v>
      </c>
      <c r="M29" s="1960"/>
      <c r="N29" s="117">
        <v>10</v>
      </c>
      <c r="O29" s="28"/>
      <c r="R29" s="99">
        <f>IF(S28&gt;0,1,0)</f>
        <v>0</v>
      </c>
      <c r="T29" s="113"/>
      <c r="W29" s="56"/>
      <c r="X29" s="118" t="str">
        <f>IF(PDs!$R$15&lt;Metamagia!Z26,"Nv "&amp;Metamagia!Z26,"")</f>
        <v>Nv 7</v>
      </c>
      <c r="Y29" s="1960"/>
      <c r="Z29" s="117">
        <v>20</v>
      </c>
      <c r="AA29" s="99">
        <f>IF(AB28&gt;0,1,0)</f>
        <v>0</v>
      </c>
      <c r="AB29" s="1986"/>
      <c r="AC29" s="1030"/>
      <c r="AD29" s="2054" t="str">
        <f>IF(PDs!$R$15&lt;Metamagia!AF26,"Nv "&amp;Metamagia!AF26,"")</f>
        <v>Nv 8</v>
      </c>
      <c r="AE29" s="2008"/>
      <c r="AF29" s="1030">
        <v>25</v>
      </c>
      <c r="AG29" s="4583"/>
      <c r="AH29" s="4583"/>
      <c r="AI29" s="2049"/>
      <c r="AJ29" s="1997"/>
      <c r="AK29" s="1986"/>
    </row>
    <row r="30" spans="1:37" ht="12" customHeight="1" thickBot="1" x14ac:dyDescent="0.25">
      <c r="A30" s="541"/>
      <c r="B30" s="107"/>
      <c r="C30" s="4582"/>
      <c r="D30" s="4582"/>
      <c r="E30" s="117"/>
      <c r="F30" s="120">
        <f>IF(G29&gt;0,1,0)</f>
        <v>0</v>
      </c>
      <c r="G30" s="124"/>
      <c r="H30" s="115"/>
      <c r="I30" s="4582" t="s">
        <v>1761</v>
      </c>
      <c r="J30" s="4582"/>
      <c r="K30" s="130">
        <v>7</v>
      </c>
      <c r="L30" s="127">
        <f>IF(M29&gt;0,1,0)</f>
        <v>0</v>
      </c>
      <c r="M30" s="28"/>
      <c r="N30" s="117"/>
      <c r="W30" s="56"/>
      <c r="X30" s="120">
        <f>IF(Y29&gt;0,1,0)</f>
        <v>0</v>
      </c>
      <c r="Y30" s="124"/>
      <c r="Z30" s="115"/>
      <c r="AA30" s="4582" t="s">
        <v>1770</v>
      </c>
      <c r="AB30" s="4583"/>
      <c r="AC30" s="2047">
        <v>9</v>
      </c>
      <c r="AD30" s="2053">
        <f>IF(AE29&gt;0,1,0)</f>
        <v>0</v>
      </c>
      <c r="AE30" s="1986"/>
      <c r="AF30" s="1030"/>
      <c r="AG30" s="4583"/>
      <c r="AH30" s="4583"/>
      <c r="AI30" s="2049"/>
      <c r="AJ30" s="1997"/>
      <c r="AK30" s="1986"/>
    </row>
    <row r="31" spans="1:37" ht="12" customHeight="1" thickBot="1" x14ac:dyDescent="0.25">
      <c r="A31" s="541"/>
      <c r="B31" s="107"/>
      <c r="C31" s="118" t="str">
        <f>IF(PDs!$R$15&lt;Metamagia!E28,"Nv "&amp;Metamagia!E28,"")</f>
        <v>Nv 4</v>
      </c>
      <c r="D31" s="1960"/>
      <c r="E31" s="117">
        <v>5</v>
      </c>
      <c r="F31" s="131"/>
      <c r="G31" s="28"/>
      <c r="H31" s="117"/>
      <c r="I31" s="4582"/>
      <c r="J31" s="4582"/>
      <c r="K31" s="132"/>
      <c r="L31" s="28"/>
      <c r="M31" s="28"/>
      <c r="N31" s="117"/>
      <c r="W31" s="56"/>
      <c r="X31" s="131"/>
      <c r="Y31" s="28"/>
      <c r="Z31" s="117"/>
      <c r="AA31" s="4582"/>
      <c r="AB31" s="4583"/>
      <c r="AC31" s="2048"/>
      <c r="AD31" s="1986"/>
      <c r="AE31" s="1986"/>
      <c r="AF31" s="1030"/>
      <c r="AG31" s="2054" t="str">
        <f>IF(PDs!$R$15&lt;Metamagia!AI28,"Nv "&amp;Metamagia!AI28,"")</f>
        <v>Nv 4</v>
      </c>
      <c r="AH31" s="2008"/>
      <c r="AI31" s="2049">
        <v>5</v>
      </c>
      <c r="AJ31" s="1997"/>
      <c r="AK31" s="1986"/>
    </row>
    <row r="32" spans="1:37" ht="12" customHeight="1" thickBot="1" x14ac:dyDescent="0.25">
      <c r="A32" s="541"/>
      <c r="B32" s="107"/>
      <c r="C32" s="129">
        <f>IF(D31&gt;0,1,0)</f>
        <v>0</v>
      </c>
      <c r="D32" s="133"/>
      <c r="E32" s="134"/>
      <c r="F32" s="135"/>
      <c r="G32" s="28"/>
      <c r="H32" s="117"/>
      <c r="I32" s="4582"/>
      <c r="J32" s="4582"/>
      <c r="K32" s="132"/>
      <c r="L32" s="28"/>
      <c r="M32" s="28"/>
      <c r="N32" s="117"/>
      <c r="W32" s="56"/>
      <c r="X32" s="135"/>
      <c r="Y32" s="28"/>
      <c r="Z32" s="117"/>
      <c r="AA32" s="4582"/>
      <c r="AB32" s="4583"/>
      <c r="AC32" s="2048"/>
      <c r="AD32" s="1986"/>
      <c r="AE32" s="1986"/>
      <c r="AF32" s="1030"/>
      <c r="AG32" s="2055">
        <f>IF(AH31&gt;0,1,0)</f>
        <v>0</v>
      </c>
      <c r="AH32" s="2014"/>
      <c r="AI32" s="2049"/>
      <c r="AJ32" s="1997"/>
      <c r="AK32" s="1986"/>
    </row>
    <row r="33" spans="1:37" ht="12" customHeight="1" thickBot="1" x14ac:dyDescent="0.25">
      <c r="A33" s="541"/>
      <c r="B33" s="107"/>
      <c r="D33" s="39"/>
      <c r="E33" s="52"/>
      <c r="F33" s="4582" t="s">
        <v>1771</v>
      </c>
      <c r="G33" s="4582"/>
      <c r="H33" s="117">
        <v>10</v>
      </c>
      <c r="I33" s="118" t="str">
        <f>IF(PDs!$R$15&lt;Metamagia!K30,"Nv "&amp;Metamagia!K30,"")</f>
        <v>Nv 7</v>
      </c>
      <c r="J33" s="1960"/>
      <c r="K33" s="132">
        <v>10</v>
      </c>
      <c r="L33" s="28"/>
      <c r="M33" s="28"/>
      <c r="N33" s="117"/>
      <c r="W33" s="56"/>
      <c r="X33" s="4582" t="s">
        <v>1772</v>
      </c>
      <c r="Y33" s="4582"/>
      <c r="Z33" s="117">
        <v>10</v>
      </c>
      <c r="AA33" s="118" t="str">
        <f>IF(PDs!$R$15&lt;Metamagia!AC30,"Nv "&amp;Metamagia!AC30,"")</f>
        <v>Nv 9</v>
      </c>
      <c r="AB33" s="2008"/>
      <c r="AC33" s="2048">
        <v>20</v>
      </c>
      <c r="AD33" s="1986"/>
      <c r="AE33" s="1986"/>
      <c r="AF33" s="1030"/>
      <c r="AG33" s="1986"/>
      <c r="AH33" s="2012"/>
      <c r="AI33" s="1989"/>
      <c r="AJ33" s="1997"/>
      <c r="AK33" s="1986"/>
    </row>
    <row r="34" spans="1:37" ht="12" customHeight="1" thickBot="1" x14ac:dyDescent="0.25">
      <c r="A34" s="541"/>
      <c r="B34" s="107"/>
      <c r="D34" s="76"/>
      <c r="E34" s="52"/>
      <c r="F34" s="4582"/>
      <c r="G34" s="4582"/>
      <c r="H34" s="122"/>
      <c r="I34" s="120">
        <f>IF(J33&gt;0,1,0)</f>
        <v>0</v>
      </c>
      <c r="J34" s="28"/>
      <c r="K34" s="117"/>
      <c r="N34" s="52"/>
      <c r="X34" s="4582"/>
      <c r="Y34" s="4582"/>
      <c r="Z34" s="122"/>
      <c r="AA34" s="127">
        <f>IF(AB33&gt;0,1,0)</f>
        <v>0</v>
      </c>
      <c r="AB34" s="2011"/>
      <c r="AC34" s="1030"/>
      <c r="AD34" s="1986"/>
      <c r="AE34" s="1986"/>
      <c r="AF34" s="650"/>
      <c r="AG34" s="1986"/>
      <c r="AH34" s="2013"/>
      <c r="AI34" s="1989"/>
      <c r="AJ34" s="1997"/>
      <c r="AK34" s="1986"/>
    </row>
    <row r="35" spans="1:37" ht="12" customHeight="1" thickBot="1" x14ac:dyDescent="0.25">
      <c r="A35" s="541"/>
      <c r="B35" s="107"/>
      <c r="C35" s="4582" t="s">
        <v>1758</v>
      </c>
      <c r="D35" s="4582"/>
      <c r="E35" s="117">
        <v>5</v>
      </c>
      <c r="F35" s="4582"/>
      <c r="G35" s="4582"/>
      <c r="H35" s="117"/>
      <c r="I35" s="106"/>
      <c r="J35" s="28"/>
      <c r="K35" s="117"/>
      <c r="N35" s="52"/>
      <c r="P35" s="3156" t="s">
        <v>1521</v>
      </c>
      <c r="Q35" s="3156"/>
      <c r="R35" s="3156"/>
      <c r="S35" s="3156"/>
      <c r="T35" s="3156"/>
      <c r="U35" s="3156"/>
      <c r="X35" s="4582"/>
      <c r="Y35" s="4582"/>
      <c r="Z35" s="117"/>
      <c r="AA35" s="28"/>
      <c r="AB35" s="1986"/>
      <c r="AC35" s="1030"/>
      <c r="AD35" s="1986"/>
      <c r="AE35" s="1986"/>
      <c r="AF35" s="650"/>
      <c r="AG35" s="4583" t="s">
        <v>1773</v>
      </c>
      <c r="AH35" s="4583"/>
      <c r="AI35" s="2049">
        <v>5</v>
      </c>
      <c r="AJ35" s="1997"/>
      <c r="AK35" s="1986"/>
    </row>
    <row r="36" spans="1:37" ht="12" customHeight="1" thickBot="1" x14ac:dyDescent="0.25">
      <c r="A36" s="541"/>
      <c r="B36" s="107"/>
      <c r="C36" s="4582"/>
      <c r="D36" s="4582"/>
      <c r="E36" s="117"/>
      <c r="F36" s="118" t="str">
        <f>IF(PDs!$R$15&lt;Metamagia!H33,"Nv "&amp;Metamagia!H33,"")</f>
        <v>Nv 10</v>
      </c>
      <c r="G36" s="1960"/>
      <c r="H36" s="117">
        <v>20</v>
      </c>
      <c r="I36" s="28"/>
      <c r="J36" s="28"/>
      <c r="K36" s="117"/>
      <c r="N36" s="52"/>
      <c r="P36" s="4584" t="s">
        <v>1698</v>
      </c>
      <c r="Q36" s="4584"/>
      <c r="R36" s="4585" t="s">
        <v>1699</v>
      </c>
      <c r="S36" s="4585"/>
      <c r="T36" s="4586" t="s">
        <v>1700</v>
      </c>
      <c r="U36" s="4586"/>
      <c r="X36" s="118" t="str">
        <f>IF(PDs!$R$15&lt;Metamagia!Z33,"Nv "&amp;Metamagia!Z33,"")</f>
        <v>Nv 10</v>
      </c>
      <c r="Y36" s="1960"/>
      <c r="Z36" s="117">
        <v>20</v>
      </c>
      <c r="AA36" s="28"/>
      <c r="AB36" s="1986"/>
      <c r="AC36" s="1030"/>
      <c r="AD36" s="1986"/>
      <c r="AE36" s="1986"/>
      <c r="AF36" s="650"/>
      <c r="AG36" s="4583"/>
      <c r="AH36" s="4583"/>
      <c r="AI36" s="2049"/>
      <c r="AJ36" s="1997"/>
      <c r="AK36" s="1986"/>
    </row>
    <row r="37" spans="1:37" ht="12" customHeight="1" thickBot="1" x14ac:dyDescent="0.25">
      <c r="A37" s="541"/>
      <c r="B37" s="107"/>
      <c r="C37" s="4582"/>
      <c r="D37" s="4582"/>
      <c r="E37" s="117"/>
      <c r="F37" s="99">
        <f>IF(G36&gt;0,1,0)</f>
        <v>0</v>
      </c>
      <c r="H37" s="52"/>
      <c r="I37" s="28"/>
      <c r="J37" s="28"/>
      <c r="K37" s="117"/>
      <c r="L37" s="4582" t="s">
        <v>1774</v>
      </c>
      <c r="M37" s="4582"/>
      <c r="N37" s="117">
        <v>10</v>
      </c>
      <c r="P37" s="4587">
        <f>Místicos!$C$12</f>
        <v>0</v>
      </c>
      <c r="Q37" s="4587"/>
      <c r="R37" s="4588">
        <f>Místicos!$E$12</f>
        <v>0</v>
      </c>
      <c r="S37" s="4588"/>
      <c r="T37" s="4589">
        <f>D23+D31+D38+D45+D53+G14+G23+G29+G36+G47+G53+G62+J13+J18+J23+J28+J33+J43+J48+J53+J58+J63+M14+M23+M29+M40+M47+M53+M62+P23+P53+S18+S23+S28+S48+S53+S58+V23+V53+Y14+Y23+Y29+Y36+Y47+Y53+Y62+AB13+AB18+AB23+AB28+AB33+AB43+AB48+AB53+AB58+AB63+AE14+AE23+AE29+AE40+AE47+AE53+AE62+AH23+AH31+AH38+AH45+AH53</f>
        <v>0</v>
      </c>
      <c r="U37" s="4589"/>
      <c r="X37" s="99">
        <f>IF(Y36&gt;0,1,0)</f>
        <v>0</v>
      </c>
      <c r="Z37" s="52"/>
      <c r="AA37" s="28"/>
      <c r="AB37" s="1986"/>
      <c r="AC37" s="2049"/>
      <c r="AD37" s="4583" t="s">
        <v>1775</v>
      </c>
      <c r="AE37" s="4583"/>
      <c r="AF37" s="1030">
        <v>10</v>
      </c>
      <c r="AG37" s="4583"/>
      <c r="AH37" s="4583"/>
      <c r="AI37" s="2049"/>
      <c r="AJ37" s="1997"/>
      <c r="AK37" s="1986"/>
    </row>
    <row r="38" spans="1:37" ht="12" customHeight="1" thickBot="1" x14ac:dyDescent="0.25">
      <c r="A38" s="541"/>
      <c r="B38" s="107"/>
      <c r="C38" s="118" t="str">
        <f>IF(PDs!$R$15&lt;Metamagia!E35,"Nv "&amp;Metamagia!E35,"")</f>
        <v>Nv 5</v>
      </c>
      <c r="D38" s="1960"/>
      <c r="E38" s="117">
        <v>10</v>
      </c>
      <c r="H38" s="52"/>
      <c r="I38" s="28"/>
      <c r="J38" s="77"/>
      <c r="K38" s="136"/>
      <c r="L38" s="4582"/>
      <c r="M38" s="4582"/>
      <c r="N38" s="137"/>
      <c r="P38" s="4587"/>
      <c r="Q38" s="4587"/>
      <c r="R38" s="4588"/>
      <c r="S38" s="4588"/>
      <c r="T38" s="4589"/>
      <c r="U38" s="4589"/>
      <c r="W38" s="56"/>
      <c r="Z38" s="52"/>
      <c r="AA38" s="28"/>
      <c r="AB38" s="2015"/>
      <c r="AC38" s="2050"/>
      <c r="AD38" s="4583"/>
      <c r="AE38" s="4583"/>
      <c r="AF38" s="1030"/>
      <c r="AG38" s="2054" t="str">
        <f>IF(PDs!$R$15&lt;Metamagia!AI35,"Nv "&amp;Metamagia!AI35,"")</f>
        <v>Nv 5</v>
      </c>
      <c r="AH38" s="2008"/>
      <c r="AI38" s="2049">
        <v>5</v>
      </c>
      <c r="AJ38" s="1997"/>
      <c r="AK38" s="1986"/>
    </row>
    <row r="39" spans="1:37" ht="12" customHeight="1" thickBot="1" x14ac:dyDescent="0.25">
      <c r="A39" s="541"/>
      <c r="B39" s="107"/>
      <c r="C39" s="129">
        <f>IF(D38&gt;0,1,0)</f>
        <v>0</v>
      </c>
      <c r="D39" s="105"/>
      <c r="E39" s="117"/>
      <c r="H39" s="52"/>
      <c r="I39" s="123"/>
      <c r="J39" s="28"/>
      <c r="K39" s="117"/>
      <c r="L39" s="4582"/>
      <c r="M39" s="4582"/>
      <c r="N39" s="117"/>
      <c r="W39" s="56"/>
      <c r="Z39" s="52"/>
      <c r="AA39" s="28"/>
      <c r="AB39" s="2013"/>
      <c r="AC39" s="2049"/>
      <c r="AD39" s="4583"/>
      <c r="AE39" s="4583"/>
      <c r="AF39" s="1030"/>
      <c r="AG39" s="766">
        <f>IF(AH38&gt;0,1,0)</f>
        <v>0</v>
      </c>
      <c r="AH39" s="2012"/>
      <c r="AI39" s="2049"/>
      <c r="AJ39" s="1997"/>
      <c r="AK39" s="1986"/>
    </row>
    <row r="40" spans="1:37" ht="12" customHeight="1" thickBot="1" x14ac:dyDescent="0.25">
      <c r="A40" s="541"/>
      <c r="B40" s="107"/>
      <c r="C40" s="28"/>
      <c r="D40" s="107"/>
      <c r="E40" s="117"/>
      <c r="F40" s="138"/>
      <c r="G40" s="28"/>
      <c r="H40" s="117"/>
      <c r="I40" s="4582" t="s">
        <v>1776</v>
      </c>
      <c r="J40" s="4582"/>
      <c r="K40" s="117">
        <v>7</v>
      </c>
      <c r="L40" s="118" t="str">
        <f>IF(PDs!$R$15&lt;Metamagia!N37,"Nv "&amp;Metamagia!N37,"")</f>
        <v>Nv 10</v>
      </c>
      <c r="M40" s="1960"/>
      <c r="N40" s="117">
        <v>20</v>
      </c>
      <c r="W40" s="56"/>
      <c r="Z40" s="52"/>
      <c r="AA40" s="4582" t="s">
        <v>1777</v>
      </c>
      <c r="AB40" s="4583"/>
      <c r="AC40" s="1030">
        <v>9</v>
      </c>
      <c r="AD40" s="2054" t="str">
        <f>IF(PDs!$R$15&lt;Metamagia!AF37,"Nv "&amp;Metamagia!AF37,"")</f>
        <v>Nv 10</v>
      </c>
      <c r="AE40" s="2008"/>
      <c r="AF40" s="1030">
        <v>20</v>
      </c>
      <c r="AG40" s="1986"/>
      <c r="AH40" s="2012"/>
      <c r="AI40" s="2049"/>
      <c r="AJ40" s="1997"/>
      <c r="AK40" s="1986"/>
    </row>
    <row r="41" spans="1:37" ht="12" customHeight="1" thickBot="1" x14ac:dyDescent="0.25">
      <c r="A41" s="541"/>
      <c r="B41" s="107"/>
      <c r="D41" s="76"/>
      <c r="E41" s="52"/>
      <c r="F41" s="138"/>
      <c r="G41" s="28"/>
      <c r="H41" s="117"/>
      <c r="I41" s="4582"/>
      <c r="J41" s="4582"/>
      <c r="K41" s="117"/>
      <c r="L41" s="99">
        <f>IF(M40&gt;0,1,0)</f>
        <v>0</v>
      </c>
      <c r="M41" s="28"/>
      <c r="N41" s="117"/>
      <c r="W41" s="56"/>
      <c r="X41" s="138"/>
      <c r="Y41" s="28"/>
      <c r="Z41" s="117"/>
      <c r="AA41" s="4582"/>
      <c r="AB41" s="4583"/>
      <c r="AC41" s="1030"/>
      <c r="AD41" s="766">
        <f>IF(AE40&gt;0,1,0)</f>
        <v>0</v>
      </c>
      <c r="AE41" s="1986"/>
      <c r="AF41" s="1030"/>
      <c r="AG41" s="1986"/>
      <c r="AH41" s="2013"/>
      <c r="AI41" s="1989"/>
      <c r="AJ41" s="1997"/>
      <c r="AK41" s="1986"/>
    </row>
    <row r="42" spans="1:37" ht="12" customHeight="1" thickBot="1" x14ac:dyDescent="0.25">
      <c r="A42" s="541"/>
      <c r="B42" s="107"/>
      <c r="C42" s="4582" t="s">
        <v>1778</v>
      </c>
      <c r="D42" s="4582"/>
      <c r="E42" s="139">
        <v>2</v>
      </c>
      <c r="F42" s="28"/>
      <c r="G42" s="105"/>
      <c r="H42" s="140"/>
      <c r="I42" s="4582"/>
      <c r="J42" s="4582"/>
      <c r="K42" s="141"/>
      <c r="L42" s="142"/>
      <c r="M42" s="28"/>
      <c r="N42" s="117"/>
      <c r="W42" s="56"/>
      <c r="X42" s="28"/>
      <c r="Y42" s="105"/>
      <c r="Z42" s="140"/>
      <c r="AA42" s="4582"/>
      <c r="AB42" s="4583"/>
      <c r="AC42" s="2051"/>
      <c r="AD42" s="1999"/>
      <c r="AE42" s="1986"/>
      <c r="AF42" s="1030"/>
      <c r="AG42" s="4583" t="s">
        <v>1779</v>
      </c>
      <c r="AH42" s="4583"/>
      <c r="AI42" s="2049">
        <v>3</v>
      </c>
      <c r="AJ42" s="1997"/>
      <c r="AK42" s="1986"/>
    </row>
    <row r="43" spans="1:37" ht="12" customHeight="1" thickBot="1" x14ac:dyDescent="0.25">
      <c r="A43" s="541"/>
      <c r="B43" s="107"/>
      <c r="C43" s="4582"/>
      <c r="D43" s="4582"/>
      <c r="E43" s="117"/>
      <c r="F43" s="28"/>
      <c r="G43" s="107"/>
      <c r="H43" s="128"/>
      <c r="I43" s="118" t="str">
        <f>IF(PDs!$R$15&lt;Metamagia!K40,"Nv "&amp;Metamagia!K40,"")</f>
        <v>Nv 7</v>
      </c>
      <c r="J43" s="1960"/>
      <c r="K43" s="137">
        <v>20</v>
      </c>
      <c r="L43" s="126"/>
      <c r="M43" s="28"/>
      <c r="N43" s="117"/>
      <c r="W43" s="56"/>
      <c r="X43" s="28"/>
      <c r="Y43" s="107"/>
      <c r="Z43" s="128"/>
      <c r="AA43" s="118" t="str">
        <f>IF(PDs!$R$15&lt;Metamagia!AC40,"Nv "&amp;Metamagia!AC40,"")</f>
        <v>Nv 9</v>
      </c>
      <c r="AB43" s="2008"/>
      <c r="AC43" s="925">
        <v>20</v>
      </c>
      <c r="AD43" s="2002"/>
      <c r="AE43" s="1986"/>
      <c r="AF43" s="1030"/>
      <c r="AG43" s="4583"/>
      <c r="AH43" s="4583"/>
      <c r="AI43" s="2049"/>
      <c r="AJ43" s="1997"/>
      <c r="AK43" s="1986"/>
    </row>
    <row r="44" spans="1:37" ht="12" customHeight="1" thickBot="1" x14ac:dyDescent="0.25">
      <c r="A44" s="541"/>
      <c r="B44" s="107"/>
      <c r="C44" s="4582"/>
      <c r="D44" s="4582"/>
      <c r="E44" s="117"/>
      <c r="F44" s="4582" t="s">
        <v>1780</v>
      </c>
      <c r="G44" s="4582"/>
      <c r="H44" s="117">
        <v>6</v>
      </c>
      <c r="I44" s="99">
        <f>IF(J43&gt;0,1,0)</f>
        <v>0</v>
      </c>
      <c r="J44" s="28"/>
      <c r="K44" s="117"/>
      <c r="L44" s="4582" t="s">
        <v>1781</v>
      </c>
      <c r="M44" s="4582"/>
      <c r="N44" s="117">
        <v>9</v>
      </c>
      <c r="O44" s="28"/>
      <c r="W44" s="56"/>
      <c r="X44" s="4582" t="s">
        <v>1782</v>
      </c>
      <c r="Y44" s="4582"/>
      <c r="Z44" s="117">
        <v>8</v>
      </c>
      <c r="AA44" s="99">
        <f>IF(AB43&gt;0,1,0)</f>
        <v>0</v>
      </c>
      <c r="AB44" s="1986"/>
      <c r="AC44" s="1030"/>
      <c r="AD44" s="4583" t="s">
        <v>1779</v>
      </c>
      <c r="AE44" s="4583"/>
      <c r="AF44" s="1030">
        <v>10</v>
      </c>
      <c r="AG44" s="4583"/>
      <c r="AH44" s="4583"/>
      <c r="AI44" s="2049"/>
      <c r="AJ44" s="1997"/>
      <c r="AK44" s="1986"/>
    </row>
    <row r="45" spans="1:37" ht="12" customHeight="1" thickBot="1" x14ac:dyDescent="0.25">
      <c r="A45" s="541"/>
      <c r="B45" s="107"/>
      <c r="C45" s="118" t="str">
        <f>IF(PDs!$R$15&lt;Metamagia!E42,"Nv "&amp;Metamagia!E42,"")</f>
        <v>Nv 2</v>
      </c>
      <c r="D45" s="1960"/>
      <c r="E45" s="117">
        <v>5</v>
      </c>
      <c r="F45" s="4582"/>
      <c r="G45" s="4582"/>
      <c r="H45" s="117"/>
      <c r="I45" s="4582" t="s">
        <v>1781</v>
      </c>
      <c r="J45" s="4582"/>
      <c r="K45" s="117">
        <v>6</v>
      </c>
      <c r="L45" s="4582"/>
      <c r="M45" s="4582"/>
      <c r="N45" s="117"/>
      <c r="O45" s="28"/>
      <c r="P45" s="28"/>
      <c r="Q45" s="113"/>
      <c r="R45" s="4582" t="s">
        <v>1778</v>
      </c>
      <c r="S45" s="4582"/>
      <c r="T45" s="117">
        <v>2</v>
      </c>
      <c r="W45" s="56"/>
      <c r="X45" s="4582"/>
      <c r="Y45" s="4582"/>
      <c r="Z45" s="117"/>
      <c r="AA45" s="4582" t="s">
        <v>1783</v>
      </c>
      <c r="AB45" s="4583"/>
      <c r="AC45" s="1030">
        <v>6</v>
      </c>
      <c r="AD45" s="4583"/>
      <c r="AE45" s="4583"/>
      <c r="AF45" s="1030"/>
      <c r="AG45" s="2054" t="str">
        <f>IF(PDs!$R$15&lt;Metamagia!AI42,"Nv "&amp;Metamagia!AI42,"")</f>
        <v>Nv 3</v>
      </c>
      <c r="AH45" s="2008"/>
      <c r="AI45" s="2049">
        <v>5</v>
      </c>
      <c r="AJ45" s="1997"/>
      <c r="AK45" s="1986"/>
    </row>
    <row r="46" spans="1:37" ht="12" customHeight="1" thickBot="1" x14ac:dyDescent="0.25">
      <c r="A46" s="541"/>
      <c r="B46" s="107"/>
      <c r="C46" s="120">
        <f>IF(D45&gt;0,1,0)</f>
        <v>0</v>
      </c>
      <c r="D46" s="28"/>
      <c r="E46" s="117"/>
      <c r="F46" s="4582"/>
      <c r="G46" s="4582"/>
      <c r="H46" s="117"/>
      <c r="I46" s="4582"/>
      <c r="J46" s="4582"/>
      <c r="K46" s="117"/>
      <c r="L46" s="4582"/>
      <c r="M46" s="4582"/>
      <c r="N46" s="117"/>
      <c r="O46" s="28"/>
      <c r="P46" s="124"/>
      <c r="Q46" s="125"/>
      <c r="R46" s="4582"/>
      <c r="S46" s="4582"/>
      <c r="T46" s="117"/>
      <c r="W46" s="56"/>
      <c r="X46" s="4582"/>
      <c r="Y46" s="4582"/>
      <c r="Z46" s="117"/>
      <c r="AA46" s="4582"/>
      <c r="AB46" s="4583"/>
      <c r="AC46" s="1030"/>
      <c r="AD46" s="4583"/>
      <c r="AE46" s="4583"/>
      <c r="AF46" s="1030"/>
      <c r="AG46" s="2055">
        <f>IF(AH45&gt;0,1,0)</f>
        <v>0</v>
      </c>
      <c r="AH46" s="2011"/>
      <c r="AI46" s="2049"/>
      <c r="AJ46" s="1997"/>
      <c r="AK46" s="1986"/>
    </row>
    <row r="47" spans="1:37" ht="12" customHeight="1" thickBot="1" x14ac:dyDescent="0.25">
      <c r="A47" s="541"/>
      <c r="B47" s="107"/>
      <c r="C47" s="126"/>
      <c r="D47" s="28"/>
      <c r="E47" s="117"/>
      <c r="F47" s="118" t="str">
        <f>IF(PDs!$R$15&lt;Metamagia!H44,"Nv "&amp;Metamagia!H44,"")</f>
        <v>Nv 6</v>
      </c>
      <c r="G47" s="1960"/>
      <c r="H47" s="117">
        <v>10</v>
      </c>
      <c r="I47" s="4582"/>
      <c r="J47" s="4582"/>
      <c r="K47" s="117"/>
      <c r="L47" s="118" t="str">
        <f>IF(PDs!$R$15&lt;Metamagia!N44,"Nv "&amp;Metamagia!N44,"")</f>
        <v>Nv 9</v>
      </c>
      <c r="M47" s="1960"/>
      <c r="N47" s="117">
        <v>25</v>
      </c>
      <c r="O47" s="126"/>
      <c r="P47" s="28"/>
      <c r="Q47" s="113"/>
      <c r="R47" s="4582"/>
      <c r="S47" s="4582"/>
      <c r="T47" s="117"/>
      <c r="W47" s="143"/>
      <c r="X47" s="118" t="str">
        <f>IF(PDs!$R$15&lt;Metamagia!Z44,"Nv "&amp;Metamagia!Z44,"")</f>
        <v>Nv 8</v>
      </c>
      <c r="Y47" s="1960"/>
      <c r="Z47" s="117">
        <v>5</v>
      </c>
      <c r="AA47" s="4582"/>
      <c r="AB47" s="4583"/>
      <c r="AC47" s="1030"/>
      <c r="AD47" s="2054" t="str">
        <f>IF(PDs!$R$15&lt;Metamagia!AF44,"Nv "&amp;Metamagia!AF44,"")</f>
        <v>Nv 10</v>
      </c>
      <c r="AE47" s="2008"/>
      <c r="AF47" s="1030">
        <v>5</v>
      </c>
      <c r="AG47" s="1986"/>
      <c r="AH47" s="2012"/>
      <c r="AI47" s="2049"/>
      <c r="AJ47" s="1997"/>
      <c r="AK47" s="1986"/>
    </row>
    <row r="48" spans="1:37" ht="12" customHeight="1" thickBot="1" x14ac:dyDescent="0.25">
      <c r="A48" s="541"/>
      <c r="B48" s="107"/>
      <c r="C48" s="126"/>
      <c r="D48" s="28"/>
      <c r="E48" s="117"/>
      <c r="F48" s="120">
        <f>IF(G47&gt;0,1,0)</f>
        <v>0</v>
      </c>
      <c r="G48" s="28"/>
      <c r="H48" s="117"/>
      <c r="I48" s="118" t="str">
        <f>IF(PDs!$R$15&lt;Metamagia!K45,"Nv "&amp;Metamagia!K45,"")</f>
        <v>Nv 6</v>
      </c>
      <c r="J48" s="1960"/>
      <c r="K48" s="117">
        <v>15</v>
      </c>
      <c r="L48" s="99">
        <f>IF(M47&gt;0,1,0)</f>
        <v>0</v>
      </c>
      <c r="M48" s="105"/>
      <c r="N48" s="117"/>
      <c r="O48" s="126"/>
      <c r="P48" s="28"/>
      <c r="Q48" s="113"/>
      <c r="R48" s="118" t="str">
        <f>IF(PDs!$R$15&lt;Metamagia!T45,"Nv "&amp;Metamagia!T45,"")</f>
        <v>Nv 2</v>
      </c>
      <c r="S48" s="1960"/>
      <c r="T48" s="117">
        <v>5</v>
      </c>
      <c r="W48" s="56"/>
      <c r="X48" s="120">
        <f>IF(Y47&gt;0,1,0)</f>
        <v>0</v>
      </c>
      <c r="Y48" s="28"/>
      <c r="Z48" s="117"/>
      <c r="AA48" s="118" t="str">
        <f>IF(PDs!$R$15&lt;Metamagia!AC45,"Nv "&amp;Metamagia!AC45,"")</f>
        <v>Nv 6</v>
      </c>
      <c r="AB48" s="2008"/>
      <c r="AC48" s="1030">
        <v>5</v>
      </c>
      <c r="AD48" s="766">
        <f>IF(AE47&gt;0,1,0)</f>
        <v>0</v>
      </c>
      <c r="AE48" s="2011"/>
      <c r="AF48" s="1030"/>
      <c r="AG48" s="1986"/>
      <c r="AH48" s="2012"/>
      <c r="AI48" s="2049"/>
      <c r="AJ48" s="1997"/>
      <c r="AK48" s="1986"/>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6"/>
      <c r="AC49" s="1030"/>
      <c r="AD49" s="1986"/>
      <c r="AE49" s="2013"/>
      <c r="AF49" s="1030"/>
      <c r="AG49" s="2015"/>
      <c r="AH49" s="2013"/>
      <c r="AI49" s="2049"/>
      <c r="AJ49" s="1997"/>
      <c r="AK49" s="1986"/>
    </row>
    <row r="50" spans="1:37" ht="12" customHeight="1" thickBot="1" x14ac:dyDescent="0.25">
      <c r="A50" s="541"/>
      <c r="B50" s="107"/>
      <c r="C50" s="4582" t="s">
        <v>1784</v>
      </c>
      <c r="D50" s="4582"/>
      <c r="E50" s="117"/>
      <c r="F50" s="4582" t="s">
        <v>1785</v>
      </c>
      <c r="G50" s="4582"/>
      <c r="H50" s="117">
        <v>3</v>
      </c>
      <c r="I50" s="4582" t="s">
        <v>1786</v>
      </c>
      <c r="J50" s="4582"/>
      <c r="K50" s="117">
        <v>3</v>
      </c>
      <c r="L50" s="4582" t="s">
        <v>1787</v>
      </c>
      <c r="M50" s="4582"/>
      <c r="N50" s="117">
        <v>3</v>
      </c>
      <c r="O50" s="4582" t="s">
        <v>1788</v>
      </c>
      <c r="P50" s="4582"/>
      <c r="Q50" s="113"/>
      <c r="R50" s="4582" t="s">
        <v>1779</v>
      </c>
      <c r="S50" s="4582"/>
      <c r="T50" s="117">
        <v>5</v>
      </c>
      <c r="U50" s="4582" t="s">
        <v>1779</v>
      </c>
      <c r="V50" s="4582"/>
      <c r="W50" s="117">
        <v>4</v>
      </c>
      <c r="X50" s="4582" t="s">
        <v>1789</v>
      </c>
      <c r="Y50" s="4582"/>
      <c r="Z50" s="117">
        <v>3</v>
      </c>
      <c r="AA50" s="4582" t="s">
        <v>1779</v>
      </c>
      <c r="AB50" s="4583"/>
      <c r="AC50" s="1030">
        <v>6</v>
      </c>
      <c r="AD50" s="4583" t="s">
        <v>1790</v>
      </c>
      <c r="AE50" s="4583"/>
      <c r="AF50" s="1030">
        <v>3</v>
      </c>
      <c r="AG50" s="4583" t="s">
        <v>1791</v>
      </c>
      <c r="AH50" s="4583"/>
      <c r="AI50" s="2049">
        <v>3</v>
      </c>
      <c r="AJ50" s="1997"/>
      <c r="AK50" s="1986"/>
    </row>
    <row r="51" spans="1:37" ht="12" customHeight="1" thickBot="1" x14ac:dyDescent="0.25">
      <c r="A51" s="541"/>
      <c r="B51" s="107"/>
      <c r="C51" s="4582"/>
      <c r="D51" s="4582"/>
      <c r="E51" s="114"/>
      <c r="F51" s="4582"/>
      <c r="G51" s="4582"/>
      <c r="H51" s="114"/>
      <c r="I51" s="4582"/>
      <c r="J51" s="4582"/>
      <c r="K51" s="114"/>
      <c r="L51" s="4582"/>
      <c r="M51" s="4582"/>
      <c r="N51" s="114"/>
      <c r="O51" s="4582"/>
      <c r="P51" s="4582"/>
      <c r="Q51" s="113"/>
      <c r="R51" s="4582"/>
      <c r="S51" s="4582"/>
      <c r="T51" s="117"/>
      <c r="U51" s="4582"/>
      <c r="V51" s="4582"/>
      <c r="W51" s="114"/>
      <c r="X51" s="4582"/>
      <c r="Y51" s="4582"/>
      <c r="Z51" s="114"/>
      <c r="AA51" s="4582"/>
      <c r="AB51" s="4583"/>
      <c r="AC51" s="2046"/>
      <c r="AD51" s="4583"/>
      <c r="AE51" s="4583"/>
      <c r="AF51" s="2046"/>
      <c r="AG51" s="4583"/>
      <c r="AH51" s="4583"/>
      <c r="AI51" s="2049"/>
      <c r="AJ51" s="1997"/>
      <c r="AK51" s="1986"/>
    </row>
    <row r="52" spans="1:37" ht="12" customHeight="1" x14ac:dyDescent="0.2">
      <c r="A52" s="541"/>
      <c r="B52" s="107"/>
      <c r="C52" s="4582"/>
      <c r="D52" s="4582"/>
      <c r="E52" s="117"/>
      <c r="F52" s="4582"/>
      <c r="G52" s="4582"/>
      <c r="H52" s="117"/>
      <c r="I52" s="4582"/>
      <c r="J52" s="4582"/>
      <c r="K52" s="117"/>
      <c r="L52" s="4582"/>
      <c r="M52" s="4582"/>
      <c r="N52" s="117"/>
      <c r="O52" s="4582"/>
      <c r="P52" s="4582"/>
      <c r="Q52" s="113"/>
      <c r="R52" s="4582"/>
      <c r="S52" s="4582"/>
      <c r="T52" s="117"/>
      <c r="U52" s="4582"/>
      <c r="V52" s="4582"/>
      <c r="W52" s="117"/>
      <c r="X52" s="4582"/>
      <c r="Y52" s="4582"/>
      <c r="Z52" s="117"/>
      <c r="AA52" s="4582"/>
      <c r="AB52" s="4583"/>
      <c r="AC52" s="1030"/>
      <c r="AD52" s="4583"/>
      <c r="AE52" s="4583"/>
      <c r="AF52" s="1030"/>
      <c r="AG52" s="4583"/>
      <c r="AH52" s="4583"/>
      <c r="AI52" s="2049"/>
      <c r="AJ52" s="1997"/>
      <c r="AK52" s="1986"/>
    </row>
    <row r="53" spans="1:37" ht="12" customHeight="1" thickBot="1" x14ac:dyDescent="0.25">
      <c r="A53" s="541"/>
      <c r="B53" s="107"/>
      <c r="C53" s="118" t="str">
        <f>IF(PDs!$R$15&lt;Metamagia!E50,"Nv "&amp;Metamagia!E50,"")</f>
        <v/>
      </c>
      <c r="D53" s="1960"/>
      <c r="E53" s="117">
        <v>5</v>
      </c>
      <c r="F53" s="118" t="str">
        <f>IF(PDs!$R$15&lt;Metamagia!H50,"Nv "&amp;Metamagia!H50,"")</f>
        <v>Nv 3</v>
      </c>
      <c r="G53" s="1960"/>
      <c r="H53" s="117">
        <v>10</v>
      </c>
      <c r="I53" s="118" t="str">
        <f>IF(PDs!$R$15&lt;Metamagia!K50,"Nv "&amp;Metamagia!K50,"")</f>
        <v>Nv 3</v>
      </c>
      <c r="J53" s="1960"/>
      <c r="K53" s="117">
        <v>5</v>
      </c>
      <c r="L53" s="118" t="str">
        <f>IF(PDs!$R$15&lt;Metamagia!N50,"Nv "&amp;Metamagia!N50,"")</f>
        <v>Nv 3</v>
      </c>
      <c r="M53" s="1960"/>
      <c r="N53" s="117">
        <v>10</v>
      </c>
      <c r="O53" s="118" t="str">
        <f>IF(PDs!$R$15&lt;Metamagia!Q50,"Nv "&amp;Metamagia!Q50,"")</f>
        <v/>
      </c>
      <c r="P53" s="1960"/>
      <c r="Q53" s="117">
        <v>5</v>
      </c>
      <c r="R53" s="118" t="str">
        <f>IF(PDs!$R$15&lt;Metamagia!T50,"Nv "&amp;Metamagia!T50,"")</f>
        <v>Nv 5</v>
      </c>
      <c r="S53" s="1960"/>
      <c r="T53" s="117">
        <v>5</v>
      </c>
      <c r="U53" s="118" t="str">
        <f>IF(PDs!$R$15&lt;Metamagia!W50,"Nv "&amp;Metamagia!W50,"")</f>
        <v>Nv 4</v>
      </c>
      <c r="V53" s="1960"/>
      <c r="W53" s="117">
        <v>5</v>
      </c>
      <c r="X53" s="118" t="str">
        <f>IF(PDs!$R$15&lt;Metamagia!Z50,"Nv "&amp;Metamagia!Z50,"")</f>
        <v>Nv 3</v>
      </c>
      <c r="Y53" s="1960"/>
      <c r="Z53" s="117">
        <v>5</v>
      </c>
      <c r="AA53" s="118" t="str">
        <f>IF(PDs!$R$15&lt;Metamagia!AC50,"Nv "&amp;Metamagia!AC50,"")</f>
        <v>Nv 6</v>
      </c>
      <c r="AB53" s="2008"/>
      <c r="AC53" s="1030">
        <v>5</v>
      </c>
      <c r="AD53" s="2054" t="str">
        <f>IF(PDs!$R$15&lt;Metamagia!AF50,"Nv "&amp;Metamagia!AF50,"")</f>
        <v>Nv 3</v>
      </c>
      <c r="AE53" s="2008"/>
      <c r="AF53" s="1030">
        <v>5</v>
      </c>
      <c r="AG53" s="2054" t="str">
        <f>IF(PDs!$R$15&lt;Metamagia!AI50,"Nv "&amp;Metamagia!AI50,"")</f>
        <v>Nv 3</v>
      </c>
      <c r="AH53" s="2008"/>
      <c r="AI53" s="2049">
        <v>5</v>
      </c>
      <c r="AJ53" s="1997"/>
      <c r="AK53" s="1986"/>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6"/>
      <c r="AC54" s="1030"/>
      <c r="AD54" s="766">
        <f>IF(AE53&gt;0,1,0)</f>
        <v>0</v>
      </c>
      <c r="AE54" s="2011"/>
      <c r="AF54" s="1030"/>
      <c r="AG54" s="766">
        <f>IF(AH53&gt;0,1,0)</f>
        <v>0</v>
      </c>
      <c r="AH54" s="1986"/>
      <c r="AI54" s="2049"/>
      <c r="AJ54" s="1997"/>
      <c r="AK54" s="1986"/>
    </row>
    <row r="55" spans="1:37" ht="12" customHeight="1" thickBot="1" x14ac:dyDescent="0.25">
      <c r="A55" s="541"/>
      <c r="B55" s="107"/>
      <c r="C55" s="145"/>
      <c r="D55" s="145"/>
      <c r="E55" s="113"/>
      <c r="F55" s="146"/>
      <c r="G55" s="147"/>
      <c r="H55" s="148"/>
      <c r="I55" s="4582" t="s">
        <v>1792</v>
      </c>
      <c r="J55" s="4582"/>
      <c r="K55" s="117"/>
      <c r="L55" s="28"/>
      <c r="M55" s="107"/>
      <c r="N55" s="117"/>
      <c r="O55" s="28"/>
      <c r="P55" s="28"/>
      <c r="Q55" s="113"/>
      <c r="R55" s="4582" t="s">
        <v>1782</v>
      </c>
      <c r="S55" s="4582"/>
      <c r="T55" s="117">
        <v>5</v>
      </c>
      <c r="U55" s="40"/>
      <c r="W55" s="56"/>
      <c r="X55" s="146"/>
      <c r="Y55" s="147"/>
      <c r="Z55" s="148"/>
      <c r="AA55" s="4582" t="s">
        <v>1779</v>
      </c>
      <c r="AB55" s="4583"/>
      <c r="AC55" s="1030"/>
      <c r="AD55" s="1986"/>
      <c r="AE55" s="2012"/>
      <c r="AF55" s="1030"/>
      <c r="AG55" s="1986"/>
      <c r="AH55" s="1986"/>
      <c r="AI55" s="2049"/>
      <c r="AJ55" s="1997"/>
      <c r="AK55" s="1986"/>
    </row>
    <row r="56" spans="1:37" ht="12" customHeight="1" thickBot="1" x14ac:dyDescent="0.25">
      <c r="A56" s="541"/>
      <c r="B56" s="39"/>
      <c r="C56" s="49"/>
      <c r="D56" s="49"/>
      <c r="E56" s="56"/>
      <c r="F56" s="149"/>
      <c r="G56" s="150"/>
      <c r="H56" s="151"/>
      <c r="I56" s="4582"/>
      <c r="J56" s="4582"/>
      <c r="K56" s="122"/>
      <c r="L56" s="78"/>
      <c r="M56" s="39"/>
      <c r="N56" s="117"/>
      <c r="O56" s="28"/>
      <c r="P56" s="28"/>
      <c r="Q56" s="113"/>
      <c r="R56" s="4582"/>
      <c r="S56" s="4582"/>
      <c r="T56" s="122"/>
      <c r="U56" s="78"/>
      <c r="W56" s="56"/>
      <c r="X56" s="149"/>
      <c r="Y56" s="150"/>
      <c r="Z56" s="151"/>
      <c r="AA56" s="4582"/>
      <c r="AB56" s="4583"/>
      <c r="AC56" s="1037"/>
      <c r="AD56" s="2010"/>
      <c r="AE56" s="2012"/>
      <c r="AF56" s="1030"/>
      <c r="AG56" s="1986"/>
      <c r="AH56" s="1986"/>
      <c r="AI56" s="1989"/>
      <c r="AJ56" s="1997"/>
      <c r="AK56" s="1986"/>
    </row>
    <row r="57" spans="1:37" ht="12" customHeight="1" x14ac:dyDescent="0.2">
      <c r="A57" s="541"/>
      <c r="B57" s="39"/>
      <c r="C57" s="49"/>
      <c r="D57" s="49"/>
      <c r="E57" s="56"/>
      <c r="F57" s="152"/>
      <c r="G57" s="153"/>
      <c r="H57" s="117"/>
      <c r="I57" s="4582"/>
      <c r="J57" s="4582"/>
      <c r="K57" s="117"/>
      <c r="M57" s="39"/>
      <c r="N57" s="117"/>
      <c r="O57" s="28"/>
      <c r="P57" s="28"/>
      <c r="Q57" s="113"/>
      <c r="R57" s="4582"/>
      <c r="S57" s="4582"/>
      <c r="T57" s="117"/>
      <c r="W57" s="56"/>
      <c r="X57" s="152"/>
      <c r="Y57" s="153"/>
      <c r="Z57" s="117"/>
      <c r="AA57" s="4582"/>
      <c r="AB57" s="4583"/>
      <c r="AC57" s="1030"/>
      <c r="AD57" s="1986"/>
      <c r="AE57" s="2012"/>
      <c r="AF57" s="1030"/>
      <c r="AG57" s="1986"/>
      <c r="AH57" s="1986"/>
      <c r="AI57" s="1989"/>
      <c r="AJ57" s="1997"/>
      <c r="AK57" s="1986"/>
    </row>
    <row r="58" spans="1:37" ht="12" customHeight="1" thickBot="1" x14ac:dyDescent="0.25">
      <c r="A58" s="541"/>
      <c r="B58" s="39"/>
      <c r="C58" s="49"/>
      <c r="D58" s="49"/>
      <c r="E58" s="95"/>
      <c r="F58" s="154"/>
      <c r="G58" s="153"/>
      <c r="H58" s="117"/>
      <c r="I58" s="118" t="str">
        <f>IF(PDs!$R$15&lt;Metamagia!K55,"Nv "&amp;Metamagia!K55,"")</f>
        <v/>
      </c>
      <c r="J58" s="1960"/>
      <c r="K58" s="117">
        <v>10</v>
      </c>
      <c r="M58" s="76"/>
      <c r="N58" s="117"/>
      <c r="O58" s="28"/>
      <c r="P58" s="28"/>
      <c r="Q58" s="143"/>
      <c r="R58" s="118" t="str">
        <f>IF(PDs!$R$15&lt;Metamagia!T55,"Nv "&amp;Metamagia!T55,"")</f>
        <v>Nv 5</v>
      </c>
      <c r="S58" s="1960"/>
      <c r="T58" s="117">
        <v>5</v>
      </c>
      <c r="W58" s="56"/>
      <c r="X58" s="154"/>
      <c r="Y58" s="153"/>
      <c r="Z58" s="117"/>
      <c r="AA58" s="118" t="str">
        <f>IF(PDs!$R$15&lt;Metamagia!AC55,"Nv "&amp;Metamagia!AC55,"")</f>
        <v/>
      </c>
      <c r="AB58" s="2008"/>
      <c r="AC58" s="1030">
        <v>5</v>
      </c>
      <c r="AD58" s="1986"/>
      <c r="AE58" s="2013"/>
      <c r="AF58" s="1030"/>
      <c r="AG58" s="1986"/>
      <c r="AH58" s="1986"/>
      <c r="AI58" s="1989"/>
      <c r="AJ58" s="1997"/>
      <c r="AK58" s="1986"/>
    </row>
    <row r="59" spans="1:37" ht="12" customHeight="1" thickBot="1" x14ac:dyDescent="0.25">
      <c r="A59" s="541"/>
      <c r="B59" s="39"/>
      <c r="C59" s="49"/>
      <c r="D59" s="49"/>
      <c r="E59" s="95"/>
      <c r="F59" s="4582" t="s">
        <v>1793</v>
      </c>
      <c r="G59" s="4582"/>
      <c r="H59" s="117"/>
      <c r="I59" s="127">
        <f>IF(J58&gt;0,1,0)</f>
        <v>0</v>
      </c>
      <c r="K59" s="117"/>
      <c r="L59" s="4582" t="s">
        <v>1778</v>
      </c>
      <c r="M59" s="4582"/>
      <c r="N59" s="117"/>
      <c r="Q59" s="56"/>
      <c r="R59" s="99">
        <f>IF(S58&gt;0,1,0)</f>
        <v>0</v>
      </c>
      <c r="T59" s="56"/>
      <c r="W59" s="56"/>
      <c r="X59" s="4582" t="s">
        <v>1782</v>
      </c>
      <c r="Y59" s="4582"/>
      <c r="Z59" s="117"/>
      <c r="AA59" s="127">
        <f>IF(AB58&gt;0,1,0)</f>
        <v>0</v>
      </c>
      <c r="AB59" s="1986"/>
      <c r="AC59" s="1030"/>
      <c r="AD59" s="4583" t="s">
        <v>1791</v>
      </c>
      <c r="AE59" s="4583"/>
      <c r="AF59" s="1030"/>
      <c r="AG59" s="1986"/>
      <c r="AH59" s="1986"/>
      <c r="AI59" s="1989"/>
      <c r="AJ59" s="1997"/>
      <c r="AK59" s="1986"/>
    </row>
    <row r="60" spans="1:37" ht="12" customHeight="1" thickBot="1" x14ac:dyDescent="0.25">
      <c r="A60" s="617"/>
      <c r="B60" s="155"/>
      <c r="C60" s="49"/>
      <c r="D60" s="49"/>
      <c r="E60" s="95"/>
      <c r="F60" s="4582"/>
      <c r="G60" s="4582"/>
      <c r="H60" s="114"/>
      <c r="I60" s="4582" t="s">
        <v>1786</v>
      </c>
      <c r="J60" s="4582"/>
      <c r="K60" s="116"/>
      <c r="L60" s="4582"/>
      <c r="M60" s="4582"/>
      <c r="N60" s="117"/>
      <c r="T60" s="56"/>
      <c r="W60" s="56"/>
      <c r="X60" s="4582"/>
      <c r="Y60" s="4582"/>
      <c r="Z60" s="114"/>
      <c r="AA60" s="4582" t="s">
        <v>1779</v>
      </c>
      <c r="AB60" s="4583"/>
      <c r="AC60" s="2046"/>
      <c r="AD60" s="4583"/>
      <c r="AE60" s="4583"/>
      <c r="AF60" s="1030"/>
      <c r="AG60" s="1986"/>
      <c r="AH60" s="1986"/>
      <c r="AI60" s="1989"/>
      <c r="AJ60" s="1997"/>
      <c r="AK60" s="1986"/>
    </row>
    <row r="61" spans="1:37" ht="12" customHeight="1" thickBot="1" x14ac:dyDescent="0.25">
      <c r="A61" s="617"/>
      <c r="B61" s="155"/>
      <c r="C61" s="49"/>
      <c r="D61" s="49"/>
      <c r="E61" s="95"/>
      <c r="F61" s="4582"/>
      <c r="G61" s="4582"/>
      <c r="H61" s="117"/>
      <c r="I61" s="4582"/>
      <c r="J61" s="4582"/>
      <c r="K61" s="56"/>
      <c r="L61" s="4582"/>
      <c r="M61" s="4582"/>
      <c r="N61" s="117"/>
      <c r="T61" s="56"/>
      <c r="W61" s="56"/>
      <c r="X61" s="4582"/>
      <c r="Y61" s="4582"/>
      <c r="Z61" s="117"/>
      <c r="AA61" s="4582"/>
      <c r="AB61" s="4583"/>
      <c r="AC61" s="1030"/>
      <c r="AD61" s="4583"/>
      <c r="AE61" s="4583"/>
      <c r="AF61" s="1030"/>
      <c r="AG61" s="1986"/>
      <c r="AH61" s="1986"/>
      <c r="AI61" s="1989"/>
      <c r="AJ61" s="1997"/>
      <c r="AK61" s="1986"/>
    </row>
    <row r="62" spans="1:37" ht="12" customHeight="1" thickBot="1" x14ac:dyDescent="0.25">
      <c r="A62" s="617"/>
      <c r="B62" s="155"/>
      <c r="C62" s="49"/>
      <c r="D62" s="49"/>
      <c r="F62" s="118" t="str">
        <f>IF(PDs!$R$15&lt;Metamagia!H59,"Nv "&amp;Metamagia!H59,"")</f>
        <v/>
      </c>
      <c r="G62" s="1960"/>
      <c r="H62" s="117">
        <v>5</v>
      </c>
      <c r="I62" s="4582"/>
      <c r="J62" s="4582"/>
      <c r="K62" s="56"/>
      <c r="L62" s="118" t="str">
        <f>IF(PDs!$R$15&lt;Metamagia!N59,"Nv "&amp;Metamagia!N59,"")</f>
        <v/>
      </c>
      <c r="M62" s="1960"/>
      <c r="N62" s="117">
        <v>5</v>
      </c>
      <c r="T62" s="56"/>
      <c r="W62" s="143"/>
      <c r="X62" s="118" t="str">
        <f>IF(PDs!$R$15&lt;Metamagia!Z59,"Nv "&amp;Metamagia!Z59,"")</f>
        <v/>
      </c>
      <c r="Y62" s="1960"/>
      <c r="Z62" s="117">
        <v>5</v>
      </c>
      <c r="AA62" s="4582"/>
      <c r="AB62" s="4583"/>
      <c r="AC62" s="1030"/>
      <c r="AD62" s="2054" t="str">
        <f>IF(PDs!$R$15&lt;Metamagia!AF59,"Nv "&amp;Metamagia!AF59,"")</f>
        <v/>
      </c>
      <c r="AE62" s="2008"/>
      <c r="AF62" s="1030">
        <v>5</v>
      </c>
      <c r="AG62" s="1986"/>
      <c r="AH62" s="1986"/>
      <c r="AI62" s="2002"/>
      <c r="AJ62" s="1997"/>
      <c r="AK62" s="1986"/>
    </row>
    <row r="63" spans="1:37" ht="12" customHeight="1" thickBot="1" x14ac:dyDescent="0.25">
      <c r="A63" s="617"/>
      <c r="B63" s="155"/>
      <c r="C63" s="49"/>
      <c r="D63" s="49"/>
      <c r="F63" s="99">
        <f>IF(G62&gt;0,1,0)</f>
        <v>0</v>
      </c>
      <c r="G63" s="153"/>
      <c r="H63" s="56"/>
      <c r="I63" s="118" t="str">
        <f>IF(PDs!$R$15&lt;Metamagia!K60,"Nv "&amp;Metamagia!K60,"")</f>
        <v/>
      </c>
      <c r="J63" s="1960"/>
      <c r="K63" s="117">
        <v>5</v>
      </c>
      <c r="L63" s="99">
        <f>IF(M62&gt;0,1,0)</f>
        <v>0</v>
      </c>
      <c r="N63" s="52"/>
      <c r="X63" s="99">
        <f>IF(Y62&gt;0,1,0)</f>
        <v>0</v>
      </c>
      <c r="Y63" s="153"/>
      <c r="Z63" s="56"/>
      <c r="AA63" s="118" t="str">
        <f>IF(PDs!$R$15&lt;Metamagia!AC60,"Nv "&amp;Metamagia!AC60,"")</f>
        <v/>
      </c>
      <c r="AB63" s="2008"/>
      <c r="AC63" s="1030">
        <v>5</v>
      </c>
      <c r="AD63" s="766">
        <f>IF(AE62&gt;0,1,0)</f>
        <v>0</v>
      </c>
      <c r="AE63" s="1986"/>
      <c r="AF63" s="2007"/>
      <c r="AG63" s="1986"/>
      <c r="AH63" s="1986"/>
      <c r="AI63" s="2002"/>
      <c r="AJ63" s="1997"/>
      <c r="AK63" s="1986"/>
    </row>
    <row r="64" spans="1:37" ht="12" customHeight="1" x14ac:dyDescent="0.2">
      <c r="A64" s="617"/>
      <c r="B64" s="155"/>
      <c r="D64" s="49"/>
      <c r="E64" s="49"/>
      <c r="G64" s="156"/>
      <c r="H64" s="157"/>
      <c r="I64" s="99">
        <f>IF(J63&gt;0,1,0)</f>
        <v>0</v>
      </c>
      <c r="K64" s="56"/>
      <c r="Z64" s="56"/>
      <c r="AA64" s="99">
        <f>IF(AB63&gt;0,1,0)</f>
        <v>0</v>
      </c>
      <c r="AB64" s="1986"/>
      <c r="AC64" s="1986"/>
      <c r="AD64" s="1986"/>
      <c r="AE64" s="1986"/>
      <c r="AF64" s="1986"/>
      <c r="AG64" s="1986"/>
      <c r="AH64" s="1986"/>
      <c r="AI64" s="2002"/>
      <c r="AJ64" s="1997"/>
      <c r="AK64" s="1986"/>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5"/>
      <c r="AC65" s="2015"/>
      <c r="AD65" s="2015"/>
      <c r="AE65" s="2015"/>
      <c r="AF65" s="2015"/>
      <c r="AG65" s="2015"/>
      <c r="AH65" s="2015"/>
      <c r="AI65" s="2010"/>
      <c r="AJ65" s="1997"/>
      <c r="AK65" s="1986"/>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7"/>
      <c r="AC66" s="1997"/>
      <c r="AD66" s="1997"/>
      <c r="AE66" s="1997"/>
      <c r="AF66" s="1997"/>
      <c r="AG66" s="1997"/>
      <c r="AH66" s="1997"/>
      <c r="AI66" s="1997"/>
      <c r="AJ66" s="1997"/>
      <c r="AK66" s="2758"/>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773" priority="74" stopIfTrue="1" operator="greaterThan">
      <formula>$P$37</formula>
    </cfRule>
  </conditionalFormatting>
  <conditionalFormatting sqref="F11:G13">
    <cfRule type="expression" dxfId="772" priority="69" stopIfTrue="1">
      <formula>$G$14&gt;0</formula>
    </cfRule>
  </conditionalFormatting>
  <conditionalFormatting sqref="AA60:AB62">
    <cfRule type="expression" dxfId="771" priority="68" stopIfTrue="1">
      <formula>$AB$63&gt;0</formula>
    </cfRule>
  </conditionalFormatting>
  <conditionalFormatting sqref="AD59:AE61">
    <cfRule type="expression" dxfId="770" priority="67" stopIfTrue="1">
      <formula>$AE$62&gt;0</formula>
    </cfRule>
  </conditionalFormatting>
  <conditionalFormatting sqref="X59:Y61">
    <cfRule type="expression" dxfId="769" priority="66" stopIfTrue="1">
      <formula>$Y$62&gt;0</formula>
    </cfRule>
  </conditionalFormatting>
  <conditionalFormatting sqref="AA55:AB57">
    <cfRule type="expression" dxfId="768" priority="65" stopIfTrue="1">
      <formula>$AB$58&gt;0</formula>
    </cfRule>
  </conditionalFormatting>
  <conditionalFormatting sqref="AD50:AE52">
    <cfRule type="expression" dxfId="767" priority="64" stopIfTrue="1">
      <formula>$AE$53&gt;0</formula>
    </cfRule>
  </conditionalFormatting>
  <conditionalFormatting sqref="AG50:AH52">
    <cfRule type="expression" dxfId="766" priority="63" stopIfTrue="1">
      <formula>$AH$53&gt;0</formula>
    </cfRule>
  </conditionalFormatting>
  <conditionalFormatting sqref="AG42:AH44">
    <cfRule type="expression" dxfId="765" priority="62" stopIfTrue="1">
      <formula>$AH$45&gt;0</formula>
    </cfRule>
  </conditionalFormatting>
  <conditionalFormatting sqref="AD44:AE46">
    <cfRule type="expression" dxfId="764" priority="61" stopIfTrue="1">
      <formula>$AE$47&gt;0</formula>
    </cfRule>
  </conditionalFormatting>
  <conditionalFormatting sqref="AA50:AB52">
    <cfRule type="expression" dxfId="763" priority="60" stopIfTrue="1">
      <formula>$AB$53&gt;0</formula>
    </cfRule>
  </conditionalFormatting>
  <conditionalFormatting sqref="X50:Y52">
    <cfRule type="expression" dxfId="762" priority="59" stopIfTrue="1">
      <formula>$Y$53&gt;0</formula>
    </cfRule>
  </conditionalFormatting>
  <conditionalFormatting sqref="AA45:AB47">
    <cfRule type="expression" dxfId="761" priority="58" stopIfTrue="1">
      <formula>$AB$48&gt;0</formula>
    </cfRule>
  </conditionalFormatting>
  <conditionalFormatting sqref="U50:V52">
    <cfRule type="expression" dxfId="760" priority="57" stopIfTrue="1">
      <formula>$V$53&gt;0</formula>
    </cfRule>
  </conditionalFormatting>
  <conditionalFormatting sqref="X44:Y46">
    <cfRule type="expression" dxfId="759" priority="56" stopIfTrue="1">
      <formula>$Y$47&gt;0</formula>
    </cfRule>
  </conditionalFormatting>
  <conditionalFormatting sqref="AA40:AB42">
    <cfRule type="expression" dxfId="758" priority="55" stopIfTrue="1">
      <formula>$AB$43&gt;0</formula>
    </cfRule>
  </conditionalFormatting>
  <conditionalFormatting sqref="AD37:AE39">
    <cfRule type="expression" dxfId="757" priority="54" stopIfTrue="1">
      <formula>$AE$40&gt;0</formula>
    </cfRule>
  </conditionalFormatting>
  <conditionalFormatting sqref="AG35:AH37">
    <cfRule type="expression" dxfId="756" priority="53" stopIfTrue="1">
      <formula>$AH$38&gt;0</formula>
    </cfRule>
  </conditionalFormatting>
  <conditionalFormatting sqref="R45:S47">
    <cfRule type="expression" dxfId="755" priority="52" stopIfTrue="1">
      <formula>$S$48&gt;0</formula>
    </cfRule>
  </conditionalFormatting>
  <conditionalFormatting sqref="R50:S52">
    <cfRule type="expression" dxfId="754" priority="51" stopIfTrue="1">
      <formula>$S$53&gt;0</formula>
    </cfRule>
  </conditionalFormatting>
  <conditionalFormatting sqref="R55:S57">
    <cfRule type="expression" dxfId="753" priority="50" stopIfTrue="1">
      <formula>$S$58&gt;0</formula>
    </cfRule>
  </conditionalFormatting>
  <conditionalFormatting sqref="O50:P52">
    <cfRule type="expression" dxfId="752" priority="49" stopIfTrue="1">
      <formula>$P$53&gt;0</formula>
    </cfRule>
  </conditionalFormatting>
  <conditionalFormatting sqref="L59:M61">
    <cfRule type="expression" dxfId="751" priority="48" stopIfTrue="1">
      <formula>$M$62&gt;0</formula>
    </cfRule>
  </conditionalFormatting>
  <conditionalFormatting sqref="I60:J62">
    <cfRule type="expression" dxfId="750" priority="47" stopIfTrue="1">
      <formula>$J$63&gt;0</formula>
    </cfRule>
  </conditionalFormatting>
  <conditionalFormatting sqref="F59:G61">
    <cfRule type="expression" dxfId="749" priority="46" stopIfTrue="1">
      <formula>$G$62&gt;0</formula>
    </cfRule>
  </conditionalFormatting>
  <conditionalFormatting sqref="I55:J57">
    <cfRule type="expression" dxfId="748" priority="45" stopIfTrue="1">
      <formula>$J$58&gt;0</formula>
    </cfRule>
  </conditionalFormatting>
  <conditionalFormatting sqref="L50:M52">
    <cfRule type="expression" dxfId="747" priority="44" stopIfTrue="1">
      <formula>$M$53&gt;0</formula>
    </cfRule>
  </conditionalFormatting>
  <conditionalFormatting sqref="I50:J52">
    <cfRule type="expression" dxfId="746" priority="43" stopIfTrue="1">
      <formula>$J$53&gt;0</formula>
    </cfRule>
  </conditionalFormatting>
  <conditionalFormatting sqref="F50:G52">
    <cfRule type="expression" dxfId="745" priority="42" stopIfTrue="1">
      <formula>$G$53&gt;0</formula>
    </cfRule>
  </conditionalFormatting>
  <conditionalFormatting sqref="C50:D52">
    <cfRule type="expression" dxfId="744" priority="41" stopIfTrue="1">
      <formula>$D$53&gt;0</formula>
    </cfRule>
  </conditionalFormatting>
  <conditionalFormatting sqref="L44:M46">
    <cfRule type="expression" dxfId="743" priority="40" stopIfTrue="1">
      <formula>$M$47&gt;0</formula>
    </cfRule>
  </conditionalFormatting>
  <conditionalFormatting sqref="I45:J47">
    <cfRule type="expression" dxfId="742" priority="39" stopIfTrue="1">
      <formula>$J$48&gt;0</formula>
    </cfRule>
  </conditionalFormatting>
  <conditionalFormatting sqref="F44:G46">
    <cfRule type="expression" dxfId="741" priority="38" stopIfTrue="1">
      <formula>$G$47&gt;0</formula>
    </cfRule>
  </conditionalFormatting>
  <conditionalFormatting sqref="C42:D44">
    <cfRule type="expression" dxfId="740" priority="34" stopIfTrue="1">
      <formula>$D$45&gt;0</formula>
    </cfRule>
    <cfRule type="expression" dxfId="739" priority="37" stopIfTrue="1">
      <formula>$D$45&gt;0</formula>
    </cfRule>
  </conditionalFormatting>
  <conditionalFormatting sqref="I40:J42">
    <cfRule type="expression" dxfId="738" priority="36" stopIfTrue="1">
      <formula>$J$43&gt;0</formula>
    </cfRule>
  </conditionalFormatting>
  <conditionalFormatting sqref="L37:M39">
    <cfRule type="expression" dxfId="737" priority="35" stopIfTrue="1">
      <formula>$M$40&gt;0</formula>
    </cfRule>
  </conditionalFormatting>
  <conditionalFormatting sqref="C35:D37">
    <cfRule type="expression" dxfId="736" priority="33" stopIfTrue="1">
      <formula>$D$38&gt;0</formula>
    </cfRule>
  </conditionalFormatting>
  <conditionalFormatting sqref="F33:G35">
    <cfRule type="expression" dxfId="735" priority="32" stopIfTrue="1">
      <formula>$G$36&gt;0</formula>
    </cfRule>
  </conditionalFormatting>
  <conditionalFormatting sqref="I30:J32">
    <cfRule type="expression" dxfId="734" priority="31" stopIfTrue="1">
      <formula>$J$33&gt;0</formula>
    </cfRule>
  </conditionalFormatting>
  <conditionalFormatting sqref="C28:D30">
    <cfRule type="expression" dxfId="733" priority="30" stopIfTrue="1">
      <formula>$D$31&gt;0</formula>
    </cfRule>
  </conditionalFormatting>
  <conditionalFormatting sqref="F26:G28">
    <cfRule type="expression" dxfId="732" priority="29" stopIfTrue="1">
      <formula>$G$29&gt;0</formula>
    </cfRule>
  </conditionalFormatting>
  <conditionalFormatting sqref="I25:J27">
    <cfRule type="expression" dxfId="731" priority="28" stopIfTrue="1">
      <formula>$J$28&gt;0</formula>
    </cfRule>
  </conditionalFormatting>
  <conditionalFormatting sqref="L26:M28">
    <cfRule type="expression" dxfId="730" priority="27" stopIfTrue="1">
      <formula>$M$29&gt;0</formula>
    </cfRule>
  </conditionalFormatting>
  <conditionalFormatting sqref="C20:D22">
    <cfRule type="expression" dxfId="729" priority="26" stopIfTrue="1">
      <formula>$D$23&gt;0</formula>
    </cfRule>
  </conditionalFormatting>
  <conditionalFormatting sqref="F20:G22">
    <cfRule type="expression" dxfId="728" priority="25" stopIfTrue="1">
      <formula>$G$23&gt;0</formula>
    </cfRule>
  </conditionalFormatting>
  <conditionalFormatting sqref="I20:J22">
    <cfRule type="expression" dxfId="727" priority="24" stopIfTrue="1">
      <formula>$J$23&gt;0</formula>
    </cfRule>
  </conditionalFormatting>
  <conditionalFormatting sqref="I10:J12">
    <cfRule type="expression" dxfId="726" priority="23" stopIfTrue="1">
      <formula>$J$13&gt;0</formula>
    </cfRule>
  </conditionalFormatting>
  <conditionalFormatting sqref="I15:J17">
    <cfRule type="expression" dxfId="725" priority="22" stopIfTrue="1">
      <formula>$J$18&gt;0</formula>
    </cfRule>
  </conditionalFormatting>
  <conditionalFormatting sqref="L11:M13">
    <cfRule type="expression" dxfId="724" priority="21" stopIfTrue="1">
      <formula>$M$14&gt;0</formula>
    </cfRule>
  </conditionalFormatting>
  <conditionalFormatting sqref="L20:M22">
    <cfRule type="expression" dxfId="723" priority="20" stopIfTrue="1">
      <formula>$M$23&gt;0</formula>
    </cfRule>
  </conditionalFormatting>
  <conditionalFormatting sqref="O20:P22">
    <cfRule type="expression" dxfId="722" priority="19" stopIfTrue="1">
      <formula>$P$23&gt;0</formula>
    </cfRule>
  </conditionalFormatting>
  <conditionalFormatting sqref="R15:S17">
    <cfRule type="expression" dxfId="721" priority="18" stopIfTrue="1">
      <formula>$S$18&gt;0</formula>
    </cfRule>
  </conditionalFormatting>
  <conditionalFormatting sqref="R20:S22">
    <cfRule type="expression" dxfId="720" priority="17" stopIfTrue="1">
      <formula>$S$23&gt;0</formula>
    </cfRule>
  </conditionalFormatting>
  <conditionalFormatting sqref="R25:S27">
    <cfRule type="expression" dxfId="719" priority="16" stopIfTrue="1">
      <formula>$S$28&gt;0</formula>
    </cfRule>
  </conditionalFormatting>
  <conditionalFormatting sqref="U20:V22">
    <cfRule type="expression" dxfId="718" priority="15" stopIfTrue="1">
      <formula>$V$23&gt;0</formula>
    </cfRule>
  </conditionalFormatting>
  <conditionalFormatting sqref="X11:Y13">
    <cfRule type="expression" dxfId="717" priority="14" stopIfTrue="1">
      <formula>$Y$14&gt;0</formula>
    </cfRule>
  </conditionalFormatting>
  <conditionalFormatting sqref="X20:Y22">
    <cfRule type="expression" dxfId="716" priority="13" stopIfTrue="1">
      <formula>$Y$23&gt;0</formula>
    </cfRule>
  </conditionalFormatting>
  <conditionalFormatting sqref="X26:Y28">
    <cfRule type="expression" dxfId="715" priority="12" stopIfTrue="1">
      <formula>$Y$29&gt;0</formula>
    </cfRule>
  </conditionalFormatting>
  <conditionalFormatting sqref="X33:Y35">
    <cfRule type="expression" dxfId="714" priority="11" stopIfTrue="1">
      <formula>$Y$36&gt;0</formula>
    </cfRule>
  </conditionalFormatting>
  <conditionalFormatting sqref="AA10:AB12">
    <cfRule type="expression" dxfId="713" priority="10" stopIfTrue="1">
      <formula>$AB$13&gt;0</formula>
    </cfRule>
  </conditionalFormatting>
  <conditionalFormatting sqref="AA15:AB17">
    <cfRule type="expression" dxfId="712" priority="9" stopIfTrue="1">
      <formula>$AB$18&gt;0</formula>
    </cfRule>
  </conditionalFormatting>
  <conditionalFormatting sqref="AA20:AB22">
    <cfRule type="expression" dxfId="711" priority="8" stopIfTrue="1">
      <formula>$AB$23&gt;0</formula>
    </cfRule>
  </conditionalFormatting>
  <conditionalFormatting sqref="AA25:AB27">
    <cfRule type="expression" dxfId="710" priority="7" stopIfTrue="1">
      <formula>$AB$28&gt;0</formula>
    </cfRule>
  </conditionalFormatting>
  <conditionalFormatting sqref="AA30:AB32">
    <cfRule type="expression" dxfId="709" priority="6" stopIfTrue="1">
      <formula>$AB$33&gt;0</formula>
    </cfRule>
  </conditionalFormatting>
  <conditionalFormatting sqref="AD11:AE13">
    <cfRule type="expression" dxfId="708" priority="5" stopIfTrue="1">
      <formula>$AE$14&gt;0</formula>
    </cfRule>
  </conditionalFormatting>
  <conditionalFormatting sqref="AD20:AE22">
    <cfRule type="expression" dxfId="707" priority="4" stopIfTrue="1">
      <formula>$AE$23&gt;0</formula>
    </cfRule>
  </conditionalFormatting>
  <conditionalFormatting sqref="AD26:AE28">
    <cfRule type="expression" dxfId="706" priority="3" stopIfTrue="1">
      <formula>$AE$29&gt;0</formula>
    </cfRule>
  </conditionalFormatting>
  <conditionalFormatting sqref="AG20:AH22">
    <cfRule type="expression" dxfId="705" priority="2" stopIfTrue="1">
      <formula>$AH$23&gt;0</formula>
    </cfRule>
  </conditionalFormatting>
  <conditionalFormatting sqref="AG28:AH30">
    <cfRule type="expression" dxfId="70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7"/>
      <c r="AB1" s="2296"/>
      <c r="AC1" s="2755" t="s">
        <v>9024</v>
      </c>
      <c r="AD1" s="2784"/>
      <c r="AE1" s="2784"/>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7"/>
      <c r="AB2" s="2296"/>
      <c r="AC2" s="2784"/>
      <c r="AD2" s="2784"/>
      <c r="AE2" s="2784"/>
    </row>
    <row r="3" spans="1:31" ht="12" customHeight="1" thickBot="1" x14ac:dyDescent="0.25">
      <c r="A3" s="356"/>
      <c r="B3" s="362"/>
      <c r="C3" s="363"/>
      <c r="D3" s="364"/>
      <c r="E3" s="364"/>
      <c r="F3" s="364"/>
      <c r="G3" s="364"/>
      <c r="H3" s="364"/>
      <c r="I3" s="364"/>
      <c r="J3" s="364"/>
      <c r="K3" s="364"/>
      <c r="L3" s="4615" t="str">
        <f>"Sheele ("&amp;VLOOKUP(Sheele!D5,'Tablas Sheele'!C5:G12,5,FALSE)&amp;")"</f>
        <v>Sheele (Haley)</v>
      </c>
      <c r="M3" s="4615"/>
      <c r="N3" s="4615"/>
      <c r="O3" s="4615"/>
      <c r="P3" s="4615"/>
      <c r="Q3" s="364"/>
      <c r="R3" s="364"/>
      <c r="S3" s="364"/>
      <c r="T3" s="364"/>
      <c r="U3" s="364"/>
      <c r="V3" s="364"/>
      <c r="W3" s="364"/>
      <c r="X3" s="364"/>
      <c r="Y3" s="364"/>
      <c r="Z3" s="365"/>
      <c r="AA3" s="2298"/>
      <c r="AB3" s="2296"/>
      <c r="AC3" s="2784"/>
      <c r="AD3" s="2784"/>
      <c r="AE3" s="2784"/>
    </row>
    <row r="4" spans="1:31" ht="12" customHeight="1" thickBot="1" x14ac:dyDescent="0.25">
      <c r="A4" s="356"/>
      <c r="B4" s="362"/>
      <c r="C4" s="366"/>
      <c r="D4" s="4618" t="s">
        <v>2873</v>
      </c>
      <c r="E4" s="4619"/>
      <c r="F4" s="4619" t="s">
        <v>2874</v>
      </c>
      <c r="G4" s="4620"/>
      <c r="H4" s="367"/>
      <c r="I4" s="367"/>
      <c r="J4" s="367"/>
      <c r="K4" s="367"/>
      <c r="L4" s="4616"/>
      <c r="M4" s="4616"/>
      <c r="N4" s="4616"/>
      <c r="O4" s="4616"/>
      <c r="P4" s="4616"/>
      <c r="Q4" s="367"/>
      <c r="R4" s="4629" t="s">
        <v>6399</v>
      </c>
      <c r="S4" s="4629"/>
      <c r="T4" s="4629"/>
      <c r="U4" s="2614">
        <f>VALUE(PDs!R15)</f>
        <v>1</v>
      </c>
      <c r="V4" s="367"/>
      <c r="W4" s="367"/>
      <c r="X4" s="367"/>
      <c r="Y4" s="367"/>
      <c r="Z4" s="368"/>
      <c r="AA4" s="2298"/>
      <c r="AB4" s="2296"/>
      <c r="AC4" s="2784"/>
      <c r="AD4" s="2784"/>
      <c r="AE4" s="2784"/>
    </row>
    <row r="5" spans="1:31" ht="12" customHeight="1" thickBot="1" x14ac:dyDescent="0.25">
      <c r="A5" s="356"/>
      <c r="B5" s="362"/>
      <c r="C5" s="366"/>
      <c r="D5" s="4621" t="s">
        <v>1612</v>
      </c>
      <c r="E5" s="4622"/>
      <c r="F5" s="4622" t="s">
        <v>1389</v>
      </c>
      <c r="G5" s="4623"/>
      <c r="H5" s="367"/>
      <c r="I5" s="367"/>
      <c r="J5" s="367"/>
      <c r="K5" s="367"/>
      <c r="L5" s="4616"/>
      <c r="M5" s="4616"/>
      <c r="N5" s="4616"/>
      <c r="O5" s="4616"/>
      <c r="P5" s="4616"/>
      <c r="Q5" s="367"/>
      <c r="R5" s="4629" t="s">
        <v>9914</v>
      </c>
      <c r="S5" s="4629"/>
      <c r="T5" s="4629"/>
      <c r="U5" s="2611">
        <f>ROUNDUP(IF(U4=0,5,10*U4)/2,0)</f>
        <v>5</v>
      </c>
      <c r="V5" s="4795"/>
      <c r="W5" s="367"/>
      <c r="X5" s="367"/>
      <c r="Y5" s="367"/>
      <c r="Z5" s="368"/>
      <c r="AA5" s="2298"/>
      <c r="AB5" s="2296"/>
      <c r="AC5" s="2784"/>
      <c r="AD5" s="2784"/>
      <c r="AE5" s="2784"/>
    </row>
    <row r="6" spans="1:31" ht="12" customHeight="1" thickBot="1" x14ac:dyDescent="0.25">
      <c r="A6" s="356"/>
      <c r="B6" s="362"/>
      <c r="C6" s="369"/>
      <c r="D6" s="370"/>
      <c r="E6" s="370"/>
      <c r="F6" s="370"/>
      <c r="G6" s="370"/>
      <c r="H6" s="370"/>
      <c r="I6" s="370"/>
      <c r="J6" s="370"/>
      <c r="K6" s="370"/>
      <c r="L6" s="4617"/>
      <c r="M6" s="4617"/>
      <c r="N6" s="4617"/>
      <c r="O6" s="4617"/>
      <c r="P6" s="4617"/>
      <c r="Q6" s="370"/>
      <c r="R6" s="370"/>
      <c r="S6" s="370"/>
      <c r="T6" s="970"/>
      <c r="U6" s="370"/>
      <c r="V6" s="4796"/>
      <c r="W6" s="370"/>
      <c r="X6" s="370"/>
      <c r="Y6" s="370"/>
      <c r="Z6" s="371"/>
      <c r="AA6" s="2298"/>
      <c r="AB6" s="2296"/>
      <c r="AC6" s="2784"/>
      <c r="AD6" s="2784"/>
      <c r="AE6" s="2784"/>
    </row>
    <row r="7" spans="1:31" ht="12" customHeight="1" thickBot="1" x14ac:dyDescent="0.25">
      <c r="A7" s="356"/>
      <c r="B7" s="362"/>
      <c r="AA7" s="2298"/>
      <c r="AB7" s="2296"/>
      <c r="AC7" s="2784"/>
      <c r="AD7" s="2784"/>
      <c r="AE7" s="2784"/>
    </row>
    <row r="8" spans="1:31" ht="12" customHeight="1" x14ac:dyDescent="0.2">
      <c r="A8" s="356"/>
      <c r="B8" s="362"/>
      <c r="C8" s="4681" t="s">
        <v>1372</v>
      </c>
      <c r="D8" s="372"/>
      <c r="E8" s="573" t="s">
        <v>1373</v>
      </c>
      <c r="F8" s="373" t="s">
        <v>1374</v>
      </c>
      <c r="G8" s="374" t="s">
        <v>1357</v>
      </c>
      <c r="H8" s="375" t="s">
        <v>1375</v>
      </c>
      <c r="L8" s="4590" t="s">
        <v>2875</v>
      </c>
      <c r="M8" s="4591"/>
      <c r="N8" s="4591"/>
      <c r="O8" s="4591"/>
      <c r="P8" s="4591"/>
      <c r="Q8" s="2375"/>
      <c r="R8" s="2376" t="s">
        <v>9855</v>
      </c>
      <c r="S8" s="2377" t="s">
        <v>2121</v>
      </c>
      <c r="U8" s="4684" t="s">
        <v>2876</v>
      </c>
      <c r="V8" s="4685"/>
      <c r="W8" s="4685"/>
      <c r="X8" s="4685"/>
      <c r="Y8" s="4685"/>
      <c r="Z8" s="4686"/>
      <c r="AA8" s="2298"/>
      <c r="AB8" s="2296"/>
      <c r="AC8" s="2784"/>
      <c r="AD8" s="2784"/>
      <c r="AE8" s="2784"/>
    </row>
    <row r="9" spans="1:31" ht="12" customHeight="1" thickBot="1" x14ac:dyDescent="0.25">
      <c r="A9" s="356"/>
      <c r="B9" s="362"/>
      <c r="C9" s="4682"/>
      <c r="D9" s="376" t="s">
        <v>1381</v>
      </c>
      <c r="E9" s="569">
        <f>HLOOKUP($D$5,'Tablas Sheele'!$G$17:$N$25,'Tablas Sheele'!E18,)</f>
        <v>8</v>
      </c>
      <c r="F9" s="2575"/>
      <c r="G9" s="377">
        <f>E9+'Tablas Sheele'!D18+IF('Tablas Sheele'!F143&gt;0,2,0)+F9</f>
        <v>8</v>
      </c>
      <c r="H9" s="570">
        <f>IF(G9&lt;1,0,VLOOKUP(G9,Tablas!$C$14:$D$33,2))</f>
        <v>10</v>
      </c>
      <c r="I9" s="333"/>
      <c r="K9" s="333"/>
      <c r="L9" s="4690" t="s">
        <v>1516</v>
      </c>
      <c r="M9" s="4691"/>
      <c r="N9" s="4691"/>
      <c r="O9" s="4692"/>
      <c r="P9" s="4693" t="s">
        <v>2877</v>
      </c>
      <c r="Q9" s="4693"/>
      <c r="R9" s="4693"/>
      <c r="S9" s="4694"/>
      <c r="U9" s="4687"/>
      <c r="V9" s="4688"/>
      <c r="W9" s="4688"/>
      <c r="X9" s="4688"/>
      <c r="Y9" s="4688"/>
      <c r="Z9" s="4689"/>
      <c r="AA9" s="2298"/>
      <c r="AB9" s="2296"/>
      <c r="AC9" s="2784"/>
      <c r="AD9" s="2784"/>
      <c r="AE9" s="2784"/>
    </row>
    <row r="10" spans="1:31" ht="12" customHeight="1" x14ac:dyDescent="0.2">
      <c r="A10" s="356"/>
      <c r="B10" s="362"/>
      <c r="C10" s="4682"/>
      <c r="D10" s="376" t="s">
        <v>1506</v>
      </c>
      <c r="E10" s="569">
        <f>HLOOKUP($D$5,'Tablas Sheele'!$G$17:$N$25,'Tablas Sheele'!E19,)</f>
        <v>2</v>
      </c>
      <c r="F10" s="2576"/>
      <c r="G10" s="377">
        <f>E10+'Tablas Sheele'!D19+F10</f>
        <v>2</v>
      </c>
      <c r="H10" s="570">
        <f>IF(G10&lt;1,0,VLOOKUP(G10,Tablas!$C$14:$D$33,2))</f>
        <v>-20</v>
      </c>
      <c r="I10" s="333"/>
      <c r="L10" s="4637" t="s">
        <v>2878</v>
      </c>
      <c r="M10" s="4638"/>
      <c r="N10" s="4639">
        <f>IF(N21*2+20*'Tablas Sheele'!F103&gt;200, IF(N21*2&gt;=200,N21*2+10*'Tablas Sheele'!F103,200+1/2*(20*'Tablas Sheele'!F103-(200-N21*2))),N21*2+20*'Tablas Sheele'!F103 )</f>
        <v>60</v>
      </c>
      <c r="O10" s="4639"/>
      <c r="P10" s="4638" t="s">
        <v>2879</v>
      </c>
      <c r="Q10" s="4638"/>
      <c r="R10" s="4630">
        <f>IF('Tablas Sheele'!F176&gt;0,MAX(Sheele!N10,H11),H11)</f>
        <v>10</v>
      </c>
      <c r="S10" s="4631"/>
      <c r="U10" s="4643" t="s">
        <v>1411</v>
      </c>
      <c r="V10" s="4644"/>
      <c r="W10" s="4624" t="s">
        <v>2880</v>
      </c>
      <c r="X10" s="4624"/>
      <c r="Y10" s="4624"/>
      <c r="Z10" s="4625"/>
      <c r="AA10" s="2298"/>
      <c r="AB10" s="2296"/>
      <c r="AC10" s="2784"/>
      <c r="AD10" s="2784"/>
      <c r="AE10" s="2784"/>
    </row>
    <row r="11" spans="1:31" ht="12" customHeight="1" x14ac:dyDescent="0.2">
      <c r="A11" s="356"/>
      <c r="B11" s="362"/>
      <c r="C11" s="4682"/>
      <c r="D11" s="376" t="s">
        <v>1386</v>
      </c>
      <c r="E11" s="569">
        <f>HLOOKUP($D$5,'Tablas Sheele'!$G$17:$N$25,'Tablas Sheele'!E20,)</f>
        <v>8</v>
      </c>
      <c r="F11" s="2576"/>
      <c r="G11" s="377">
        <f>E11+'Tablas Sheele'!D20+IF('Tablas Sheele'!F143&gt;0,2,0)+F11</f>
        <v>8</v>
      </c>
      <c r="H11" s="570">
        <f>IF(G11&lt;1,0,VLOOKUP(G11,Tablas!$C$14:$D$33,2))</f>
        <v>10</v>
      </c>
      <c r="L11" s="4637"/>
      <c r="M11" s="4638"/>
      <c r="N11" s="4639"/>
      <c r="O11" s="4639"/>
      <c r="P11" s="4638"/>
      <c r="Q11" s="4638"/>
      <c r="R11" s="4630"/>
      <c r="S11" s="4631"/>
      <c r="U11" s="4645"/>
      <c r="V11" s="4646"/>
      <c r="W11" s="4626" t="s">
        <v>2881</v>
      </c>
      <c r="X11" s="4627"/>
      <c r="Y11" s="4627" t="s">
        <v>2882</v>
      </c>
      <c r="Z11" s="4628"/>
      <c r="AA11" s="2298"/>
      <c r="AB11" s="2296"/>
      <c r="AC11" s="2784"/>
      <c r="AD11" s="2784"/>
      <c r="AE11" s="2784"/>
    </row>
    <row r="12" spans="1:31" ht="12" customHeight="1" thickBot="1" x14ac:dyDescent="0.25">
      <c r="A12" s="356"/>
      <c r="B12" s="294"/>
      <c r="C12" s="4682"/>
      <c r="D12" s="376" t="s">
        <v>1391</v>
      </c>
      <c r="E12" s="569">
        <f>HLOOKUP($D$5,'Tablas Sheele'!$G$17:$N$25,'Tablas Sheele'!E21,)</f>
        <v>2</v>
      </c>
      <c r="F12" s="2576"/>
      <c r="G12" s="377">
        <f>E12+'Tablas Sheele'!D21+IF('Tablas Sheele'!F143&gt;0,2,0)+F12</f>
        <v>2</v>
      </c>
      <c r="H12" s="570">
        <f>IF(G12&lt;1,0,VLOOKUP(G12,Tablas!$C$14:$D$33,2))</f>
        <v>-20</v>
      </c>
      <c r="I12" s="333"/>
      <c r="L12" s="4637" t="s">
        <v>2883</v>
      </c>
      <c r="M12" s="4638"/>
      <c r="N12" s="4639">
        <f>IF(N21*2+20*'Tablas Sheele'!F103&gt;200, IF(N21*2&gt;=200,N21*2+10*'Tablas Sheele'!F103,200+1/2*(20*'Tablas Sheele'!F103-(200-N21*2))),N21*2+20*'Tablas Sheele'!F103 )+IF('Tablas Sheele'!F187&gt;0,40,0)</f>
        <v>60</v>
      </c>
      <c r="O12" s="4639"/>
      <c r="P12" s="4638" t="s">
        <v>2884</v>
      </c>
      <c r="Q12" s="4638"/>
      <c r="R12" s="4630">
        <f>IF('Tablas Sheele'!F176&gt;0,MAX(Sheele!N12,H9),IF(D5="Aire",MAX(N12,H9),H9))</f>
        <v>60</v>
      </c>
      <c r="S12" s="4631"/>
      <c r="U12" s="4632" t="str">
        <f>IF('Tablas Sheele'!F98&gt;0,U4+'Tablas Sheele'!F101,"-")</f>
        <v>-</v>
      </c>
      <c r="V12" s="4633"/>
      <c r="W12" s="4634" t="str">
        <f>IF('Tablas Sheele'!F98&gt;0,150,"-")</f>
        <v>-</v>
      </c>
      <c r="X12" s="4635"/>
      <c r="Y12" s="4634" t="str">
        <f>IF('Tablas Sheele'!F98&gt;0,IF('Tablas Sheele'!F99,N21-10,N21)&amp;" / asalto","-")</f>
        <v>-</v>
      </c>
      <c r="Z12" s="4636"/>
      <c r="AA12" s="2298"/>
      <c r="AB12" s="2296"/>
      <c r="AC12" s="2784"/>
      <c r="AD12" s="2784"/>
      <c r="AE12" s="2784"/>
    </row>
    <row r="13" spans="1:31" ht="12" customHeight="1" x14ac:dyDescent="0.2">
      <c r="A13" s="356"/>
      <c r="B13" s="378"/>
      <c r="C13" s="4682"/>
      <c r="D13" s="376" t="s">
        <v>1394</v>
      </c>
      <c r="E13" s="569">
        <f>HLOOKUP($D$5,'Tablas Sheele'!$G$17:$N$25,'Tablas Sheele'!E22,)</f>
        <v>8</v>
      </c>
      <c r="F13" s="2576"/>
      <c r="G13" s="377">
        <f>E13+'Tablas Sheele'!D22+F13</f>
        <v>8</v>
      </c>
      <c r="H13" s="570">
        <f>IF(G13&lt;1,0,VLOOKUP(G13,Tablas!$C$14:$D$33,2))</f>
        <v>10</v>
      </c>
      <c r="L13" s="4637"/>
      <c r="M13" s="4638"/>
      <c r="N13" s="4639"/>
      <c r="O13" s="4639"/>
      <c r="P13" s="4638"/>
      <c r="Q13" s="4638"/>
      <c r="R13" s="4630"/>
      <c r="S13" s="4631"/>
      <c r="U13" s="4660" t="s">
        <v>9593</v>
      </c>
      <c r="V13" s="4661"/>
      <c r="W13" s="4661"/>
      <c r="X13" s="4661"/>
      <c r="Y13" s="4661"/>
      <c r="Z13" s="4662"/>
      <c r="AA13" s="2298"/>
      <c r="AB13" s="2296"/>
      <c r="AC13" s="2784"/>
      <c r="AD13" s="2784"/>
      <c r="AE13" s="2784"/>
    </row>
    <row r="14" spans="1:31" ht="12" customHeight="1" x14ac:dyDescent="0.2">
      <c r="A14" s="356"/>
      <c r="B14" s="378"/>
      <c r="C14" s="4682"/>
      <c r="D14" s="376" t="s">
        <v>1397</v>
      </c>
      <c r="E14" s="569">
        <f>HLOOKUP($D$5,'Tablas Sheele'!$G$17:$N$25,'Tablas Sheele'!E23,)</f>
        <v>6</v>
      </c>
      <c r="F14" s="2576"/>
      <c r="G14" s="377">
        <f>E14+'Tablas Sheele'!D23+F14</f>
        <v>6</v>
      </c>
      <c r="H14" s="570">
        <f>IF(G14&lt;1,0,VLOOKUP(G14,Tablas!$C$14:$D$33,2))</f>
        <v>5</v>
      </c>
      <c r="L14" s="4637" t="s">
        <v>2885</v>
      </c>
      <c r="M14" s="4663"/>
      <c r="N14" s="4664" t="str">
        <f>IF(D5="Naturaleza","Esencia",D5)</f>
        <v>Aire</v>
      </c>
      <c r="O14" s="4664"/>
      <c r="P14" s="4665" t="s">
        <v>2886</v>
      </c>
      <c r="Q14" s="4638"/>
      <c r="R14" s="4630">
        <f>IF('Tablas Sheele'!F176&gt;0,MAX(Sheele!N12,H11),H11)</f>
        <v>10</v>
      </c>
      <c r="S14" s="4631"/>
      <c r="U14" s="4666" t="str">
        <f>"Gnosis "&amp;IF('Tablas Sheele'!F100&gt;0,30,20)</f>
        <v>Gnosis 20</v>
      </c>
      <c r="V14" s="4667"/>
      <c r="W14" s="4667"/>
      <c r="X14" s="4667"/>
      <c r="Y14" s="4667"/>
      <c r="Z14" s="4668"/>
      <c r="AA14" s="2298"/>
      <c r="AB14" s="2296"/>
      <c r="AC14" s="2784"/>
      <c r="AD14" s="2784"/>
      <c r="AE14" s="2784"/>
    </row>
    <row r="15" spans="1:31" ht="12" customHeight="1" x14ac:dyDescent="0.2">
      <c r="A15" s="356"/>
      <c r="B15" s="378"/>
      <c r="C15" s="4682"/>
      <c r="D15" s="376" t="s">
        <v>1399</v>
      </c>
      <c r="E15" s="1954">
        <f>HLOOKUP($D$5,'Tablas Sheele'!$G$17:$N$25,'Tablas Sheele'!E24,)</f>
        <v>8</v>
      </c>
      <c r="F15" s="2577"/>
      <c r="G15" s="377">
        <f>E15+'Tablas Sheele'!D24+F15</f>
        <v>8</v>
      </c>
      <c r="H15" s="570">
        <f>IF(G15&lt;1,0,VLOOKUP(G15,Tablas!$C$14:$D$33,2))</f>
        <v>10</v>
      </c>
      <c r="L15" s="4637"/>
      <c r="M15" s="4663"/>
      <c r="N15" s="4669">
        <f>IF(20+10*'Tablas Sheele'!F104&lt;=50,20+10*'Tablas Sheele'!F104,50+1/2*(10*'Tablas Sheele'!F104-(50-20)))</f>
        <v>20</v>
      </c>
      <c r="O15" s="4670"/>
      <c r="P15" s="4665"/>
      <c r="Q15" s="4638"/>
      <c r="R15" s="4630"/>
      <c r="S15" s="4631"/>
      <c r="U15" s="4671" t="s">
        <v>2887</v>
      </c>
      <c r="V15" s="4672"/>
      <c r="W15" s="4672"/>
      <c r="X15" s="4672"/>
      <c r="Y15" s="4672"/>
      <c r="Z15" s="4673"/>
      <c r="AA15" s="2298"/>
      <c r="AB15" s="2296"/>
      <c r="AC15" s="2784"/>
      <c r="AD15" s="2784"/>
      <c r="AE15" s="2784"/>
    </row>
    <row r="16" spans="1:31" ht="12" customHeight="1" thickBot="1" x14ac:dyDescent="0.25">
      <c r="A16" s="356"/>
      <c r="B16" s="378"/>
      <c r="C16" s="4683"/>
      <c r="D16" s="379" t="s">
        <v>1400</v>
      </c>
      <c r="E16" s="1953">
        <f>HLOOKUP($D$5,'Tablas Sheele'!$G$17:$N$25,'Tablas Sheele'!E25,)</f>
        <v>6</v>
      </c>
      <c r="F16" s="2578"/>
      <c r="G16" s="380">
        <f>E16+'Tablas Sheele'!D25+F16</f>
        <v>6</v>
      </c>
      <c r="H16" s="571">
        <f>IF(G16&lt;1,0,VLOOKUP(G16,Tablas!$C$14:$D$33,2))</f>
        <v>5</v>
      </c>
      <c r="L16" s="4637" t="s">
        <v>2888</v>
      </c>
      <c r="M16" s="4638"/>
      <c r="N16" s="4679">
        <f>Místicos!L12</f>
        <v>10</v>
      </c>
      <c r="O16" s="4679"/>
      <c r="P16" s="4638" t="s">
        <v>1401</v>
      </c>
      <c r="Q16" s="4638"/>
      <c r="R16" s="4647">
        <f>Turno_SinArmas_final+IF('Tablas Sheele'!F121,50,0)</f>
        <v>60</v>
      </c>
      <c r="S16" s="4648"/>
      <c r="U16" s="4674"/>
      <c r="V16" s="4675"/>
      <c r="W16" s="4675"/>
      <c r="X16" s="4675"/>
      <c r="Y16" s="4675"/>
      <c r="Z16" s="4676"/>
      <c r="AA16" s="2298"/>
      <c r="AB16" s="2296"/>
      <c r="AC16" s="2784"/>
      <c r="AD16" s="2784"/>
      <c r="AE16" s="2784"/>
    </row>
    <row r="17" spans="1:31" ht="12" customHeight="1" thickBot="1" x14ac:dyDescent="0.25">
      <c r="A17" s="356"/>
      <c r="B17" s="378"/>
      <c r="L17" s="4677"/>
      <c r="M17" s="4678"/>
      <c r="N17" s="4680"/>
      <c r="O17" s="4639"/>
      <c r="P17" s="4638"/>
      <c r="Q17" s="4638"/>
      <c r="R17" s="4647"/>
      <c r="S17" s="4648"/>
      <c r="U17" s="4649" t="s">
        <v>2889</v>
      </c>
      <c r="V17" s="4650"/>
      <c r="W17" s="4650"/>
      <c r="X17" s="4650"/>
      <c r="Y17" s="4650"/>
      <c r="Z17" s="4651"/>
      <c r="AA17" s="2298"/>
      <c r="AB17" s="2296"/>
      <c r="AC17" s="2784"/>
      <c r="AD17" s="2784"/>
      <c r="AE17" s="2784"/>
    </row>
    <row r="18" spans="1:31" ht="12" customHeight="1" thickBot="1" x14ac:dyDescent="0.25">
      <c r="A18" s="356"/>
      <c r="B18" s="378"/>
      <c r="C18" s="4136" t="s">
        <v>2890</v>
      </c>
      <c r="D18" s="4137"/>
      <c r="E18" s="4137"/>
      <c r="F18" s="4137"/>
      <c r="G18" s="4137"/>
      <c r="H18" s="4137"/>
      <c r="I18" s="4138"/>
      <c r="J18" s="381">
        <f>IF(F5='Tablas Sheele'!L4,0,$U$4+IF($F$5='Tablas Sheele'!L6,2,0)+COUNTBLANK(C20:C31)+COUNTBLANK(G20:G31)-24+IF(Tablas!G385&gt;0,2,0))</f>
        <v>0</v>
      </c>
      <c r="L18" s="1637"/>
      <c r="M18" s="1638"/>
      <c r="N18" s="1639" t="s">
        <v>2891</v>
      </c>
      <c r="O18" s="1640">
        <f>5*'Tablas Sheele'!F105</f>
        <v>0</v>
      </c>
      <c r="P18" s="1641"/>
      <c r="Q18" s="1641"/>
      <c r="R18" s="1642" t="s">
        <v>1432</v>
      </c>
      <c r="S18" s="1643">
        <f>VLOOKUP(G11+G9,Tabla_NumAcciones,2)</f>
        <v>3</v>
      </c>
      <c r="U18" s="4652"/>
      <c r="V18" s="4653"/>
      <c r="W18" s="4653"/>
      <c r="X18" s="4653"/>
      <c r="Y18" s="4653"/>
      <c r="Z18" s="4654"/>
      <c r="AA18" s="2298"/>
      <c r="AB18" s="2296"/>
      <c r="AC18" s="2784"/>
      <c r="AD18" s="2784"/>
      <c r="AE18" s="2784"/>
    </row>
    <row r="19" spans="1:31" ht="12" customHeight="1" x14ac:dyDescent="0.2">
      <c r="A19" s="356"/>
      <c r="B19" s="378"/>
      <c r="C19" s="4655" t="s">
        <v>2892</v>
      </c>
      <c r="D19" s="4656"/>
      <c r="E19" s="4656"/>
      <c r="F19" s="4656"/>
      <c r="G19" s="4657" t="str">
        <f>"Mejoras de "&amp;D5</f>
        <v>Mejoras de Aire</v>
      </c>
      <c r="H19" s="4658"/>
      <c r="I19" s="4658"/>
      <c r="J19" s="4659"/>
      <c r="AA19" s="2298"/>
      <c r="AB19" s="2296"/>
      <c r="AC19" s="2784" t="str">
        <f>"Mejoras_"&amp;D5</f>
        <v>Mejoras_Aire</v>
      </c>
      <c r="AD19" s="2784"/>
      <c r="AE19" s="2784"/>
    </row>
    <row r="20" spans="1:31" ht="12" customHeight="1" thickBot="1" x14ac:dyDescent="0.25">
      <c r="A20" s="356"/>
      <c r="B20" s="378"/>
      <c r="C20" s="4711"/>
      <c r="D20" s="3269"/>
      <c r="E20" s="3269"/>
      <c r="F20" s="4712"/>
      <c r="G20" s="4713"/>
      <c r="H20" s="3255"/>
      <c r="I20" s="3255"/>
      <c r="J20" s="4714"/>
      <c r="K20" s="521" t="s">
        <v>2893</v>
      </c>
      <c r="AA20" s="2298"/>
      <c r="AB20" s="2296"/>
      <c r="AC20" s="2784"/>
      <c r="AD20" s="2784"/>
      <c r="AE20" s="2784"/>
    </row>
    <row r="21" spans="1:31" ht="12" customHeight="1" thickBot="1" x14ac:dyDescent="0.25">
      <c r="A21" s="356"/>
      <c r="B21" s="362"/>
      <c r="C21" s="3263"/>
      <c r="D21" s="3117"/>
      <c r="E21" s="3117"/>
      <c r="F21" s="4698"/>
      <c r="G21" s="4699"/>
      <c r="H21" s="3117"/>
      <c r="I21" s="3117"/>
      <c r="J21" s="3118"/>
      <c r="K21" s="382"/>
      <c r="L21" s="4715" t="s">
        <v>2894</v>
      </c>
      <c r="M21" s="383" t="s">
        <v>1567</v>
      </c>
      <c r="N21" s="384">
        <f>25+5*U4</f>
        <v>30</v>
      </c>
      <c r="P21" s="4618" t="s">
        <v>2895</v>
      </c>
      <c r="Q21" s="4619"/>
      <c r="R21" s="4619"/>
      <c r="S21" s="4620"/>
      <c r="U21" s="4136" t="s">
        <v>1403</v>
      </c>
      <c r="V21" s="4137"/>
      <c r="W21" s="4137"/>
      <c r="X21" s="4137"/>
      <c r="Y21" s="4137"/>
      <c r="Z21" s="4138"/>
      <c r="AA21" s="2298"/>
      <c r="AB21" s="2296"/>
      <c r="AC21" s="2784"/>
      <c r="AD21" s="2784"/>
      <c r="AE21" s="2784"/>
    </row>
    <row r="22" spans="1:31" ht="12" customHeight="1" thickBot="1" x14ac:dyDescent="0.25">
      <c r="A22" s="356"/>
      <c r="B22" s="362"/>
      <c r="C22" s="3263"/>
      <c r="D22" s="3117"/>
      <c r="E22" s="3117"/>
      <c r="F22" s="4698"/>
      <c r="G22" s="4699"/>
      <c r="H22" s="3117"/>
      <c r="I22" s="3117"/>
      <c r="J22" s="3118"/>
      <c r="K22" s="382"/>
      <c r="L22" s="4716"/>
      <c r="M22" s="385" t="s">
        <v>1467</v>
      </c>
      <c r="N22" s="386">
        <f>Principal!J58-Principal!I58+IF('Tablas Sheele'!F$165&gt;0,50,0)</f>
        <v>30</v>
      </c>
      <c r="P22" s="4700" t="s">
        <v>2896</v>
      </c>
      <c r="Q22" s="4701"/>
      <c r="R22" s="4704">
        <f>20+10*ROUNDDOWN(Controlar_final/50,0)+MIN(100,25*'Tablas Sheele'!F108)</f>
        <v>20</v>
      </c>
      <c r="S22" s="4705"/>
      <c r="U22" s="4695"/>
      <c r="V22" s="4696"/>
      <c r="W22" s="4696"/>
      <c r="X22" s="4696"/>
      <c r="Y22" s="4696"/>
      <c r="Z22" s="4697"/>
      <c r="AA22" s="2298"/>
      <c r="AB22" s="2296"/>
      <c r="AC22" s="2784"/>
      <c r="AD22" s="2784"/>
      <c r="AE22" s="2784"/>
    </row>
    <row r="23" spans="1:31" ht="12" customHeight="1" thickBot="1" x14ac:dyDescent="0.25">
      <c r="A23" s="356"/>
      <c r="B23" s="362"/>
      <c r="C23" s="3263"/>
      <c r="D23" s="3117"/>
      <c r="E23" s="3117"/>
      <c r="F23" s="4698"/>
      <c r="G23" s="4699"/>
      <c r="H23" s="3117"/>
      <c r="I23" s="3117"/>
      <c r="J23" s="3118"/>
      <c r="L23" s="4716"/>
      <c r="M23" s="385" t="s">
        <v>1469</v>
      </c>
      <c r="N23" s="386">
        <f>Principal!J59-Principal!I59+IF('Tablas Sheele'!F$165&gt;0,50,0)</f>
        <v>30</v>
      </c>
      <c r="P23" s="4702"/>
      <c r="Q23" s="4703"/>
      <c r="R23" s="4706"/>
      <c r="S23" s="4707"/>
      <c r="U23" s="4708" t="s">
        <v>6733</v>
      </c>
      <c r="V23" s="4709"/>
      <c r="W23" s="4709"/>
      <c r="X23" s="4709"/>
      <c r="Y23" s="4710"/>
      <c r="Z23" s="2698">
        <f>IF(VALUE($U$4)&lt;2,0,5*($U$4-1)-SUMIF(Y25:Y80,"&gt;0"))</f>
        <v>0</v>
      </c>
      <c r="AA23" s="2298"/>
      <c r="AB23" s="2296"/>
      <c r="AC23" s="2784"/>
      <c r="AD23" s="2784"/>
      <c r="AE23" s="2784"/>
    </row>
    <row r="24" spans="1:31" ht="12" customHeight="1" x14ac:dyDescent="0.2">
      <c r="A24" s="356"/>
      <c r="B24" s="362"/>
      <c r="C24" s="3263"/>
      <c r="D24" s="3117"/>
      <c r="E24" s="3117"/>
      <c r="F24" s="4698"/>
      <c r="G24" s="4699"/>
      <c r="H24" s="3117"/>
      <c r="I24" s="3117"/>
      <c r="J24" s="3118"/>
      <c r="L24" s="4716"/>
      <c r="M24" s="385" t="s">
        <v>1471</v>
      </c>
      <c r="N24" s="386">
        <f>Principal!J60-Principal!I60+IF('Tablas Sheele'!F$165&gt;0,50,0)</f>
        <v>30</v>
      </c>
      <c r="P24" s="4718" t="s">
        <v>2897</v>
      </c>
      <c r="Q24" s="4719"/>
      <c r="R24" s="4719"/>
      <c r="S24" s="4720"/>
      <c r="U24" s="387" t="s">
        <v>1407</v>
      </c>
      <c r="V24" s="4730" t="s">
        <v>1383</v>
      </c>
      <c r="W24" s="4731"/>
      <c r="X24" s="1645" t="s">
        <v>1373</v>
      </c>
      <c r="Y24" s="1835" t="s">
        <v>2898</v>
      </c>
      <c r="Z24" s="2704" t="s">
        <v>1357</v>
      </c>
      <c r="AA24" s="2298"/>
      <c r="AB24" s="2296"/>
      <c r="AC24" s="2797" t="s">
        <v>8895</v>
      </c>
      <c r="AD24" s="2797" t="s">
        <v>2690</v>
      </c>
      <c r="AE24" s="2797" t="s">
        <v>7544</v>
      </c>
    </row>
    <row r="25" spans="1:31" ht="12" customHeight="1" x14ac:dyDescent="0.2">
      <c r="A25" s="356"/>
      <c r="B25" s="362"/>
      <c r="C25" s="3263"/>
      <c r="D25" s="3117"/>
      <c r="E25" s="3117"/>
      <c r="F25" s="4698"/>
      <c r="G25" s="4699"/>
      <c r="H25" s="3117"/>
      <c r="I25" s="3117"/>
      <c r="J25" s="3118"/>
      <c r="L25" s="4716"/>
      <c r="M25" s="385" t="s">
        <v>1473</v>
      </c>
      <c r="N25" s="386">
        <f>Principal!J61-Principal!I61+IF('Tablas Sheele'!F$165&gt;0,50,0)</f>
        <v>45</v>
      </c>
      <c r="P25" s="4652" t="s">
        <v>2899</v>
      </c>
      <c r="Q25" s="4653"/>
      <c r="R25" s="4653"/>
      <c r="S25" s="4654"/>
      <c r="U25" s="4721" t="s">
        <v>1412</v>
      </c>
      <c r="V25" s="4732" t="s">
        <v>1413</v>
      </c>
      <c r="W25" s="4732"/>
      <c r="X25" s="1660">
        <f>IF(HLOOKUP(Sheele!$D$5,'Tablas Sheele'!$C$29:$K$86,'Tablas Sheele'!B30,FALSE)=0,"",HLOOKUP(Sheele!$D$5,'Tablas Sheele'!$C$29:$K$86,'Tablas Sheele'!B30,FALSE)+IF('Tablas Sheele'!F$119&gt;0,40+20*('Tablas Sheele'!F$119-1),0)+AC25)</f>
        <v>60</v>
      </c>
      <c r="Y25" s="2579"/>
      <c r="Z25" s="519">
        <f>IF(AD25,IF(OR(Principal!Q22="-",AE25&lt;0),"-",MIN(Principal!Q22,AE25)),AE25)</f>
        <v>60</v>
      </c>
      <c r="AA25" s="2298"/>
      <c r="AB25" s="2296"/>
      <c r="AC25" s="2797"/>
      <c r="AD25" s="2797"/>
      <c r="AE25" s="2797">
        <f>IF(AND(X25="",Y25=""),-30,IF(X25="",0,X25)+10*Y25)</f>
        <v>60</v>
      </c>
    </row>
    <row r="26" spans="1:31" ht="12" customHeight="1" thickBot="1" x14ac:dyDescent="0.25">
      <c r="A26" s="356"/>
      <c r="B26" s="362"/>
      <c r="C26" s="3263"/>
      <c r="D26" s="3117"/>
      <c r="E26" s="3117"/>
      <c r="F26" s="4698"/>
      <c r="G26" s="4699"/>
      <c r="H26" s="3117"/>
      <c r="I26" s="3117"/>
      <c r="J26" s="3118"/>
      <c r="L26" s="4717"/>
      <c r="M26" s="388" t="s">
        <v>1475</v>
      </c>
      <c r="N26" s="389">
        <f>Principal!J62-Principal!I62+IF('Tablas Sheele'!F$165&gt;0,50,0)</f>
        <v>30</v>
      </c>
      <c r="U26" s="3183"/>
      <c r="V26" s="3107" t="s">
        <v>1414</v>
      </c>
      <c r="W26" s="3107"/>
      <c r="X26" s="1660" t="str">
        <f>IF(HLOOKUP(Sheele!$D$5,'Tablas Sheele'!$C$29:$K$86,'Tablas Sheele'!B31,FALSE)=0,"",HLOOKUP(Sheele!$D$5,'Tablas Sheele'!$C$29:$K$86,'Tablas Sheele'!B31,FALSE)+IF('Tablas Sheele'!F$119&gt;0,40+20*('Tablas Sheele'!F$119-1),0)+AC26)</f>
        <v/>
      </c>
      <c r="Y26" s="2580"/>
      <c r="Z26" s="519">
        <f>IF(AD26,IF(OR(Principal!Q23="-",AE26&lt;0),"-",MIN(Principal!Q23,AE26)),AE26)</f>
        <v>-30</v>
      </c>
      <c r="AA26" s="2298"/>
      <c r="AB26" s="2296"/>
      <c r="AC26" s="2797"/>
      <c r="AD26" s="2797"/>
      <c r="AE26" s="2797">
        <f t="shared" ref="AE26:AE80" si="0">IF(AND(X26="",Y26=""),-30,IF(X26="",0,X26)+10*Y26)</f>
        <v>-30</v>
      </c>
    </row>
    <row r="27" spans="1:31" ht="12" customHeight="1" x14ac:dyDescent="0.2">
      <c r="A27" s="356"/>
      <c r="B27" s="362"/>
      <c r="C27" s="4727"/>
      <c r="D27" s="4728"/>
      <c r="E27" s="4728"/>
      <c r="F27" s="4729"/>
      <c r="G27" s="4699"/>
      <c r="H27" s="3117"/>
      <c r="I27" s="3117"/>
      <c r="J27" s="3118"/>
      <c r="P27" s="4684" t="s">
        <v>1377</v>
      </c>
      <c r="Q27" s="4685"/>
      <c r="R27" s="4685"/>
      <c r="S27" s="4686"/>
      <c r="U27" s="3183"/>
      <c r="V27" s="3107" t="s">
        <v>1417</v>
      </c>
      <c r="W27" s="3107"/>
      <c r="X27" s="1660" t="str">
        <f>IF(HLOOKUP(Sheele!$D$5,'Tablas Sheele'!$C$29:$K$86,'Tablas Sheele'!B32,FALSE)=0,"",HLOOKUP(Sheele!$D$5,'Tablas Sheele'!$C$29:$K$86,'Tablas Sheele'!B32,FALSE)+IF('Tablas Sheele'!F$119&gt;0,40+20*('Tablas Sheele'!F$119-1),0)+AC27)</f>
        <v/>
      </c>
      <c r="Y27" s="2580"/>
      <c r="Z27" s="519">
        <f>IF(AD27,IF(OR(Principal!Q24="-",AE27&lt;0),"-",MIN(Principal!Q24,AE27)),AE27)</f>
        <v>-30</v>
      </c>
      <c r="AA27" s="2298"/>
      <c r="AB27" s="2296"/>
      <c r="AC27" s="2797"/>
      <c r="AD27" s="2797"/>
      <c r="AE27" s="2797">
        <f t="shared" si="0"/>
        <v>-30</v>
      </c>
    </row>
    <row r="28" spans="1:31" ht="12" customHeight="1" x14ac:dyDescent="0.2">
      <c r="A28" s="356"/>
      <c r="B28" s="362"/>
      <c r="C28" s="4727"/>
      <c r="D28" s="4728"/>
      <c r="E28" s="4728"/>
      <c r="F28" s="4729"/>
      <c r="G28" s="4699"/>
      <c r="H28" s="3117"/>
      <c r="I28" s="3117"/>
      <c r="J28" s="3118"/>
      <c r="P28" s="4724"/>
      <c r="Q28" s="4725"/>
      <c r="R28" s="4725"/>
      <c r="S28" s="4726"/>
      <c r="U28" s="3183"/>
      <c r="V28" s="3107" t="s">
        <v>1421</v>
      </c>
      <c r="W28" s="3107"/>
      <c r="X28" s="1660" t="str">
        <f>IF(HLOOKUP(Sheele!$D$5,'Tablas Sheele'!$C$29:$K$86,'Tablas Sheele'!B33,FALSE)=0,"",HLOOKUP(Sheele!$D$5,'Tablas Sheele'!$C$29:$K$86,'Tablas Sheele'!B33,FALSE)+IF('Tablas Sheele'!F$119&gt;0,40+20*('Tablas Sheele'!F$119-1),0)+AC28)</f>
        <v/>
      </c>
      <c r="Y28" s="2580"/>
      <c r="Z28" s="519">
        <f>IF(AD28,IF(OR(Principal!Q25="-",AE28&lt;0),"-",MIN(Principal!Q25,AE28)),AE28)</f>
        <v>-30</v>
      </c>
      <c r="AA28" s="2298"/>
      <c r="AB28" s="2296"/>
      <c r="AC28" s="2797"/>
      <c r="AD28" s="2797"/>
      <c r="AE28" s="2797">
        <f t="shared" si="0"/>
        <v>-30</v>
      </c>
    </row>
    <row r="29" spans="1:31" ht="12" customHeight="1" thickBot="1" x14ac:dyDescent="0.25">
      <c r="A29" s="356"/>
      <c r="B29" s="362"/>
      <c r="C29" s="4727"/>
      <c r="D29" s="4733"/>
      <c r="E29" s="4733"/>
      <c r="F29" s="3196"/>
      <c r="G29" s="4699"/>
      <c r="H29" s="3117"/>
      <c r="I29" s="3117"/>
      <c r="J29" s="3118"/>
      <c r="P29" s="4734">
        <f>IF('Tablas Sheele'!F107&gt;0, N21*4, N21*2)+IF('Tablas Sheele'!F149&gt;0,250,0)</f>
        <v>60</v>
      </c>
      <c r="Q29" s="4735"/>
      <c r="R29" s="4738"/>
      <c r="S29" s="4739"/>
      <c r="U29" s="3183"/>
      <c r="V29" s="3107" t="s">
        <v>1424</v>
      </c>
      <c r="W29" s="3107"/>
      <c r="X29" s="1660" t="str">
        <f>IF(HLOOKUP(Sheele!$D$5,'Tablas Sheele'!$C$29:$K$86,'Tablas Sheele'!B34,FALSE)=0,"",HLOOKUP(Sheele!$D$5,'Tablas Sheele'!$C$29:$K$86,'Tablas Sheele'!B34,FALSE)+IF('Tablas Sheele'!F$119&gt;0,40+20*('Tablas Sheele'!F$119-1),0)+AC29)</f>
        <v/>
      </c>
      <c r="Y29" s="2580"/>
      <c r="Z29" s="519">
        <f>IF(AD29,IF(OR(Principal!Q26="-",AE29&lt;0),"-",MIN(Principal!Q26,AE29)),AE29)</f>
        <v>-30</v>
      </c>
      <c r="AA29" s="2298"/>
      <c r="AB29" s="2296"/>
      <c r="AC29" s="2797"/>
      <c r="AD29" s="2797"/>
      <c r="AE29" s="2797">
        <f t="shared" si="0"/>
        <v>-30</v>
      </c>
    </row>
    <row r="30" spans="1:31" ht="12" customHeight="1" thickBot="1" x14ac:dyDescent="0.25">
      <c r="A30" s="356"/>
      <c r="B30" s="362"/>
      <c r="C30" s="4727"/>
      <c r="D30" s="4733"/>
      <c r="E30" s="4733"/>
      <c r="F30" s="3196"/>
      <c r="G30" s="4699"/>
      <c r="H30" s="3117"/>
      <c r="I30" s="3117"/>
      <c r="J30" s="3118"/>
      <c r="L30" s="4744" t="s">
        <v>1395</v>
      </c>
      <c r="M30" s="4745"/>
      <c r="N30" s="4746"/>
      <c r="P30" s="4734"/>
      <c r="Q30" s="4735"/>
      <c r="R30" s="4740"/>
      <c r="S30" s="4741"/>
      <c r="U30" s="3183"/>
      <c r="V30" s="3107" t="s">
        <v>1427</v>
      </c>
      <c r="W30" s="3107"/>
      <c r="X30" s="1660" t="str">
        <f>IF(HLOOKUP(Sheele!$D$5,'Tablas Sheele'!$C$29:$K$86,'Tablas Sheele'!B35,FALSE)=0,"",HLOOKUP(Sheele!$D$5,'Tablas Sheele'!$C$29:$K$86,'Tablas Sheele'!B35,FALSE)+IF('Tablas Sheele'!F$119&gt;0,40+20*('Tablas Sheele'!F$119-1),0)+AC30)</f>
        <v/>
      </c>
      <c r="Y30" s="2580"/>
      <c r="Z30" s="519">
        <f>IF(AD30,IF(OR(Principal!Q27="-",AE30&lt;0),"-",MIN(Principal!Q27,AE30)),AE30)</f>
        <v>-30</v>
      </c>
      <c r="AA30" s="2298"/>
      <c r="AB30" s="2296"/>
      <c r="AC30" s="2797"/>
      <c r="AD30" s="2797"/>
      <c r="AE30" s="2797">
        <f t="shared" si="0"/>
        <v>-30</v>
      </c>
    </row>
    <row r="31" spans="1:31" ht="12" customHeight="1" x14ac:dyDescent="0.2">
      <c r="A31" s="356"/>
      <c r="B31" s="362"/>
      <c r="C31" s="4759"/>
      <c r="D31" s="4760"/>
      <c r="E31" s="4760"/>
      <c r="F31" s="4761"/>
      <c r="G31" s="4592"/>
      <c r="H31" s="4593"/>
      <c r="I31" s="4593"/>
      <c r="J31" s="4594"/>
      <c r="L31" s="4751">
        <f>G9</f>
        <v>8</v>
      </c>
      <c r="M31" s="4754" t="s">
        <v>1586</v>
      </c>
      <c r="N31" s="4755"/>
      <c r="P31" s="4734"/>
      <c r="Q31" s="4735"/>
      <c r="R31" s="4740"/>
      <c r="S31" s="4741"/>
      <c r="U31" s="3184"/>
      <c r="V31" s="4722" t="s">
        <v>6431</v>
      </c>
      <c r="W31" s="4723"/>
      <c r="X31" s="2697" t="str">
        <f>IF(HLOOKUP(Sheele!$D$5,'Tablas Sheele'!$C$29:$K$86,'Tablas Sheele'!B36,FALSE)=0,"",HLOOKUP(Sheele!$D$5,'Tablas Sheele'!$C$29:$K$86,'Tablas Sheele'!B36,FALSE)+IF('Tablas Sheele'!F$119&gt;0,40+20*('Tablas Sheele'!F$119-1),0)+AC31)</f>
        <v/>
      </c>
      <c r="Y31" s="2581"/>
      <c r="Z31" s="2699">
        <f>IF(AD31,IF(OR(Principal!Q28="-",AE31&lt;0),"-",MIN(Principal!Q28,AE31)),AE31)</f>
        <v>-30</v>
      </c>
      <c r="AA31" s="2299"/>
      <c r="AB31" s="2296"/>
      <c r="AC31" s="2797"/>
      <c r="AD31" s="2797"/>
      <c r="AE31" s="2797">
        <f t="shared" si="0"/>
        <v>-30</v>
      </c>
    </row>
    <row r="32" spans="1:31" ht="12" customHeight="1" thickBot="1" x14ac:dyDescent="0.25">
      <c r="A32" s="356"/>
      <c r="B32" s="362"/>
      <c r="C32" s="4756" t="s">
        <v>2900</v>
      </c>
      <c r="D32" s="4757"/>
      <c r="E32" s="4757"/>
      <c r="F32" s="4757"/>
      <c r="G32" s="4757"/>
      <c r="H32" s="4757"/>
      <c r="I32" s="4757"/>
      <c r="J32" s="1834">
        <f>COUNTBLANK(E33:E36)+COUNTBLANK(G33:G36)+COUNTBLANK(I33:I36)+COUNTBLANK(C33:C36)-16+'Tablas Sheele'!F109</f>
        <v>0</v>
      </c>
      <c r="L32" s="4751"/>
      <c r="M32" s="4754" t="str">
        <f>IF(L31&lt;1,"",VLOOKUP(L31,Tabla_TipoMovimiento,2,FALSE))</f>
        <v>28 m / asalto</v>
      </c>
      <c r="N32" s="4755"/>
      <c r="P32" s="4736"/>
      <c r="Q32" s="4737"/>
      <c r="R32" s="4742"/>
      <c r="S32" s="4743"/>
      <c r="U32" s="3183" t="s">
        <v>1430</v>
      </c>
      <c r="V32" s="3107" t="s">
        <v>1431</v>
      </c>
      <c r="W32" s="3107"/>
      <c r="X32" s="1660" t="str">
        <f>IF(HLOOKUP(Sheele!$D$5,'Tablas Sheele'!$C$29:$K$86,'Tablas Sheele'!B37,FALSE)=0,"",HLOOKUP(Sheele!$D$5,'Tablas Sheele'!$C$29:$K$86,'Tablas Sheele'!B37,FALSE)+IF('Tablas Sheele'!F$119&gt;0,40+20*('Tablas Sheele'!F$119-1),0)+AC32)</f>
        <v/>
      </c>
      <c r="Y32" s="2579"/>
      <c r="Z32" s="519">
        <f>IF(AD32,IF(OR(Principal!Q29="-",AE32&lt;0),"-",MIN(Principal!Q29,AE32)),AE32)</f>
        <v>-30</v>
      </c>
      <c r="AA32" s="2298"/>
      <c r="AB32" s="2296"/>
      <c r="AC32" s="2797"/>
      <c r="AD32" s="2797"/>
      <c r="AE32" s="2797">
        <f t="shared" si="0"/>
        <v>-30</v>
      </c>
    </row>
    <row r="33" spans="1:31" ht="12" customHeight="1" thickBot="1" x14ac:dyDescent="0.25">
      <c r="A33" s="356"/>
      <c r="B33" s="362"/>
      <c r="C33" s="4778"/>
      <c r="D33" s="4758"/>
      <c r="E33" s="4758"/>
      <c r="F33" s="4758"/>
      <c r="G33" s="4758"/>
      <c r="H33" s="4758"/>
      <c r="I33" s="4758"/>
      <c r="J33" s="4058"/>
      <c r="L33" s="4747">
        <f>IF('Tablas Sheele'!F117&gt;0,14,VLOOKUP(C40,'Tablas Sheele'!C204:M243,10,FALSE))</f>
        <v>10</v>
      </c>
      <c r="M33" s="4749" t="s">
        <v>1635</v>
      </c>
      <c r="N33" s="4750"/>
      <c r="U33" s="3183"/>
      <c r="V33" s="3107" t="s">
        <v>1433</v>
      </c>
      <c r="W33" s="3107"/>
      <c r="X33" s="1660" t="str">
        <f>IF(HLOOKUP(Sheele!$D$5,'Tablas Sheele'!$C$29:$K$86,'Tablas Sheele'!B38,FALSE)=0,"",HLOOKUP(Sheele!$D$5,'Tablas Sheele'!$C$29:$K$86,'Tablas Sheele'!B38,FALSE)+IF('Tablas Sheele'!F$119&gt;0,40+20*('Tablas Sheele'!F$119-1),0)+AC33)</f>
        <v/>
      </c>
      <c r="Y33" s="2580"/>
      <c r="Z33" s="519">
        <f>IF(AD33,IF(OR(Principal!Q30="-",AE33&lt;0),"-",MIN(Principal!Q30,AE33)),AE33)</f>
        <v>-30</v>
      </c>
      <c r="AA33" s="2298"/>
      <c r="AB33" s="2296"/>
      <c r="AC33" s="2797"/>
      <c r="AD33" s="2797"/>
      <c r="AE33" s="2797">
        <f t="shared" si="0"/>
        <v>-30</v>
      </c>
    </row>
    <row r="34" spans="1:31" ht="12" customHeight="1" thickBot="1" x14ac:dyDescent="0.25">
      <c r="A34" s="356"/>
      <c r="B34" s="390"/>
      <c r="C34" s="4727"/>
      <c r="D34" s="4733"/>
      <c r="E34" s="4733"/>
      <c r="F34" s="4733"/>
      <c r="G34" s="4733"/>
      <c r="H34" s="4733"/>
      <c r="I34" s="4733"/>
      <c r="J34" s="4059"/>
      <c r="L34" s="4748"/>
      <c r="M34" s="4752" t="str">
        <f>IF(L33&lt;1,"",VLOOKUP(L33,Tabla_TipoMovimiento,2,FALSE))</f>
        <v>35 m / asalto</v>
      </c>
      <c r="N34" s="4753"/>
      <c r="P34" s="4099" t="s">
        <v>1376</v>
      </c>
      <c r="Q34" s="4100"/>
      <c r="R34" s="4100"/>
      <c r="S34" s="4101"/>
      <c r="U34" s="3183"/>
      <c r="V34" s="3107" t="s">
        <v>1436</v>
      </c>
      <c r="W34" s="3107"/>
      <c r="X34" s="1660" t="str">
        <f>IF(HLOOKUP(Sheele!$D$5,'Tablas Sheele'!$C$29:$K$86,'Tablas Sheele'!B39,FALSE)=0,"",HLOOKUP(Sheele!$D$5,'Tablas Sheele'!$C$29:$K$86,'Tablas Sheele'!B39,FALSE)+IF('Tablas Sheele'!F$119&gt;0,40+20*('Tablas Sheele'!F$119-1),0)+AC34)</f>
        <v/>
      </c>
      <c r="Y34" s="2580"/>
      <c r="Z34" s="519">
        <f>IF(AD34,IF(OR(Principal!Q31="-",AE34&lt;0),"-",MIN(Principal!Q31,AE34)),AE34)</f>
        <v>-30</v>
      </c>
      <c r="AA34" s="2298"/>
      <c r="AB34" s="2296"/>
      <c r="AC34" s="2797"/>
      <c r="AD34" s="2797"/>
      <c r="AE34" s="2797">
        <f t="shared" si="0"/>
        <v>-30</v>
      </c>
    </row>
    <row r="35" spans="1:31" ht="12" customHeight="1" x14ac:dyDescent="0.2">
      <c r="A35" s="356"/>
      <c r="B35" s="390"/>
      <c r="C35" s="4727"/>
      <c r="D35" s="4733"/>
      <c r="E35" s="4733"/>
      <c r="F35" s="4733"/>
      <c r="G35" s="4733"/>
      <c r="H35" s="4733"/>
      <c r="I35" s="4733"/>
      <c r="J35" s="4059"/>
      <c r="L35" s="4751" t="str">
        <f>IF('Tablas Sheele'!F128&gt;0,15,IF(D5='Tablas Sheele'!C6,10,IF('Tablas Sheele'!F153&gt;0,L31,"-")))</f>
        <v>-</v>
      </c>
      <c r="M35" s="4754" t="str">
        <f>IF(D5='Tablas Sheele'!C6,"Acuático",IF('Tablas Sheele'!F153&gt;0,"Subterráneo","Otros"))</f>
        <v>Otros</v>
      </c>
      <c r="N35" s="4755"/>
      <c r="P35" s="4762">
        <f>VLOOKUP(G10,Tablas!C37:G65,2)</f>
        <v>0</v>
      </c>
      <c r="Q35" s="4764" t="str">
        <f>IF(D5='Tablas Sheele'!C11,"5 PV / asalto",IF('Tablas Sheele'!F132&gt;0,"10 PV / asalto",VLOOKUP(P35,Tablas!D38:G65,2)))</f>
        <v>Ninguna</v>
      </c>
      <c r="R35" s="4765"/>
      <c r="S35" s="4766"/>
      <c r="U35" s="3183"/>
      <c r="V35" s="3107" t="s">
        <v>1438</v>
      </c>
      <c r="W35" s="3107"/>
      <c r="X35" s="1660" t="str">
        <f>IF(HLOOKUP(Sheele!$D$5,'Tablas Sheele'!$C$29:$K$86,'Tablas Sheele'!B40,FALSE)=0,"",HLOOKUP(Sheele!$D$5,'Tablas Sheele'!$C$29:$K$86,'Tablas Sheele'!B40,FALSE)+IF('Tablas Sheele'!F$119&gt;0,40+20*('Tablas Sheele'!F$119-1),0)+AC35)</f>
        <v/>
      </c>
      <c r="Y35" s="2580"/>
      <c r="Z35" s="519">
        <f>IF(AD35,IF(OR(Principal!Q32="-",AE35&lt;0),"-",MIN(Principal!Q32,AE35)),AE35)</f>
        <v>-30</v>
      </c>
      <c r="AA35" s="2298"/>
      <c r="AB35" s="2296"/>
      <c r="AC35" s="2797"/>
      <c r="AD35" s="2797"/>
      <c r="AE35" s="2797">
        <f t="shared" si="0"/>
        <v>-30</v>
      </c>
    </row>
    <row r="36" spans="1:31" ht="12" customHeight="1" thickBot="1" x14ac:dyDescent="0.25">
      <c r="A36" s="356"/>
      <c r="B36" s="390"/>
      <c r="C36" s="4767"/>
      <c r="D36" s="4768"/>
      <c r="E36" s="4768"/>
      <c r="F36" s="4768"/>
      <c r="G36" s="4768"/>
      <c r="H36" s="4768"/>
      <c r="I36" s="4768"/>
      <c r="J36" s="4098"/>
      <c r="L36" s="4774"/>
      <c r="M36" s="4769" t="str">
        <f>IF(L35="-","-",VLOOKUP(L33,Tabla_TipoMovimiento,2,FALSE))</f>
        <v>-</v>
      </c>
      <c r="N36" s="4770"/>
      <c r="P36" s="4763"/>
      <c r="Q36" s="4771" t="str">
        <f>VLOOKUP(P35,Tablas!D38:G65,4)</f>
        <v>Ninguna</v>
      </c>
      <c r="R36" s="4772"/>
      <c r="S36" s="4773"/>
      <c r="U36" s="3183"/>
      <c r="V36" s="3107" t="s">
        <v>819</v>
      </c>
      <c r="W36" s="3107"/>
      <c r="X36" s="1660" t="str">
        <f>IF(HLOOKUP(Sheele!$D$5,'Tablas Sheele'!$C$29:$K$86,'Tablas Sheele'!B41,FALSE)=0,"",HLOOKUP(Sheele!$D$5,'Tablas Sheele'!$C$29:$K$86,'Tablas Sheele'!B41,FALSE)+IF('Tablas Sheele'!F$119&gt;0,40+20*('Tablas Sheele'!F$119-1),0)+AC36)</f>
        <v/>
      </c>
      <c r="Y36" s="2580"/>
      <c r="Z36" s="519">
        <f>IF(AD36,IF(OR(Principal!Q33="-",AE36&lt;0),"-",MIN(Principal!Q33,AE36)),AE36)</f>
        <v>-30</v>
      </c>
      <c r="AA36" s="2299"/>
      <c r="AB36" s="2296"/>
      <c r="AC36" s="2797"/>
      <c r="AD36" s="2797"/>
      <c r="AE36" s="2797">
        <f t="shared" si="0"/>
        <v>-30</v>
      </c>
    </row>
    <row r="37" spans="1:31" ht="12" customHeight="1" thickBot="1" x14ac:dyDescent="0.25">
      <c r="A37" s="356"/>
      <c r="B37" s="390"/>
      <c r="S37" s="358"/>
      <c r="U37" s="3183"/>
      <c r="V37" s="3107" t="s">
        <v>820</v>
      </c>
      <c r="W37" s="3107"/>
      <c r="X37" s="1660" t="str">
        <f>IF(HLOOKUP(Sheele!$D$5,'Tablas Sheele'!$C$29:$K$86,'Tablas Sheele'!B42,FALSE)=0,"",HLOOKUP(Sheele!$D$5,'Tablas Sheele'!$C$29:$K$86,'Tablas Sheele'!B42,FALSE)+IF('Tablas Sheele'!F$119&gt;0,40+20*('Tablas Sheele'!F$119-1),0)+AC37)</f>
        <v/>
      </c>
      <c r="Y37" s="2580"/>
      <c r="Z37" s="519">
        <f>IF(AD37,IF(OR(Principal!Q34="-",AE37&lt;0),"-",MIN(Principal!Q34,AE37)),AE37)</f>
        <v>-30</v>
      </c>
      <c r="AA37" s="2299"/>
      <c r="AB37" s="2296"/>
      <c r="AC37" s="2797"/>
      <c r="AD37" s="2797"/>
      <c r="AE37" s="2797">
        <f t="shared" si="0"/>
        <v>-30</v>
      </c>
    </row>
    <row r="38" spans="1:31" ht="12" customHeight="1" thickBot="1" x14ac:dyDescent="0.25">
      <c r="A38" s="356"/>
      <c r="B38" s="390"/>
      <c r="C38" s="4099" t="s">
        <v>2901</v>
      </c>
      <c r="D38" s="4100"/>
      <c r="E38" s="4100"/>
      <c r="F38" s="4100"/>
      <c r="G38" s="4100"/>
      <c r="H38" s="4100"/>
      <c r="I38" s="4100"/>
      <c r="J38" s="4100"/>
      <c r="K38" s="4100"/>
      <c r="L38" s="4100"/>
      <c r="M38" s="4100"/>
      <c r="N38" s="4100"/>
      <c r="O38" s="4100"/>
      <c r="P38" s="4100"/>
      <c r="Q38" s="4100"/>
      <c r="R38" s="4100"/>
      <c r="S38" s="4101"/>
      <c r="U38" s="3183"/>
      <c r="V38" s="4722" t="s">
        <v>821</v>
      </c>
      <c r="W38" s="4723"/>
      <c r="X38" s="2697" t="str">
        <f>IF(HLOOKUP(Sheele!$D$5,'Tablas Sheele'!$C$29:$K$86,'Tablas Sheele'!B43,FALSE)=0,"",HLOOKUP(Sheele!$D$5,'Tablas Sheele'!$C$29:$K$86,'Tablas Sheele'!B43,FALSE)+IF('Tablas Sheele'!F$119&gt;0,40+20*('Tablas Sheele'!F$119-1),0)+AC38)</f>
        <v/>
      </c>
      <c r="Y38" s="2582"/>
      <c r="Z38" s="2699">
        <f>IF(AD38,IF(OR(Principal!Q35="-",AE38&lt;0),"-",MIN(Principal!Q35,AE38)),AE38)</f>
        <v>-30</v>
      </c>
      <c r="AA38" s="2299"/>
      <c r="AB38" s="2296"/>
      <c r="AC38" s="2797"/>
      <c r="AD38" s="2797"/>
      <c r="AE38" s="2797">
        <f t="shared" si="0"/>
        <v>-30</v>
      </c>
    </row>
    <row r="39" spans="1:31" ht="12" customHeight="1" x14ac:dyDescent="0.2">
      <c r="A39" s="356"/>
      <c r="B39" s="390"/>
      <c r="C39" s="4785" t="s">
        <v>2902</v>
      </c>
      <c r="D39" s="4786"/>
      <c r="E39" s="1644" t="s">
        <v>2740</v>
      </c>
      <c r="F39" s="1645" t="s">
        <v>2903</v>
      </c>
      <c r="G39" s="1644" t="s">
        <v>1575</v>
      </c>
      <c r="H39" s="4730" t="s">
        <v>1558</v>
      </c>
      <c r="I39" s="4787"/>
      <c r="J39" s="4787"/>
      <c r="K39" s="4787"/>
      <c r="L39" s="4787"/>
      <c r="M39" s="4787"/>
      <c r="N39" s="4787"/>
      <c r="O39" s="4787"/>
      <c r="P39" s="4787"/>
      <c r="Q39" s="4787"/>
      <c r="R39" s="4787"/>
      <c r="S39" s="4788"/>
      <c r="U39" s="4721" t="s">
        <v>1439</v>
      </c>
      <c r="V39" s="3107" t="s">
        <v>1440</v>
      </c>
      <c r="W39" s="3107"/>
      <c r="X39" s="1660">
        <f>IF(HLOOKUP(Sheele!$D$5,'Tablas Sheele'!$C$29:$K$86,'Tablas Sheele'!B44,FALSE)=0,"",HLOOKUP(Sheele!$D$5,'Tablas Sheele'!$C$29:$K$86,'Tablas Sheele'!B44,FALSE)+IF('Tablas Sheele'!F$119&gt;0,40+20*('Tablas Sheele'!F$119-1),0)+AC39)</f>
        <v>30</v>
      </c>
      <c r="Y39" s="2579"/>
      <c r="Z39" s="519">
        <f>IF(AD39,IF(OR(Principal!Q36="-",AE39&lt;0),"-",MIN(Principal!Q36,AE39)),AE39)</f>
        <v>30</v>
      </c>
      <c r="AA39" s="2705"/>
      <c r="AB39" s="2296"/>
      <c r="AC39" s="2798">
        <f>IF('Tablas Sheele'!$F$161&gt;0,100,0)</f>
        <v>0</v>
      </c>
      <c r="AD39" s="2797"/>
      <c r="AE39" s="2797">
        <f t="shared" si="0"/>
        <v>30</v>
      </c>
    </row>
    <row r="40" spans="1:31" ht="12" customHeight="1" x14ac:dyDescent="0.2">
      <c r="A40" s="356"/>
      <c r="B40" s="390"/>
      <c r="C40" s="4611" t="str">
        <f>VLOOKUP($D$5,'Tablas Sheele'!$C$204:$J$243,ROW()-37,FALSE)</f>
        <v>Vuelo Místico 10</v>
      </c>
      <c r="D40" s="4612"/>
      <c r="E40" s="572" t="str">
        <f>IF($C40=" ","","-")</f>
        <v>-</v>
      </c>
      <c r="F40" s="572" t="str">
        <f>IF($C40=" ","","-")</f>
        <v>-</v>
      </c>
      <c r="G40" s="391" t="str">
        <f>IF($C40=" ","","-")</f>
        <v>-</v>
      </c>
      <c r="H40" s="4789" t="str">
        <f>IF(C40=" ","",VLOOKUP(C40,'Tablas Sheele'!$C$204:$J$243,3,FALSE))</f>
        <v>Puede volar con Tipo de Movimiento 10</v>
      </c>
      <c r="I40" s="4790"/>
      <c r="J40" s="4790"/>
      <c r="K40" s="4790"/>
      <c r="L40" s="4790"/>
      <c r="M40" s="4790"/>
      <c r="N40" s="4790"/>
      <c r="O40" s="4790"/>
      <c r="P40" s="4790"/>
      <c r="Q40" s="4790"/>
      <c r="R40" s="4790"/>
      <c r="S40" s="4791"/>
      <c r="U40" s="3183"/>
      <c r="V40" s="3107" t="s">
        <v>1441</v>
      </c>
      <c r="W40" s="3107"/>
      <c r="X40" s="1660">
        <f>IF(HLOOKUP(Sheele!$D$5,'Tablas Sheele'!$C$29:$K$86,'Tablas Sheele'!B45,FALSE)=0,"",HLOOKUP(Sheele!$D$5,'Tablas Sheele'!$C$29:$K$86,'Tablas Sheele'!B45,FALSE)+IF('Tablas Sheele'!F$119&gt;0,40+20*('Tablas Sheele'!F$119-1),0)+AC40)</f>
        <v>10</v>
      </c>
      <c r="Y40" s="2580"/>
      <c r="Z40" s="519">
        <f>IF(AD40,IF(OR(Principal!Q37="-",AE40&lt;0),"-",MIN(Principal!Q37,AE40)),AE40)</f>
        <v>10</v>
      </c>
      <c r="AA40" s="2705"/>
      <c r="AB40" s="2296"/>
      <c r="AC40" s="2798">
        <f>IF('Tablas Sheele'!$F$161&gt;0,100,0)</f>
        <v>0</v>
      </c>
      <c r="AD40" s="2797"/>
      <c r="AE40" s="2797">
        <f t="shared" si="0"/>
        <v>10</v>
      </c>
    </row>
    <row r="41" spans="1:31" ht="12" customHeight="1" x14ac:dyDescent="0.2">
      <c r="A41" s="356"/>
      <c r="B41" s="390"/>
      <c r="C41" s="4597" t="str">
        <f>VLOOKUP($D$5,'Tablas Sheele'!$C$204:$J$243,ROW()-37,FALSE)</f>
        <v>Movimiento Defensivo</v>
      </c>
      <c r="D41" s="4598"/>
      <c r="E41" s="506" t="str">
        <f>IF($C41=" ","","-")</f>
        <v>-</v>
      </c>
      <c r="F41" s="506" t="str">
        <f>IF($C41=" ","",IF(C41='Tablas Sheele'!C216,Sheele!N10,"-"))</f>
        <v>-</v>
      </c>
      <c r="G41" s="392" t="str">
        <f>IF($C41=" ","","-")</f>
        <v>-</v>
      </c>
      <c r="H41" s="4799" t="str">
        <f>IF(C41=" ","",VLOOKUP(C41,'Tablas Sheele'!$C$204:$J$243,3,FALSE))</f>
        <v>Usa su Proyección Mágica como Esquiva.</v>
      </c>
      <c r="I41" s="4800"/>
      <c r="J41" s="4800"/>
      <c r="K41" s="4800"/>
      <c r="L41" s="4800"/>
      <c r="M41" s="4800"/>
      <c r="N41" s="4800"/>
      <c r="O41" s="4800"/>
      <c r="P41" s="4800"/>
      <c r="Q41" s="4800"/>
      <c r="R41" s="4800"/>
      <c r="S41" s="4801"/>
      <c r="U41" s="3184"/>
      <c r="V41" s="4722" t="s">
        <v>1442</v>
      </c>
      <c r="W41" s="4723"/>
      <c r="X41" s="2697" t="str">
        <f>IF(HLOOKUP(Sheele!$D$5,'Tablas Sheele'!$C$29:$K$86,'Tablas Sheele'!B46,FALSE)=0,"",HLOOKUP(Sheele!$D$5,'Tablas Sheele'!$C$29:$K$86,'Tablas Sheele'!B46,FALSE)+IF('Tablas Sheele'!F$119&gt;0,40+20*('Tablas Sheele'!F$119-1),0)+AC41)</f>
        <v/>
      </c>
      <c r="Y41" s="2581"/>
      <c r="Z41" s="2699">
        <f>IF(AD41,IF(OR(Principal!Q38="-",AE41&lt;0),"-",MIN(Principal!Q38,AE41)),AE41)</f>
        <v>-30</v>
      </c>
      <c r="AA41" s="2299"/>
      <c r="AB41" s="2296"/>
      <c r="AC41" s="2797"/>
      <c r="AD41" s="2797"/>
      <c r="AE41" s="2797">
        <f t="shared" si="0"/>
        <v>-30</v>
      </c>
    </row>
    <row r="42" spans="1:31" ht="12" customHeight="1" x14ac:dyDescent="0.2">
      <c r="A42" s="356"/>
      <c r="B42" s="390"/>
      <c r="C42" s="4597" t="str">
        <f>VLOOKUP($D$5,'Tablas Sheele'!$C$204:$J$243,ROW()-37,FALSE)</f>
        <v xml:space="preserve"> </v>
      </c>
      <c r="D42" s="4598"/>
      <c r="E42" s="506" t="str">
        <f>IF($C42=" ","","-")</f>
        <v/>
      </c>
      <c r="F42" s="506" t="str">
        <f>IF($C42=" ","","-")</f>
        <v/>
      </c>
      <c r="G42" s="392" t="str">
        <f>IF($C42=" ","","-")</f>
        <v/>
      </c>
      <c r="H42" s="4799" t="str">
        <f>IF(C42=" ","",VLOOKUP(C42,'Tablas Sheele'!$C$204:$J$243,3,FALSE))</f>
        <v/>
      </c>
      <c r="I42" s="4800"/>
      <c r="J42" s="4800"/>
      <c r="K42" s="4800"/>
      <c r="L42" s="4800"/>
      <c r="M42" s="4800"/>
      <c r="N42" s="4800"/>
      <c r="O42" s="4800"/>
      <c r="P42" s="4800"/>
      <c r="Q42" s="4800"/>
      <c r="R42" s="4800"/>
      <c r="S42" s="4801"/>
      <c r="U42" s="3183" t="s">
        <v>1443</v>
      </c>
      <c r="V42" s="3107" t="s">
        <v>1444</v>
      </c>
      <c r="W42" s="3107"/>
      <c r="X42" s="1660" t="str">
        <f>IF(HLOOKUP(Sheele!$D$5,'Tablas Sheele'!$C$29:$K$86,'Tablas Sheele'!B47,FALSE)=0,"",HLOOKUP(Sheele!$D$5,'Tablas Sheele'!$C$29:$K$86,'Tablas Sheele'!B47,FALSE)+IF('Tablas Sheele'!F$119&gt;0,40+20*('Tablas Sheele'!F$119-1),0)+AC42)</f>
        <v/>
      </c>
      <c r="Y42" s="2583"/>
      <c r="Z42" s="519">
        <f>IF(AD42,IF(OR(Principal!Q39="-",AE42&lt;0),"-",MIN(Principal!Q39,AE42)),AE42)</f>
        <v>-30</v>
      </c>
      <c r="AA42" s="2299"/>
      <c r="AB42" s="2296"/>
      <c r="AC42" s="2797"/>
      <c r="AD42" s="2797"/>
      <c r="AE42" s="2797">
        <f t="shared" si="0"/>
        <v>-30</v>
      </c>
    </row>
    <row r="43" spans="1:31" ht="12" customHeight="1" x14ac:dyDescent="0.2">
      <c r="A43" s="356"/>
      <c r="B43" s="362"/>
      <c r="C43" s="4602" t="str">
        <f>VLOOKUP($D$5,'Tablas Sheele'!$C$204:$J$243,ROW()-37,FALSE)</f>
        <v xml:space="preserve"> </v>
      </c>
      <c r="D43" s="4603"/>
      <c r="E43" s="393" t="str">
        <f>IF($C43=" ","","-")</f>
        <v/>
      </c>
      <c r="F43" s="393" t="str">
        <f>IF($C43=" ","","-")</f>
        <v/>
      </c>
      <c r="G43" s="394" t="str">
        <f>IF($C43=" ","","-")</f>
        <v/>
      </c>
      <c r="H43" s="4782" t="str">
        <f>IF(C43=" ","",VLOOKUP(C43,'Tablas Sheele'!$C$204:$J$243,3,FALSE))</f>
        <v/>
      </c>
      <c r="I43" s="4783"/>
      <c r="J43" s="4783"/>
      <c r="K43" s="4783"/>
      <c r="L43" s="4783"/>
      <c r="M43" s="4783"/>
      <c r="N43" s="4783"/>
      <c r="O43" s="4783"/>
      <c r="P43" s="4783"/>
      <c r="Q43" s="4783"/>
      <c r="R43" s="4783"/>
      <c r="S43" s="4784"/>
      <c r="U43" s="3183"/>
      <c r="V43" s="3107" t="str">
        <f>IF($D$5='Tablas Sheele'!$C$8,"Ciencia (geología)","Ciencia")</f>
        <v>Ciencia</v>
      </c>
      <c r="W43" s="3107"/>
      <c r="X43" s="1660" t="str">
        <f>IF(HLOOKUP(Sheele!$D$5,'Tablas Sheele'!$C$29:$K$86,'Tablas Sheele'!B48,FALSE)=0,"",HLOOKUP(Sheele!$D$5,'Tablas Sheele'!$C$29:$K$86,'Tablas Sheele'!B48,FALSE)+IF('Tablas Sheele'!F$119&gt;0,40+20*('Tablas Sheele'!F$119-1),0)+AC43)</f>
        <v/>
      </c>
      <c r="Y43" s="2580"/>
      <c r="Z43" s="519" t="str">
        <f>IF(AD43,IF(OR(Principal!Q40="-",AE43&lt;0),"-",MIN(Principal!Q40,AE43)),AE43)</f>
        <v>-</v>
      </c>
      <c r="AA43" s="2298"/>
      <c r="AB43" s="2296"/>
      <c r="AC43" s="2797"/>
      <c r="AD43" s="2797">
        <v>1</v>
      </c>
      <c r="AE43" s="2797">
        <f t="shared" si="0"/>
        <v>-30</v>
      </c>
    </row>
    <row r="44" spans="1:31" ht="12" customHeight="1" x14ac:dyDescent="0.2">
      <c r="A44" s="356"/>
      <c r="B44" s="362"/>
      <c r="C44" s="4611" t="str">
        <f>IF(COUNTA($C$43:C43)&lt;='Tablas Sheele'!$H$199,VLOOKUP('Tablas Sheele'!A1,'Tablas Sheele'!$B$111:$R$198,3,FALSE),"")</f>
        <v/>
      </c>
      <c r="D44" s="4612"/>
      <c r="E44" s="572" t="str">
        <f>IF($C44="","",VLOOKUP('Tablas Sheele'!$A1,'Tablas Sheele'!$B$111:$R198,8,FALSE))</f>
        <v/>
      </c>
      <c r="F44" s="572" t="str">
        <f>IF($C44="","",VLOOKUP('Tablas Sheele'!$A1,'Tablas Sheele'!$B$111:$R198,9,FALSE))</f>
        <v/>
      </c>
      <c r="G44" s="391" t="str">
        <f>IF($C44="","",VLOOKUP('Tablas Sheele'!$A1,'Tablas Sheele'!$B$111:$R198,10,FALSE))</f>
        <v/>
      </c>
      <c r="H44" s="4775" t="str">
        <f>IF($C44="","",VLOOKUP('Tablas Sheele'!$A1,'Tablas Sheele'!$B$111:$R198,11,FALSE))</f>
        <v/>
      </c>
      <c r="I44" s="4776"/>
      <c r="J44" s="4776"/>
      <c r="K44" s="4776"/>
      <c r="L44" s="4776"/>
      <c r="M44" s="4776"/>
      <c r="N44" s="4776"/>
      <c r="O44" s="4776"/>
      <c r="P44" s="4776"/>
      <c r="Q44" s="4776"/>
      <c r="R44" s="4776"/>
      <c r="S44" s="4777"/>
      <c r="U44" s="3183"/>
      <c r="V44" s="3107" t="s">
        <v>2639</v>
      </c>
      <c r="W44" s="3107"/>
      <c r="X44" s="1660" t="str">
        <f>IF(HLOOKUP(Sheele!$D$5,'Tablas Sheele'!$C$29:$K$86,'Tablas Sheele'!B49,FALSE)=0,"",HLOOKUP(Sheele!$D$5,'Tablas Sheele'!$C$29:$K$86,'Tablas Sheele'!B49,FALSE)+IF('Tablas Sheele'!F$119&gt;0,40+20*('Tablas Sheele'!F$119-1),0)+AC44)</f>
        <v/>
      </c>
      <c r="Y44" s="2580"/>
      <c r="Z44" s="519">
        <f>IF(AD44,IF(OR(Principal!Q41="-",AE44&lt;0),"-",MIN(Principal!Q41,AE44)),AE44)</f>
        <v>-30</v>
      </c>
      <c r="AA44" s="2299"/>
      <c r="AB44" s="2296"/>
      <c r="AC44" s="2797"/>
      <c r="AD44" s="2797"/>
      <c r="AE44" s="2797">
        <f t="shared" si="0"/>
        <v>-30</v>
      </c>
    </row>
    <row r="45" spans="1:31" ht="12" customHeight="1" x14ac:dyDescent="0.2">
      <c r="A45" s="356"/>
      <c r="B45" s="362"/>
      <c r="C45" s="4597" t="str">
        <f>IF(COUNTA($C$43:C44)&lt;='Tablas Sheele'!$H$199,VLOOKUP('Tablas Sheele'!A2,'Tablas Sheele'!$B$111:$R$198,3,FALSE),"")</f>
        <v/>
      </c>
      <c r="D45" s="4598"/>
      <c r="E45" s="506" t="str">
        <f>IF($C45="","",VLOOKUP('Tablas Sheele'!$A2,'Tablas Sheele'!$B$111:$R199,8,FALSE))</f>
        <v/>
      </c>
      <c r="F45" s="506" t="str">
        <f>IF($C45="","",VLOOKUP('Tablas Sheele'!$A2,'Tablas Sheele'!$B$111:$R199,9,FALSE))</f>
        <v/>
      </c>
      <c r="G45" s="392" t="str">
        <f>IF($C45="","",VLOOKUP('Tablas Sheele'!$A2,'Tablas Sheele'!$B$111:$R199,10,FALSE))</f>
        <v/>
      </c>
      <c r="H45" s="4599" t="str">
        <f>IF($C45="","",VLOOKUP('Tablas Sheele'!$A2,'Tablas Sheele'!$B$111:$R199,11,FALSE))</f>
        <v/>
      </c>
      <c r="I45" s="4600"/>
      <c r="J45" s="4600"/>
      <c r="K45" s="4600"/>
      <c r="L45" s="4600"/>
      <c r="M45" s="4600"/>
      <c r="N45" s="4600"/>
      <c r="O45" s="4600"/>
      <c r="P45" s="4600"/>
      <c r="Q45" s="4600"/>
      <c r="R45" s="4600"/>
      <c r="S45" s="4601"/>
      <c r="U45" s="3183"/>
      <c r="V45" s="3107" t="s">
        <v>1446</v>
      </c>
      <c r="W45" s="3107"/>
      <c r="X45" s="1660" t="str">
        <f>IF(HLOOKUP(Sheele!$D$5,'Tablas Sheele'!$C$29:$K$86,'Tablas Sheele'!B50,FALSE)=0,"",HLOOKUP(Sheele!$D$5,'Tablas Sheele'!$C$29:$K$86,'Tablas Sheele'!B50,FALSE)+IF('Tablas Sheele'!F$119&gt;0,40+20*('Tablas Sheele'!F$119-1),0)+AC45)</f>
        <v/>
      </c>
      <c r="Y45" s="2580"/>
      <c r="Z45" s="519">
        <f>IF(AD45,IF(OR(Principal!Q42="-",AE45&lt;0),"-",MIN(Principal!Q42,AE45)),AE45)</f>
        <v>-30</v>
      </c>
      <c r="AA45" s="2298"/>
      <c r="AB45" s="2296"/>
      <c r="AC45" s="2797"/>
      <c r="AD45" s="2797"/>
      <c r="AE45" s="2797">
        <f t="shared" si="0"/>
        <v>-30</v>
      </c>
    </row>
    <row r="46" spans="1:31" ht="12" customHeight="1" x14ac:dyDescent="0.2">
      <c r="A46" s="356"/>
      <c r="B46" s="362"/>
      <c r="C46" s="4597" t="str">
        <f>IF(COUNTA($C$43:C45)&lt;='Tablas Sheele'!$H$199,VLOOKUP('Tablas Sheele'!A3,'Tablas Sheele'!$B$111:$R$198,3,FALSE),"")</f>
        <v/>
      </c>
      <c r="D46" s="4598"/>
      <c r="E46" s="506" t="str">
        <f>IF($C46="","",VLOOKUP('Tablas Sheele'!$A3,'Tablas Sheele'!$B$111:$R200,8,FALSE))</f>
        <v/>
      </c>
      <c r="F46" s="506" t="str">
        <f>IF($C46="","",VLOOKUP('Tablas Sheele'!$A3,'Tablas Sheele'!$B$111:$R200,9,FALSE))</f>
        <v/>
      </c>
      <c r="G46" s="392" t="str">
        <f>IF($C46="","",VLOOKUP('Tablas Sheele'!$A3,'Tablas Sheele'!$B$111:$R200,10,FALSE))</f>
        <v/>
      </c>
      <c r="H46" s="4599" t="str">
        <f>IF($C46="","",VLOOKUP('Tablas Sheele'!$A3,'Tablas Sheele'!$B$111:$R200,11,FALSE))</f>
        <v/>
      </c>
      <c r="I46" s="4600"/>
      <c r="J46" s="4600"/>
      <c r="K46" s="4600"/>
      <c r="L46" s="4600"/>
      <c r="M46" s="4600"/>
      <c r="N46" s="4600"/>
      <c r="O46" s="4600"/>
      <c r="P46" s="4600"/>
      <c r="Q46" s="4600"/>
      <c r="R46" s="4600"/>
      <c r="S46" s="4601"/>
      <c r="U46" s="3183"/>
      <c r="V46" s="3107" t="s">
        <v>1448</v>
      </c>
      <c r="W46" s="3107"/>
      <c r="X46" s="1660" t="str">
        <f>IF(HLOOKUP(Sheele!$D$5,'Tablas Sheele'!$C$29:$K$86,'Tablas Sheele'!B51,FALSE)=0,"",HLOOKUP(Sheele!$D$5,'Tablas Sheele'!$C$29:$K$86,'Tablas Sheele'!B51,FALSE)+IF('Tablas Sheele'!F$119&gt;0,40+20*('Tablas Sheele'!F$119-1),0)+AC46)</f>
        <v/>
      </c>
      <c r="Y46" s="2580"/>
      <c r="Z46" s="519" t="str">
        <f>IF(AD46,IF(OR(Principal!Q43="-",AE46&lt;0),"-",MIN(Principal!Q43,AE46)),AE46)</f>
        <v>-</v>
      </c>
      <c r="AA46" s="2298"/>
      <c r="AB46" s="2296"/>
      <c r="AC46" s="2797"/>
      <c r="AD46" s="2797">
        <v>1</v>
      </c>
      <c r="AE46" s="2797">
        <f t="shared" si="0"/>
        <v>-30</v>
      </c>
    </row>
    <row r="47" spans="1:31" ht="12" customHeight="1" x14ac:dyDescent="0.2">
      <c r="A47" s="356"/>
      <c r="B47" s="362"/>
      <c r="C47" s="4597" t="str">
        <f>IF(COUNTA($C$43:C46)&lt;='Tablas Sheele'!$H$199,VLOOKUP('Tablas Sheele'!A4,'Tablas Sheele'!$B$111:$R$198,3,FALSE),"")</f>
        <v/>
      </c>
      <c r="D47" s="4598"/>
      <c r="E47" s="506" t="str">
        <f>IF($C47="","",VLOOKUP('Tablas Sheele'!$A4,'Tablas Sheele'!$B$111:$R201,8,FALSE))</f>
        <v/>
      </c>
      <c r="F47" s="506" t="str">
        <f>IF($C47="","",VLOOKUP('Tablas Sheele'!$A4,'Tablas Sheele'!$B$111:$R201,9,FALSE))</f>
        <v/>
      </c>
      <c r="G47" s="392" t="str">
        <f>IF($C47="","",VLOOKUP('Tablas Sheele'!$A4,'Tablas Sheele'!$B$111:$R201,10,FALSE))</f>
        <v/>
      </c>
      <c r="H47" s="4599" t="str">
        <f>IF($C47="","",VLOOKUP('Tablas Sheele'!$A4,'Tablas Sheele'!$B$111:$R201,11,FALSE))</f>
        <v/>
      </c>
      <c r="I47" s="4600"/>
      <c r="J47" s="4600"/>
      <c r="K47" s="4600"/>
      <c r="L47" s="4600"/>
      <c r="M47" s="4600"/>
      <c r="N47" s="4600"/>
      <c r="O47" s="4600"/>
      <c r="P47" s="4600"/>
      <c r="Q47" s="4600"/>
      <c r="R47" s="4600"/>
      <c r="S47" s="4601"/>
      <c r="U47" s="3183"/>
      <c r="V47" s="3107" t="s">
        <v>822</v>
      </c>
      <c r="W47" s="3107"/>
      <c r="X47" s="1660" t="str">
        <f>IF(HLOOKUP(Sheele!$D$5,'Tablas Sheele'!$C$29:$K$86,'Tablas Sheele'!B52,FALSE)=0,"",HLOOKUP(Sheele!$D$5,'Tablas Sheele'!$C$29:$K$86,'Tablas Sheele'!B52,FALSE)+IF('Tablas Sheele'!F$119&gt;0,40+20*('Tablas Sheele'!F$119-1),0)+AC47)</f>
        <v/>
      </c>
      <c r="Y47" s="2580"/>
      <c r="Z47" s="519">
        <f>IF(AD47,IF(OR(Principal!Q44="-",AE47&lt;0),"-",MIN(Principal!Q44,AE47)),AE47)</f>
        <v>-30</v>
      </c>
      <c r="AA47" s="2299"/>
      <c r="AB47" s="2296"/>
      <c r="AC47" s="2797"/>
      <c r="AD47" s="2797"/>
      <c r="AE47" s="2797">
        <f t="shared" si="0"/>
        <v>-30</v>
      </c>
    </row>
    <row r="48" spans="1:31" ht="12" customHeight="1" x14ac:dyDescent="0.2">
      <c r="A48" s="356"/>
      <c r="B48" s="362"/>
      <c r="C48" s="4597" t="str">
        <f>IF(COUNTA($C$43:C47)&lt;='Tablas Sheele'!$H$199,VLOOKUP('Tablas Sheele'!A5,'Tablas Sheele'!$B$111:$R$198,3,FALSE),"")</f>
        <v/>
      </c>
      <c r="D48" s="4598"/>
      <c r="E48" s="506" t="str">
        <f>IF($C48="","",VLOOKUP('Tablas Sheele'!$A5,'Tablas Sheele'!$B$111:$R202,8,FALSE))</f>
        <v/>
      </c>
      <c r="F48" s="506" t="str">
        <f>IF($C48="","",VLOOKUP('Tablas Sheele'!$A5,'Tablas Sheele'!$B$111:$R202,9,FALSE))</f>
        <v/>
      </c>
      <c r="G48" s="392" t="str">
        <f>IF($C48="","",VLOOKUP('Tablas Sheele'!$A5,'Tablas Sheele'!$B$111:$R202,10,FALSE))</f>
        <v/>
      </c>
      <c r="H48" s="4599" t="str">
        <f>IF($C48="","",VLOOKUP('Tablas Sheele'!$A5,'Tablas Sheele'!$B$111:$R202,11,FALSE))</f>
        <v/>
      </c>
      <c r="I48" s="4600"/>
      <c r="J48" s="4600"/>
      <c r="K48" s="4600"/>
      <c r="L48" s="4600"/>
      <c r="M48" s="4600"/>
      <c r="N48" s="4600"/>
      <c r="O48" s="4600"/>
      <c r="P48" s="4600"/>
      <c r="Q48" s="4600"/>
      <c r="R48" s="4600"/>
      <c r="S48" s="4601"/>
      <c r="U48" s="3183"/>
      <c r="V48" s="3107" t="s">
        <v>1451</v>
      </c>
      <c r="W48" s="3107"/>
      <c r="X48" s="1660" t="str">
        <f>IF(HLOOKUP(Sheele!$D$5,'Tablas Sheele'!$C$29:$K$86,'Tablas Sheele'!B53,FALSE)=0,"",HLOOKUP(Sheele!$D$5,'Tablas Sheele'!$C$29:$K$86,'Tablas Sheele'!B53,FALSE)+IF('Tablas Sheele'!F$119&gt;0,40+20*('Tablas Sheele'!F$119-1),0)+AC48)</f>
        <v/>
      </c>
      <c r="Y48" s="2580"/>
      <c r="Z48" s="519" t="str">
        <f>IF(AD48,IF(OR(Principal!Q45="-",AE48&lt;0),"-",MIN(Principal!Q45,AE48)),AE48)</f>
        <v>-</v>
      </c>
      <c r="AA48" s="2298"/>
      <c r="AB48" s="2296"/>
      <c r="AC48" s="2797"/>
      <c r="AD48" s="2797">
        <v>1</v>
      </c>
      <c r="AE48" s="2797">
        <f t="shared" si="0"/>
        <v>-30</v>
      </c>
    </row>
    <row r="49" spans="1:31" ht="12" customHeight="1" x14ac:dyDescent="0.2">
      <c r="A49" s="356"/>
      <c r="B49" s="362"/>
      <c r="C49" s="4597" t="str">
        <f>IF(COUNTA($C$43:C48)&lt;='Tablas Sheele'!$H$199,VLOOKUP('Tablas Sheele'!A6,'Tablas Sheele'!$B$111:$R$198,3,FALSE),"")</f>
        <v/>
      </c>
      <c r="D49" s="4598"/>
      <c r="E49" s="506" t="str">
        <f>IF($C49="","",VLOOKUP('Tablas Sheele'!$A6,'Tablas Sheele'!$B$111:$R203,8,FALSE))</f>
        <v/>
      </c>
      <c r="F49" s="506" t="str">
        <f>IF($C49="","",VLOOKUP('Tablas Sheele'!$A6,'Tablas Sheele'!$B$111:$R203,9,FALSE))</f>
        <v/>
      </c>
      <c r="G49" s="392" t="str">
        <f>IF($C49="","",VLOOKUP('Tablas Sheele'!$A6,'Tablas Sheele'!$B$111:$R203,10,FALSE))</f>
        <v/>
      </c>
      <c r="H49" s="4599" t="str">
        <f>IF($C49="","",VLOOKUP('Tablas Sheele'!$A6,'Tablas Sheele'!$B$111:$R203,11,FALSE))</f>
        <v/>
      </c>
      <c r="I49" s="4600"/>
      <c r="J49" s="4600"/>
      <c r="K49" s="4600"/>
      <c r="L49" s="4600"/>
      <c r="M49" s="4600"/>
      <c r="N49" s="4600"/>
      <c r="O49" s="4600"/>
      <c r="P49" s="4600"/>
      <c r="Q49" s="4600"/>
      <c r="R49" s="4600"/>
      <c r="S49" s="4601"/>
      <c r="U49" s="3183"/>
      <c r="V49" s="3107" t="s">
        <v>1452</v>
      </c>
      <c r="W49" s="3107"/>
      <c r="X49" s="1660" t="str">
        <f>IF(HLOOKUP(Sheele!$D$5,'Tablas Sheele'!$C$29:$K$86,'Tablas Sheele'!B54,FALSE)=0,"",HLOOKUP(Sheele!$D$5,'Tablas Sheele'!$C$29:$K$86,'Tablas Sheele'!B54,FALSE)+IF('Tablas Sheele'!F$119&gt;0,40+20*('Tablas Sheele'!F$119-1),0)+AC49)</f>
        <v/>
      </c>
      <c r="Y49" s="2580"/>
      <c r="Z49" s="519">
        <f>IF(AD49,IF(OR(Principal!Q46="-",AE49&lt;0),"-",MIN(Principal!Q46,AE49)),AE49)</f>
        <v>-30</v>
      </c>
      <c r="AA49" s="2298"/>
      <c r="AB49" s="2296"/>
      <c r="AC49" s="2797"/>
      <c r="AD49" s="2797"/>
      <c r="AE49" s="2797">
        <f t="shared" si="0"/>
        <v>-30</v>
      </c>
    </row>
    <row r="50" spans="1:31" ht="12" customHeight="1" x14ac:dyDescent="0.2">
      <c r="A50" s="356"/>
      <c r="B50" s="362"/>
      <c r="C50" s="4597" t="str">
        <f>IF(COUNTA($C$43:C49)&lt;='Tablas Sheele'!$H$199,VLOOKUP('Tablas Sheele'!A7,'Tablas Sheele'!$B$111:$R$198,3,FALSE),"")</f>
        <v/>
      </c>
      <c r="D50" s="4598"/>
      <c r="E50" s="506" t="str">
        <f>IF($C50="","",VLOOKUP('Tablas Sheele'!$A7,'Tablas Sheele'!$B$111:$R204,8,FALSE))</f>
        <v/>
      </c>
      <c r="F50" s="506" t="str">
        <f>IF($C50="","",VLOOKUP('Tablas Sheele'!$A7,'Tablas Sheele'!$B$111:$R204,9,FALSE))</f>
        <v/>
      </c>
      <c r="G50" s="392" t="str">
        <f>IF($C50="","",VLOOKUP('Tablas Sheele'!$A7,'Tablas Sheele'!$B$111:$R204,10,FALSE))</f>
        <v/>
      </c>
      <c r="H50" s="4599" t="str">
        <f>IF($C50="","",VLOOKUP('Tablas Sheele'!$A7,'Tablas Sheele'!$B$111:$R204,11,FALSE))</f>
        <v/>
      </c>
      <c r="I50" s="4600"/>
      <c r="J50" s="4600"/>
      <c r="K50" s="4600"/>
      <c r="L50" s="4600"/>
      <c r="M50" s="4600"/>
      <c r="N50" s="4600"/>
      <c r="O50" s="4600"/>
      <c r="P50" s="4600"/>
      <c r="Q50" s="4600"/>
      <c r="R50" s="4600"/>
      <c r="S50" s="4601"/>
      <c r="U50" s="3183"/>
      <c r="V50" s="3107" t="s">
        <v>1453</v>
      </c>
      <c r="W50" s="3107"/>
      <c r="X50" s="1660" t="str">
        <f>IF(HLOOKUP(Sheele!$D$5,'Tablas Sheele'!$C$29:$K$86,'Tablas Sheele'!B55,FALSE)=0,"",HLOOKUP(Sheele!$D$5,'Tablas Sheele'!$C$29:$K$86,'Tablas Sheele'!B55,FALSE)+IF('Tablas Sheele'!F$119&gt;0,40+20*('Tablas Sheele'!F$119-1),0)+AC50)</f>
        <v/>
      </c>
      <c r="Y50" s="2580"/>
      <c r="Z50" s="519">
        <f>IF(AD50,IF(OR(Principal!Q47="-",AE50&lt;0),"-",MIN(Principal!Q47,AE50)),AE50)</f>
        <v>-30</v>
      </c>
      <c r="AA50" s="2298"/>
      <c r="AB50" s="2296"/>
      <c r="AC50" s="2797"/>
      <c r="AD50" s="2797"/>
      <c r="AE50" s="2797">
        <f t="shared" si="0"/>
        <v>-30</v>
      </c>
    </row>
    <row r="51" spans="1:31" ht="12" customHeight="1" x14ac:dyDescent="0.2">
      <c r="A51" s="356"/>
      <c r="B51" s="362"/>
      <c r="C51" s="4597" t="str">
        <f>IF(COUNTA($C$43:C50)&lt;='Tablas Sheele'!$H$199,VLOOKUP('Tablas Sheele'!A8,'Tablas Sheele'!$B$111:$R$198,3,FALSE),"")</f>
        <v/>
      </c>
      <c r="D51" s="4598"/>
      <c r="E51" s="506" t="str">
        <f>IF($C51="","",VLOOKUP('Tablas Sheele'!$A8,'Tablas Sheele'!$B$111:$R205,8,FALSE))</f>
        <v/>
      </c>
      <c r="F51" s="506" t="str">
        <f>IF($C51="","",VLOOKUP('Tablas Sheele'!$A8,'Tablas Sheele'!$B$111:$R205,9,FALSE))</f>
        <v/>
      </c>
      <c r="G51" s="392" t="str">
        <f>IF($C51="","",VLOOKUP('Tablas Sheele'!$A8,'Tablas Sheele'!$B$111:$R205,10,FALSE))</f>
        <v/>
      </c>
      <c r="H51" s="4599" t="str">
        <f>IF($C51="","",VLOOKUP('Tablas Sheele'!$A8,'Tablas Sheele'!$B$111:$R205,11,FALSE))</f>
        <v/>
      </c>
      <c r="I51" s="4600"/>
      <c r="J51" s="4600"/>
      <c r="K51" s="4600"/>
      <c r="L51" s="4600"/>
      <c r="M51" s="4600"/>
      <c r="N51" s="4600"/>
      <c r="O51" s="4600"/>
      <c r="P51" s="4600"/>
      <c r="Q51" s="4600"/>
      <c r="R51" s="4600"/>
      <c r="S51" s="4601"/>
      <c r="U51" s="3183"/>
      <c r="V51" s="3107" t="s">
        <v>1454</v>
      </c>
      <c r="W51" s="3107"/>
      <c r="X51" s="1660" t="str">
        <f>IF(HLOOKUP(Sheele!$D$5,'Tablas Sheele'!$C$29:$K$86,'Tablas Sheele'!B56,FALSE)=0,"",HLOOKUP(Sheele!$D$5,'Tablas Sheele'!$C$29:$K$86,'Tablas Sheele'!B56,FALSE)+IF('Tablas Sheele'!F$119&gt;0,40+20*('Tablas Sheele'!F$119-1),0)+AC51)</f>
        <v/>
      </c>
      <c r="Y51" s="2580"/>
      <c r="Z51" s="519">
        <f>IF(AD51,IF(OR(Principal!Q48="-",AE51&lt;0),"-",MIN(Principal!Q48,AE51)),AE51)</f>
        <v>-30</v>
      </c>
      <c r="AA51" s="2298"/>
      <c r="AB51" s="2296"/>
      <c r="AC51" s="2797"/>
      <c r="AD51" s="2797"/>
      <c r="AE51" s="2797">
        <f t="shared" si="0"/>
        <v>-30</v>
      </c>
    </row>
    <row r="52" spans="1:31" ht="12" customHeight="1" x14ac:dyDescent="0.2">
      <c r="A52" s="356"/>
      <c r="B52" s="362"/>
      <c r="C52" s="4597" t="str">
        <f>IF(COUNTA($C$43:C51)&lt;='Tablas Sheele'!$H$199,VLOOKUP('Tablas Sheele'!A9,'Tablas Sheele'!$B$111:$R$198,3,FALSE),"")</f>
        <v/>
      </c>
      <c r="D52" s="4598"/>
      <c r="E52" s="506" t="str">
        <f>IF($C52="","",VLOOKUP('Tablas Sheele'!$A9,'Tablas Sheele'!$B$111:$R206,8,FALSE))</f>
        <v/>
      </c>
      <c r="F52" s="506" t="str">
        <f>IF($C52="","",VLOOKUP('Tablas Sheele'!$A9,'Tablas Sheele'!$B$111:$R206,9,FALSE))</f>
        <v/>
      </c>
      <c r="G52" s="392" t="str">
        <f>IF($C52="","",VLOOKUP('Tablas Sheele'!$A9,'Tablas Sheele'!$B$111:$R206,10,FALSE))</f>
        <v/>
      </c>
      <c r="H52" s="4599" t="str">
        <f>IF($C52="","",VLOOKUP('Tablas Sheele'!$A9,'Tablas Sheele'!$B$111:$R206,11,FALSE))</f>
        <v/>
      </c>
      <c r="I52" s="4600"/>
      <c r="J52" s="4600"/>
      <c r="K52" s="4600"/>
      <c r="L52" s="4600"/>
      <c r="M52" s="4600"/>
      <c r="N52" s="4600"/>
      <c r="O52" s="4600"/>
      <c r="P52" s="4600"/>
      <c r="Q52" s="4600"/>
      <c r="R52" s="4600"/>
      <c r="S52" s="4601"/>
      <c r="U52" s="3183"/>
      <c r="V52" s="3107" t="s">
        <v>1455</v>
      </c>
      <c r="W52" s="3107"/>
      <c r="X52" s="1660" t="str">
        <f>IF(HLOOKUP(Sheele!$D$5,'Tablas Sheele'!$C$29:$K$86,'Tablas Sheele'!B57,FALSE)=0,"",HLOOKUP(Sheele!$D$5,'Tablas Sheele'!$C$29:$K$86,'Tablas Sheele'!B57,FALSE)+IF('Tablas Sheele'!F$119&gt;0,40+20*('Tablas Sheele'!F$119-1),0)+AC52)</f>
        <v/>
      </c>
      <c r="Y52" s="2580"/>
      <c r="Z52" s="519" t="str">
        <f>IF(AD52,IF(OR(Principal!Q49="-",AE52&lt;0),"-",MIN(Principal!Q49,AE52)),AE52)</f>
        <v>-</v>
      </c>
      <c r="AA52" s="2298"/>
      <c r="AB52" s="2296"/>
      <c r="AC52" s="2797"/>
      <c r="AD52" s="2797">
        <v>1</v>
      </c>
      <c r="AE52" s="2797">
        <f t="shared" si="0"/>
        <v>-30</v>
      </c>
    </row>
    <row r="53" spans="1:31" ht="12" customHeight="1" x14ac:dyDescent="0.2">
      <c r="A53" s="356"/>
      <c r="B53" s="362"/>
      <c r="C53" s="4602" t="str">
        <f>IF(COUNTA($C$43:C52)&lt;='Tablas Sheele'!$H$199,VLOOKUP('Tablas Sheele'!A10,'Tablas Sheele'!$B$111:$R$198,3,FALSE),"")</f>
        <v/>
      </c>
      <c r="D53" s="4603"/>
      <c r="E53" s="506" t="str">
        <f>IF($C53="","",VLOOKUP('Tablas Sheele'!$A10,'Tablas Sheele'!$B$111:$R207,8,FALSE))</f>
        <v/>
      </c>
      <c r="F53" s="506" t="str">
        <f>IF($C53="","",VLOOKUP('Tablas Sheele'!$A10,'Tablas Sheele'!$B$111:$R207,9,FALSE))</f>
        <v/>
      </c>
      <c r="G53" s="392" t="str">
        <f>IF($C53="","",VLOOKUP('Tablas Sheele'!$A10,'Tablas Sheele'!$B$111:$R207,10,FALSE))</f>
        <v/>
      </c>
      <c r="H53" s="4604" t="str">
        <f>IF($C53="","",VLOOKUP('Tablas Sheele'!$A10,'Tablas Sheele'!$B$111:$R207,11,FALSE))</f>
        <v/>
      </c>
      <c r="I53" s="4605"/>
      <c r="J53" s="4605"/>
      <c r="K53" s="4605"/>
      <c r="L53" s="4605"/>
      <c r="M53" s="4605"/>
      <c r="N53" s="4605"/>
      <c r="O53" s="4605"/>
      <c r="P53" s="4605"/>
      <c r="Q53" s="4605"/>
      <c r="R53" s="4605"/>
      <c r="S53" s="4606"/>
      <c r="U53" s="3183"/>
      <c r="V53" s="4722" t="s">
        <v>1456</v>
      </c>
      <c r="W53" s="4723"/>
      <c r="X53" s="2697">
        <f>IF(HLOOKUP(Sheele!$D$5,'Tablas Sheele'!$C$29:$K$86,'Tablas Sheele'!B58,FALSE)=0,"",HLOOKUP(Sheele!$D$5,'Tablas Sheele'!$C$29:$K$86,'Tablas Sheele'!B58,FALSE)+IF('Tablas Sheele'!F$119&gt;0,40+20*('Tablas Sheele'!F$119-1),0)+AC53)</f>
        <v>80</v>
      </c>
      <c r="Y53" s="2582"/>
      <c r="Z53" s="2030" t="str">
        <f>IF(AD53,IF(OR(Principal!Q50="-",AE53&lt;0),"-",MIN(Principal!Q50,AE53)),AE53)</f>
        <v>-</v>
      </c>
      <c r="AA53" s="2298"/>
      <c r="AB53" s="2296"/>
      <c r="AC53" s="2797"/>
      <c r="AD53" s="2797">
        <v>1</v>
      </c>
      <c r="AE53" s="2797">
        <f t="shared" si="0"/>
        <v>80</v>
      </c>
    </row>
    <row r="54" spans="1:31" ht="12" customHeight="1" x14ac:dyDescent="0.2">
      <c r="A54" s="356"/>
      <c r="B54" s="362"/>
      <c r="C54" s="4613" t="s">
        <v>2707</v>
      </c>
      <c r="D54" s="4614"/>
      <c r="E54" s="4779" t="s">
        <v>1558</v>
      </c>
      <c r="F54" s="4780"/>
      <c r="G54" s="4780"/>
      <c r="H54" s="4780"/>
      <c r="I54" s="4780"/>
      <c r="J54" s="4780"/>
      <c r="K54" s="4780"/>
      <c r="L54" s="4780"/>
      <c r="M54" s="4780"/>
      <c r="N54" s="4780"/>
      <c r="O54" s="4780"/>
      <c r="P54" s="4780"/>
      <c r="Q54" s="4780"/>
      <c r="R54" s="4780"/>
      <c r="S54" s="4781"/>
      <c r="U54" s="4721" t="s">
        <v>1457</v>
      </c>
      <c r="V54" s="3107" t="s">
        <v>1458</v>
      </c>
      <c r="W54" s="3107"/>
      <c r="X54" s="1660" t="str">
        <f>IF(HLOOKUP(Sheele!$D$5,'Tablas Sheele'!$C$29:$K$86,'Tablas Sheele'!B59,FALSE)=0,"",HLOOKUP(Sheele!$D$5,'Tablas Sheele'!$C$29:$K$86,'Tablas Sheele'!B59,FALSE)+IF('Tablas Sheele'!F$119&gt;0,40+20*('Tablas Sheele'!F$119-1),0)+AC54)</f>
        <v/>
      </c>
      <c r="Y54" s="2579"/>
      <c r="Z54" s="519">
        <f>IF(AD54,IF(OR(Principal!Q51="-",AE54&lt;0),"-",MIN(Principal!Q51,AE54)),AE54)</f>
        <v>-30</v>
      </c>
      <c r="AA54" s="2298"/>
      <c r="AB54" s="2296"/>
      <c r="AC54" s="2797"/>
      <c r="AD54" s="2797"/>
      <c r="AE54" s="2797">
        <f t="shared" si="0"/>
        <v>-30</v>
      </c>
    </row>
    <row r="55" spans="1:31" ht="12" customHeight="1" x14ac:dyDescent="0.2">
      <c r="A55" s="356"/>
      <c r="B55" s="362"/>
      <c r="C55" s="4607" t="str">
        <f>IF(COUNTA($C$54:C54)&lt;='Tablas Sheele'!$H$110,VLOOKUP('Tablas Sheele'!A1,'Tablas Sheele'!$B$91:$D$109,3,FALSE),"")</f>
        <v/>
      </c>
      <c r="D55" s="4608"/>
      <c r="E55" s="4776" t="str">
        <f>IF($C55="","",VLOOKUP(C55,'Tablas Sheele'!D92:Q109,9,FALSE))</f>
        <v/>
      </c>
      <c r="F55" s="4776"/>
      <c r="G55" s="4776"/>
      <c r="H55" s="4776"/>
      <c r="I55" s="4776"/>
      <c r="J55" s="4776"/>
      <c r="K55" s="4776"/>
      <c r="L55" s="4776"/>
      <c r="M55" s="4776"/>
      <c r="N55" s="4776"/>
      <c r="O55" s="4776"/>
      <c r="P55" s="4776"/>
      <c r="Q55" s="4776"/>
      <c r="R55" s="4776"/>
      <c r="S55" s="4777"/>
      <c r="U55" s="3183"/>
      <c r="V55" s="3107" t="s">
        <v>1459</v>
      </c>
      <c r="W55" s="3107"/>
      <c r="X55" s="1660" t="str">
        <f>IF(HLOOKUP(Sheele!$D$5,'Tablas Sheele'!$C$29:$K$86,'Tablas Sheele'!B60,FALSE)=0,"",HLOOKUP(Sheele!$D$5,'Tablas Sheele'!$C$29:$K$86,'Tablas Sheele'!B60,FALSE)+IF('Tablas Sheele'!F$119&gt;0,40+20*('Tablas Sheele'!F$119-1),0)+AC55)</f>
        <v/>
      </c>
      <c r="Y55" s="2580"/>
      <c r="Z55" s="519">
        <f>IF(AD55,IF(OR(Principal!Q52="-",AE55&lt;0),"-",MIN(Principal!Q52,AE55)),AE55)</f>
        <v>-30</v>
      </c>
      <c r="AA55" s="2298"/>
      <c r="AB55" s="2296"/>
      <c r="AC55" s="2797"/>
      <c r="AD55" s="2797"/>
      <c r="AE55" s="2797">
        <f t="shared" si="0"/>
        <v>-30</v>
      </c>
    </row>
    <row r="56" spans="1:31" ht="12" customHeight="1" x14ac:dyDescent="0.2">
      <c r="A56" s="356"/>
      <c r="B56" s="362"/>
      <c r="C56" s="4609" t="str">
        <f>IF(COUNTA($C$54:C55)&lt;='Tablas Sheele'!$H$110,VLOOKUP('Tablas Sheele'!A2,'Tablas Sheele'!$B$91:$D$109,3,FALSE),"")</f>
        <v/>
      </c>
      <c r="D56" s="4610"/>
      <c r="E56" s="4599" t="str">
        <f>IF($C56="","",VLOOKUP(C56,'Tablas Sheele'!D93:Q110,9,FALSE))</f>
        <v/>
      </c>
      <c r="F56" s="4600"/>
      <c r="G56" s="4600"/>
      <c r="H56" s="4600"/>
      <c r="I56" s="4600"/>
      <c r="J56" s="4600"/>
      <c r="K56" s="4600"/>
      <c r="L56" s="4600"/>
      <c r="M56" s="4600"/>
      <c r="N56" s="4600"/>
      <c r="O56" s="4600"/>
      <c r="P56" s="4600"/>
      <c r="Q56" s="4600"/>
      <c r="R56" s="4600"/>
      <c r="S56" s="4601"/>
      <c r="U56" s="3184"/>
      <c r="V56" s="4722" t="s">
        <v>1462</v>
      </c>
      <c r="W56" s="4723"/>
      <c r="X56" s="2697" t="str">
        <f>IF(HLOOKUP(Sheele!$D$5,'Tablas Sheele'!$C$29:$K$86,'Tablas Sheele'!B61,FALSE)=0,"",HLOOKUP(Sheele!$D$5,'Tablas Sheele'!$C$29:$K$86,'Tablas Sheele'!B61,FALSE)+IF('Tablas Sheele'!F$119&gt;0,40+20*('Tablas Sheele'!F$119-1),0)+AC56)</f>
        <v/>
      </c>
      <c r="Y56" s="2581"/>
      <c r="Z56" s="2699">
        <f>IF(AD56,IF(OR(Principal!Q53="-",AE56&lt;0),"-",MIN(Principal!Q53,AE56)),AE56)</f>
        <v>-30</v>
      </c>
      <c r="AA56" s="2298"/>
      <c r="AB56" s="2296"/>
      <c r="AC56" s="2797"/>
      <c r="AD56" s="2797"/>
      <c r="AE56" s="2797">
        <f t="shared" si="0"/>
        <v>-30</v>
      </c>
    </row>
    <row r="57" spans="1:31" ht="12" customHeight="1" x14ac:dyDescent="0.2">
      <c r="A57" s="356"/>
      <c r="B57" s="362"/>
      <c r="C57" s="4609" t="str">
        <f>IF(COUNTA($C$54:C56)&lt;='Tablas Sheele'!$H$110,VLOOKUP('Tablas Sheele'!A3,'Tablas Sheele'!$B$91:$D$109,3,FALSE),"")</f>
        <v/>
      </c>
      <c r="D57" s="4610"/>
      <c r="E57" s="4599" t="str">
        <f>IF($C57="","",VLOOKUP(C57,'Tablas Sheele'!D94:Q111,9,FALSE))</f>
        <v/>
      </c>
      <c r="F57" s="4600"/>
      <c r="G57" s="4600"/>
      <c r="H57" s="4600"/>
      <c r="I57" s="4600"/>
      <c r="J57" s="4600"/>
      <c r="K57" s="4600"/>
      <c r="L57" s="4600"/>
      <c r="M57" s="4600"/>
      <c r="N57" s="4600"/>
      <c r="O57" s="4600"/>
      <c r="P57" s="4600"/>
      <c r="Q57" s="4600"/>
      <c r="R57" s="4600"/>
      <c r="S57" s="4601"/>
      <c r="U57" s="3183" t="s">
        <v>1465</v>
      </c>
      <c r="V57" s="3107" t="s">
        <v>1466</v>
      </c>
      <c r="W57" s="3107"/>
      <c r="X57" s="1660" t="str">
        <f>IF(HLOOKUP(Sheele!$D$5,'Tablas Sheele'!$C$29:$K$86,'Tablas Sheele'!B62,FALSE)=0,"",HLOOKUP(Sheele!$D$5,'Tablas Sheele'!$C$29:$K$86,'Tablas Sheele'!B62,FALSE)+IF('Tablas Sheele'!F$119&gt;0,40+20*('Tablas Sheele'!F$119-1),0)+AC57)</f>
        <v/>
      </c>
      <c r="Y57" s="2583"/>
      <c r="Z57" s="519">
        <f>IF(AD57,IF(OR(Principal!Q54="-",AE57&lt;0),"-",MIN(Principal!Q54,AE57)),AE57)</f>
        <v>-30</v>
      </c>
      <c r="AA57" s="2298"/>
      <c r="AB57" s="2296"/>
      <c r="AC57" s="2797"/>
      <c r="AD57" s="2797"/>
      <c r="AE57" s="2797">
        <f t="shared" si="0"/>
        <v>-30</v>
      </c>
    </row>
    <row r="58" spans="1:31" ht="12" customHeight="1" x14ac:dyDescent="0.2">
      <c r="A58" s="356"/>
      <c r="B58" s="362"/>
      <c r="C58" s="4609" t="str">
        <f>IF(COUNTA($C$54:C57)&lt;='Tablas Sheele'!$H$110,VLOOKUP('Tablas Sheele'!A4,'Tablas Sheele'!$B$91:$D$109,3,FALSE),"")</f>
        <v/>
      </c>
      <c r="D58" s="4610"/>
      <c r="E58" s="4599" t="str">
        <f>IF($C58="","",VLOOKUP(C58,'Tablas Sheele'!D95:Q112,9,FALSE))</f>
        <v/>
      </c>
      <c r="F58" s="4600"/>
      <c r="G58" s="4600"/>
      <c r="H58" s="4600"/>
      <c r="I58" s="4600"/>
      <c r="J58" s="4600"/>
      <c r="K58" s="4600"/>
      <c r="L58" s="4600"/>
      <c r="M58" s="4600"/>
      <c r="N58" s="4600"/>
      <c r="O58" s="4600"/>
      <c r="P58" s="4600"/>
      <c r="Q58" s="4600"/>
      <c r="R58" s="4600"/>
      <c r="S58" s="4601"/>
      <c r="U58" s="3183"/>
      <c r="V58" s="3107" t="s">
        <v>1468</v>
      </c>
      <c r="W58" s="3107"/>
      <c r="X58" s="1660" t="str">
        <f>IF(HLOOKUP(Sheele!$D$5,'Tablas Sheele'!$C$29:$K$86,'Tablas Sheele'!B63,FALSE)=0,"",HLOOKUP(Sheele!$D$5,'Tablas Sheele'!$C$29:$K$86,'Tablas Sheele'!B63,FALSE)+IF('Tablas Sheele'!F$119&gt;0,40+20*('Tablas Sheele'!F$119-1),0)+AC58)</f>
        <v/>
      </c>
      <c r="Y58" s="2580"/>
      <c r="Z58" s="519">
        <f>IF(AD58,IF(OR(Principal!Q55="-",AE58&lt;0),"-",MIN(Principal!Q55,AE58)),AE58)</f>
        <v>-30</v>
      </c>
      <c r="AA58" s="2298"/>
      <c r="AB58" s="2296"/>
      <c r="AC58" s="2797"/>
      <c r="AD58" s="2797"/>
      <c r="AE58" s="2797">
        <f t="shared" si="0"/>
        <v>-30</v>
      </c>
    </row>
    <row r="59" spans="1:31" ht="12" customHeight="1" x14ac:dyDescent="0.2">
      <c r="A59" s="356"/>
      <c r="B59" s="362"/>
      <c r="C59" s="4609" t="str">
        <f>IF(COUNTA($C$54:C58)&lt;='Tablas Sheele'!$H$110,VLOOKUP('Tablas Sheele'!A5,'Tablas Sheele'!$B$91:$D$109,3,FALSE),"")</f>
        <v/>
      </c>
      <c r="D59" s="4610"/>
      <c r="E59" s="4599" t="str">
        <f>IF($C59="","",VLOOKUP(C59,'Tablas Sheele'!D96:Q113,9,FALSE))</f>
        <v/>
      </c>
      <c r="F59" s="4600"/>
      <c r="G59" s="4600"/>
      <c r="H59" s="4600"/>
      <c r="I59" s="4600"/>
      <c r="J59" s="4600"/>
      <c r="K59" s="4600"/>
      <c r="L59" s="4600"/>
      <c r="M59" s="4600"/>
      <c r="N59" s="4600"/>
      <c r="O59" s="4600"/>
      <c r="P59" s="4600"/>
      <c r="Q59" s="4600"/>
      <c r="R59" s="4600"/>
      <c r="S59" s="4601"/>
      <c r="U59" s="3183"/>
      <c r="V59" s="3107" t="s">
        <v>1470</v>
      </c>
      <c r="W59" s="3107"/>
      <c r="X59" s="1660" t="str">
        <f>IF(HLOOKUP(Sheele!$D$5,'Tablas Sheele'!$C$29:$K$86,'Tablas Sheele'!B64,FALSE)=0,"",HLOOKUP(Sheele!$D$5,'Tablas Sheele'!$C$29:$K$86,'Tablas Sheele'!B64,FALSE)+IF('Tablas Sheele'!F$119&gt;0,40+20*('Tablas Sheele'!F$119-1),0)+AC59)</f>
        <v/>
      </c>
      <c r="Y59" s="2580"/>
      <c r="Z59" s="519">
        <f>IF(AD59,IF(OR(Principal!Q56="-",AE59&lt;0),"-",MIN(Principal!Q56,AE59)),AE59)</f>
        <v>-30</v>
      </c>
      <c r="AA59" s="2705"/>
      <c r="AB59" s="2296"/>
      <c r="AC59" s="2798">
        <f>IF('Tablas Sheele'!$F$167&gt;0,100,0)</f>
        <v>0</v>
      </c>
      <c r="AD59" s="2797"/>
      <c r="AE59" s="2797">
        <f t="shared" si="0"/>
        <v>-30</v>
      </c>
    </row>
    <row r="60" spans="1:31" ht="12" customHeight="1" x14ac:dyDescent="0.2">
      <c r="A60" s="356"/>
      <c r="B60" s="362"/>
      <c r="C60" s="4609" t="str">
        <f>IF(COUNTA($C$54:C59)&lt;='Tablas Sheele'!$H$110,VLOOKUP('Tablas Sheele'!A6,'Tablas Sheele'!$B$91:$D$109,3,FALSE),"")</f>
        <v/>
      </c>
      <c r="D60" s="4610"/>
      <c r="E60" s="4599" t="str">
        <f>IF($C60="","",VLOOKUP(C60,'Tablas Sheele'!D97:Q114,9,FALSE))</f>
        <v/>
      </c>
      <c r="F60" s="4600"/>
      <c r="G60" s="4600"/>
      <c r="H60" s="4600"/>
      <c r="I60" s="4600"/>
      <c r="J60" s="4600"/>
      <c r="K60" s="4600"/>
      <c r="L60" s="4600"/>
      <c r="M60" s="4600"/>
      <c r="N60" s="4600"/>
      <c r="O60" s="4600"/>
      <c r="P60" s="4600"/>
      <c r="Q60" s="4600"/>
      <c r="R60" s="4600"/>
      <c r="S60" s="4601"/>
      <c r="U60" s="3183"/>
      <c r="V60" s="3107" t="s">
        <v>1472</v>
      </c>
      <c r="W60" s="3107"/>
      <c r="X60" s="1660">
        <f>IF(HLOOKUP(Sheele!$D$5,'Tablas Sheele'!$C$29:$K$86,'Tablas Sheele'!B65,FALSE)=0,"",HLOOKUP(Sheele!$D$5,'Tablas Sheele'!$C$29:$K$86,'Tablas Sheele'!B65,FALSE)+IF('Tablas Sheele'!F$119&gt;0,40+20*('Tablas Sheele'!F$119-1),0)+AC60)</f>
        <v>40</v>
      </c>
      <c r="Y60" s="2580"/>
      <c r="Z60" s="519">
        <f>IF(AD60,IF(OR(Principal!Q57="-",AE60&lt;0),"-",MIN(Principal!Q57,AE60)),AE60)</f>
        <v>40</v>
      </c>
      <c r="AA60" s="2298"/>
      <c r="AB60" s="2296"/>
      <c r="AC60" s="2799"/>
      <c r="AD60" s="2797"/>
      <c r="AE60" s="2797">
        <f t="shared" si="0"/>
        <v>40</v>
      </c>
    </row>
    <row r="61" spans="1:31" ht="12" customHeight="1" x14ac:dyDescent="0.2">
      <c r="A61" s="356"/>
      <c r="B61" s="362"/>
      <c r="C61" s="4609" t="str">
        <f>IF(COUNTA($C$54:C60)&lt;='Tablas Sheele'!$H$110,VLOOKUP('Tablas Sheele'!A7,'Tablas Sheele'!$B$91:$D$109,3,FALSE),"")</f>
        <v/>
      </c>
      <c r="D61" s="4610"/>
      <c r="E61" s="4599" t="str">
        <f>IF($C61="","",VLOOKUP(C61,'Tablas Sheele'!D98:Q115,9,FALSE))</f>
        <v/>
      </c>
      <c r="F61" s="4600"/>
      <c r="G61" s="4600"/>
      <c r="H61" s="4600"/>
      <c r="I61" s="4600"/>
      <c r="J61" s="4600"/>
      <c r="K61" s="4600"/>
      <c r="L61" s="4600"/>
      <c r="M61" s="4600"/>
      <c r="N61" s="4600"/>
      <c r="O61" s="4600"/>
      <c r="P61" s="4600"/>
      <c r="Q61" s="4600"/>
      <c r="R61" s="4600"/>
      <c r="S61" s="4601"/>
      <c r="U61" s="3183"/>
      <c r="V61" s="3107" t="s">
        <v>1474</v>
      </c>
      <c r="W61" s="3107"/>
      <c r="X61" s="1660" t="str">
        <f>IF(HLOOKUP(Sheele!$D$5,'Tablas Sheele'!$C$29:$K$86,'Tablas Sheele'!B66,FALSE)=0,"",HLOOKUP(Sheele!$D$5,'Tablas Sheele'!$C$29:$K$86,'Tablas Sheele'!B66,FALSE)+IF('Tablas Sheele'!F$119&gt;0,40+20*('Tablas Sheele'!F$119-1),0)+AC61)</f>
        <v/>
      </c>
      <c r="Y61" s="2580"/>
      <c r="Z61" s="519">
        <f>IF(AD61,IF(OR(Principal!Q58="-",AE61&lt;0),"-",MIN(Principal!Q58,AE61)),AE61)</f>
        <v>-30</v>
      </c>
      <c r="AA61" s="2705"/>
      <c r="AB61" s="2296"/>
      <c r="AC61" s="2798">
        <f>IF('Tablas Sheele'!$F$167&gt;0,100,0)</f>
        <v>0</v>
      </c>
      <c r="AD61" s="2797"/>
      <c r="AE61" s="2797">
        <f t="shared" si="0"/>
        <v>-30</v>
      </c>
    </row>
    <row r="62" spans="1:31" ht="12" customHeight="1" x14ac:dyDescent="0.2">
      <c r="A62" s="356"/>
      <c r="B62" s="362"/>
      <c r="C62" s="4609" t="str">
        <f>IF(COUNTA($C$54:C61)&lt;='Tablas Sheele'!$H$110,VLOOKUP('Tablas Sheele'!A8,'Tablas Sheele'!$B$91:$D$109,3,FALSE),"")</f>
        <v/>
      </c>
      <c r="D62" s="4610"/>
      <c r="E62" s="4599" t="str">
        <f>IF($C62="","",VLOOKUP(C62,'Tablas Sheele'!D99:Q116,9,FALSE))</f>
        <v/>
      </c>
      <c r="F62" s="4600"/>
      <c r="G62" s="4600"/>
      <c r="H62" s="4600"/>
      <c r="I62" s="4600"/>
      <c r="J62" s="4600"/>
      <c r="K62" s="4600"/>
      <c r="L62" s="4600"/>
      <c r="M62" s="4600"/>
      <c r="N62" s="4600"/>
      <c r="O62" s="4600"/>
      <c r="P62" s="4600"/>
      <c r="Q62" s="4600"/>
      <c r="R62" s="4600"/>
      <c r="S62" s="4601"/>
      <c r="U62" s="3183"/>
      <c r="V62" s="3107" t="s">
        <v>1476</v>
      </c>
      <c r="W62" s="3107"/>
      <c r="X62" s="1660" t="str">
        <f>IF(HLOOKUP(Sheele!$D$5,'Tablas Sheele'!$C$29:$K$86,'Tablas Sheele'!B67,FALSE)=0,"",HLOOKUP(Sheele!$D$5,'Tablas Sheele'!$C$29:$K$86,'Tablas Sheele'!B67,FALSE)+IF('Tablas Sheele'!F$119&gt;0,40+20*('Tablas Sheele'!F$119-1),0)+AC62)</f>
        <v/>
      </c>
      <c r="Y62" s="2580"/>
      <c r="Z62" s="519">
        <f>IF(AD62,IF(OR(Principal!Q59="-",AE62&lt;0),"-",MIN(Principal!Q59,AE62)),AE62)</f>
        <v>-30</v>
      </c>
      <c r="AA62" s="2298"/>
      <c r="AB62" s="2296"/>
      <c r="AC62" s="2797"/>
      <c r="AD62" s="2797"/>
      <c r="AE62" s="2797">
        <f t="shared" si="0"/>
        <v>-30</v>
      </c>
    </row>
    <row r="63" spans="1:31" ht="12" customHeight="1" x14ac:dyDescent="0.2">
      <c r="A63" s="356"/>
      <c r="B63" s="294"/>
      <c r="C63" s="4609" t="str">
        <f>IF(COUNTA($C$54:C62)&lt;='Tablas Sheele'!$H$110,VLOOKUP('Tablas Sheele'!A9,'Tablas Sheele'!$B$91:$D$109,3,FALSE),"")</f>
        <v/>
      </c>
      <c r="D63" s="4610"/>
      <c r="E63" s="4599" t="str">
        <f>IF($C63="","",VLOOKUP(C63,'Tablas Sheele'!D100:Q117,9,FALSE))</f>
        <v/>
      </c>
      <c r="F63" s="4600"/>
      <c r="G63" s="4600"/>
      <c r="H63" s="4600"/>
      <c r="I63" s="4600"/>
      <c r="J63" s="4600"/>
      <c r="K63" s="4600"/>
      <c r="L63" s="4600"/>
      <c r="M63" s="4600"/>
      <c r="N63" s="4600"/>
      <c r="O63" s="4600"/>
      <c r="P63" s="4600"/>
      <c r="Q63" s="4600"/>
      <c r="R63" s="4600"/>
      <c r="S63" s="4601"/>
      <c r="U63" s="3183"/>
      <c r="V63" s="4722" t="s">
        <v>1477</v>
      </c>
      <c r="W63" s="4723"/>
      <c r="X63" s="2697" t="str">
        <f>IF(HLOOKUP(Sheele!$D$5,'Tablas Sheele'!$C$29:$K$86,'Tablas Sheele'!B68,FALSE)=0,"",HLOOKUP(Sheele!$D$5,'Tablas Sheele'!$C$29:$K$86,'Tablas Sheele'!B68,FALSE)+IF('Tablas Sheele'!F$119&gt;0,40+20*('Tablas Sheele'!F$119-1),0)+AC63)</f>
        <v/>
      </c>
      <c r="Y63" s="2582"/>
      <c r="Z63" s="2030" t="str">
        <f>IF(AD63,IF(OR(Principal!Q60="-",AE63&lt;0),"-",MIN(Principal!Q60,AE63)),AE63)</f>
        <v>-</v>
      </c>
      <c r="AA63" s="2298"/>
      <c r="AB63" s="2296"/>
      <c r="AC63" s="2797"/>
      <c r="AD63" s="2797">
        <v>1</v>
      </c>
      <c r="AE63" s="2797">
        <f t="shared" si="0"/>
        <v>-30</v>
      </c>
    </row>
    <row r="64" spans="1:31" ht="12" customHeight="1" thickBot="1" x14ac:dyDescent="0.25">
      <c r="A64" s="356"/>
      <c r="B64" s="294"/>
      <c r="C64" s="4595" t="str">
        <f>IF(COUNTA($C$54:C63)&lt;='Tablas Sheele'!$H$110,VLOOKUP('Tablas Sheele'!A10,'Tablas Sheele'!$B$91:$D$109,3,FALSE),"")</f>
        <v/>
      </c>
      <c r="D64" s="4596"/>
      <c r="E64" s="4792" t="str">
        <f>IF($C64="","",VLOOKUP(C64,'Tablas Sheele'!D101:Q118,9,FALSE))</f>
        <v/>
      </c>
      <c r="F64" s="4793"/>
      <c r="G64" s="4793"/>
      <c r="H64" s="4793"/>
      <c r="I64" s="4793"/>
      <c r="J64" s="4793"/>
      <c r="K64" s="4793"/>
      <c r="L64" s="4793"/>
      <c r="M64" s="4793"/>
      <c r="N64" s="4793"/>
      <c r="O64" s="4793"/>
      <c r="P64" s="4793"/>
      <c r="Q64" s="4793"/>
      <c r="R64" s="4793"/>
      <c r="S64" s="4794"/>
      <c r="U64" s="4721" t="s">
        <v>1478</v>
      </c>
      <c r="V64" s="3107" t="s">
        <v>1479</v>
      </c>
      <c r="W64" s="3107"/>
      <c r="X64" s="1660" t="str">
        <f>IF(HLOOKUP(Sheele!$D$5,'Tablas Sheele'!$C$29:$K$86,'Tablas Sheele'!B69,FALSE)=0,"",HLOOKUP(Sheele!$D$5,'Tablas Sheele'!$C$29:$K$86,'Tablas Sheele'!B69,FALSE)+IF('Tablas Sheele'!F$119&gt;0,40+20*('Tablas Sheele'!F$119-1),0)+AC64)</f>
        <v/>
      </c>
      <c r="Y64" s="2579"/>
      <c r="Z64" s="519">
        <f>IF(AD64,IF(OR(Principal!Q61="-",AE64&lt;0),"-",MIN(Principal!Q61,AE64)),AE64)</f>
        <v>-30</v>
      </c>
      <c r="AA64" s="2298"/>
      <c r="AB64" s="2296"/>
      <c r="AC64" s="2797"/>
      <c r="AD64" s="2797"/>
      <c r="AE64" s="2797">
        <f t="shared" si="0"/>
        <v>-30</v>
      </c>
    </row>
    <row r="65" spans="1:31" ht="12" customHeight="1" thickBot="1" x14ac:dyDescent="0.25">
      <c r="A65" s="356"/>
      <c r="B65" s="294"/>
      <c r="S65" s="358"/>
      <c r="U65" s="3183"/>
      <c r="V65" s="3107" t="s">
        <v>1480</v>
      </c>
      <c r="W65" s="3107"/>
      <c r="X65" s="1660">
        <f>IF(HLOOKUP(Sheele!$D$5,'Tablas Sheele'!$C$29:$K$86,'Tablas Sheele'!B70,FALSE)=0,"",HLOOKUP(Sheele!$D$5,'Tablas Sheele'!$C$29:$K$86,'Tablas Sheele'!B70,FALSE)+IF('Tablas Sheele'!F$119&gt;0,40+20*('Tablas Sheele'!F$119-1),0)+AC65)</f>
        <v>40</v>
      </c>
      <c r="Y65" s="2580"/>
      <c r="Z65" s="519" t="str">
        <f>IF(AD65,IF(OR(Principal!Q62="-",AE65&lt;0),"-",MIN(Principal!Q62,AE65)),AE65)</f>
        <v>-</v>
      </c>
      <c r="AA65" s="2298"/>
      <c r="AB65" s="2296"/>
      <c r="AC65" s="2797"/>
      <c r="AD65" s="2797">
        <v>1</v>
      </c>
      <c r="AE65" s="2797">
        <f t="shared" si="0"/>
        <v>40</v>
      </c>
    </row>
    <row r="66" spans="1:31" ht="12" customHeight="1" x14ac:dyDescent="0.2">
      <c r="A66" s="356"/>
      <c r="B66" s="294"/>
      <c r="C66" s="4640" t="s">
        <v>9902</v>
      </c>
      <c r="D66" s="4641"/>
      <c r="E66" s="4641"/>
      <c r="F66" s="4641"/>
      <c r="G66" s="4641"/>
      <c r="H66" s="4641"/>
      <c r="I66" s="4641"/>
      <c r="J66" s="4641"/>
      <c r="K66" s="4641"/>
      <c r="L66" s="4641"/>
      <c r="M66" s="4641"/>
      <c r="N66" s="4641"/>
      <c r="O66" s="4641"/>
      <c r="P66" s="4641"/>
      <c r="Q66" s="4641"/>
      <c r="R66" s="4641"/>
      <c r="S66" s="4642"/>
      <c r="U66" s="3183"/>
      <c r="V66" s="3107" t="s">
        <v>1481</v>
      </c>
      <c r="W66" s="3107"/>
      <c r="X66" s="1660" t="str">
        <f>IF(HLOOKUP(Sheele!$D$5,'Tablas Sheele'!$C$29:$K$86,'Tablas Sheele'!B71,FALSE)=0,"",HLOOKUP(Sheele!$D$5,'Tablas Sheele'!$C$29:$K$86,'Tablas Sheele'!B71,FALSE)+IF('Tablas Sheele'!F$119&gt;0,40+20*('Tablas Sheele'!F$119-1),0)+AC66)</f>
        <v/>
      </c>
      <c r="Y66" s="2580"/>
      <c r="Z66" s="519" t="str">
        <f>IF(AD66,IF(OR(Principal!Q63="-",AE66&lt;0),"-",MIN(Principal!Q63,AE66)),AE66)</f>
        <v>-</v>
      </c>
      <c r="AA66" s="2298"/>
      <c r="AB66" s="2296"/>
      <c r="AC66" s="2797"/>
      <c r="AD66" s="2797">
        <v>1</v>
      </c>
      <c r="AE66" s="2797">
        <f t="shared" si="0"/>
        <v>-30</v>
      </c>
    </row>
    <row r="67" spans="1:31" ht="12" customHeight="1" x14ac:dyDescent="0.2">
      <c r="A67" s="356"/>
      <c r="B67" s="294"/>
      <c r="C67" s="4178"/>
      <c r="D67" s="4179"/>
      <c r="E67" s="4179"/>
      <c r="F67" s="4179"/>
      <c r="G67" s="4179"/>
      <c r="H67" s="4179"/>
      <c r="I67" s="4179"/>
      <c r="J67" s="4179"/>
      <c r="K67" s="4179"/>
      <c r="L67" s="4179"/>
      <c r="M67" s="4179"/>
      <c r="N67" s="4179"/>
      <c r="O67" s="4179"/>
      <c r="P67" s="4179"/>
      <c r="Q67" s="4179"/>
      <c r="R67" s="4179"/>
      <c r="S67" s="4180"/>
      <c r="U67" s="3183"/>
      <c r="V67" s="3107" t="s">
        <v>816</v>
      </c>
      <c r="W67" s="3107"/>
      <c r="X67" s="1660" t="str">
        <f>IF(HLOOKUP(Sheele!$D$5,'Tablas Sheele'!$C$29:$K$86,'Tablas Sheele'!B72,FALSE)=0,"",HLOOKUP(Sheele!$D$5,'Tablas Sheele'!$C$29:$K$86,'Tablas Sheele'!B72,FALSE)+IF('Tablas Sheele'!F$119&gt;0,40+20*('Tablas Sheele'!F$119-1),0)+AC67)</f>
        <v/>
      </c>
      <c r="Y67" s="2580"/>
      <c r="Z67" s="519">
        <f>IF(AD67,IF(OR(Principal!Q64="-",AE67&lt;0),"-",MIN(Principal!Q64,AE67)),AE67)</f>
        <v>-30</v>
      </c>
      <c r="AA67" s="2298"/>
      <c r="AB67" s="2296"/>
      <c r="AC67" s="2797"/>
      <c r="AD67" s="2797"/>
      <c r="AE67" s="2797">
        <f t="shared" si="0"/>
        <v>-30</v>
      </c>
    </row>
    <row r="68" spans="1:31" ht="12" customHeight="1" x14ac:dyDescent="0.2">
      <c r="A68" s="356"/>
      <c r="B68" s="294"/>
      <c r="C68" s="4178"/>
      <c r="D68" s="4179"/>
      <c r="E68" s="4179"/>
      <c r="F68" s="4179"/>
      <c r="G68" s="4179"/>
      <c r="H68" s="4179"/>
      <c r="I68" s="4179"/>
      <c r="J68" s="4179"/>
      <c r="K68" s="4179"/>
      <c r="L68" s="4179"/>
      <c r="M68" s="4179"/>
      <c r="N68" s="4179"/>
      <c r="O68" s="4179"/>
      <c r="P68" s="4179"/>
      <c r="Q68" s="4179"/>
      <c r="R68" s="4179"/>
      <c r="S68" s="4180"/>
      <c r="U68" s="3183"/>
      <c r="V68" s="3107" t="s">
        <v>817</v>
      </c>
      <c r="W68" s="3107"/>
      <c r="X68" s="1660" t="str">
        <f>IF(HLOOKUP(Sheele!$D$5,'Tablas Sheele'!$C$29:$K$86,'Tablas Sheele'!B73,FALSE)=0,"",HLOOKUP(Sheele!$D$5,'Tablas Sheele'!$C$29:$K$86,'Tablas Sheele'!B73,FALSE)+IF('Tablas Sheele'!F$119&gt;0,40+20*('Tablas Sheele'!F$119-1),0)+AC68)</f>
        <v/>
      </c>
      <c r="Y68" s="2580"/>
      <c r="Z68" s="519">
        <f>IF(AD68,IF(OR(Principal!Q65="-",AE68&lt;0),"-",MIN(Principal!Q65,AE68)),AE68)</f>
        <v>-30</v>
      </c>
      <c r="AA68" s="2298"/>
      <c r="AB68" s="2296"/>
      <c r="AC68" s="2797"/>
      <c r="AD68" s="2797"/>
      <c r="AE68" s="2797">
        <f t="shared" si="0"/>
        <v>-30</v>
      </c>
    </row>
    <row r="69" spans="1:31" ht="12" customHeight="1" x14ac:dyDescent="0.2">
      <c r="A69" s="356"/>
      <c r="B69" s="294"/>
      <c r="C69" s="4178"/>
      <c r="D69" s="4179"/>
      <c r="E69" s="4179"/>
      <c r="F69" s="4179"/>
      <c r="G69" s="4179"/>
      <c r="H69" s="4179"/>
      <c r="I69" s="4179"/>
      <c r="J69" s="4179"/>
      <c r="K69" s="4179"/>
      <c r="L69" s="4179"/>
      <c r="M69" s="4179"/>
      <c r="N69" s="4179"/>
      <c r="O69" s="4179"/>
      <c r="P69" s="4179"/>
      <c r="Q69" s="4179"/>
      <c r="R69" s="4179"/>
      <c r="S69" s="4180"/>
      <c r="U69" s="3183"/>
      <c r="V69" s="3107" t="s">
        <v>818</v>
      </c>
      <c r="W69" s="3107"/>
      <c r="X69" s="1660" t="str">
        <f>IF(HLOOKUP(Sheele!$D$5,'Tablas Sheele'!$C$29:$K$86,'Tablas Sheele'!B74,FALSE)=0,"",HLOOKUP(Sheele!$D$5,'Tablas Sheele'!$C$29:$K$86,'Tablas Sheele'!B74,FALSE)+IF('Tablas Sheele'!F$119&gt;0,40+20*('Tablas Sheele'!F$119-1),0)+AC69)</f>
        <v/>
      </c>
      <c r="Y69" s="2580"/>
      <c r="Z69" s="519">
        <f>IF(AD69,IF(OR(Principal!Q66="-",AE69&lt;0),"-",MIN(Principal!Q66,AE69)),AE69)</f>
        <v>-30</v>
      </c>
      <c r="AA69" s="2298"/>
      <c r="AB69" s="2296"/>
      <c r="AC69" s="2797"/>
      <c r="AD69" s="2797"/>
      <c r="AE69" s="2797">
        <f t="shared" si="0"/>
        <v>-30</v>
      </c>
    </row>
    <row r="70" spans="1:31" ht="12" customHeight="1" x14ac:dyDescent="0.2">
      <c r="A70" s="356"/>
      <c r="B70" s="294"/>
      <c r="C70" s="4178"/>
      <c r="D70" s="4179"/>
      <c r="E70" s="4179"/>
      <c r="F70" s="4179"/>
      <c r="G70" s="4179"/>
      <c r="H70" s="4179"/>
      <c r="I70" s="4179"/>
      <c r="J70" s="4179"/>
      <c r="K70" s="4179"/>
      <c r="L70" s="4179"/>
      <c r="M70" s="4179"/>
      <c r="N70" s="4179"/>
      <c r="O70" s="4179"/>
      <c r="P70" s="4179"/>
      <c r="Q70" s="4179"/>
      <c r="R70" s="4179"/>
      <c r="S70" s="4180"/>
      <c r="U70" s="3183"/>
      <c r="V70" s="3107" t="s">
        <v>1482</v>
      </c>
      <c r="W70" s="3107"/>
      <c r="X70" s="1660" t="str">
        <f>IF(HLOOKUP(Sheele!$D$5,'Tablas Sheele'!$C$29:$K$86,'Tablas Sheele'!B75,FALSE)=0,"",HLOOKUP(Sheele!$D$5,'Tablas Sheele'!$C$29:$K$86,'Tablas Sheele'!B75,FALSE)+IF('Tablas Sheele'!F$119&gt;0,40+20*('Tablas Sheele'!F$119-1),0)+AC70)</f>
        <v/>
      </c>
      <c r="Y70" s="2580"/>
      <c r="Z70" s="519" t="str">
        <f>IF(AD70,IF(OR(Principal!Q67="-",AE70&lt;0),"-",MIN(Principal!Q67,AE70)),AE70)</f>
        <v>-</v>
      </c>
      <c r="AA70" s="2298"/>
      <c r="AB70" s="2296"/>
      <c r="AC70" s="2797"/>
      <c r="AD70" s="2797">
        <v>1</v>
      </c>
      <c r="AE70" s="2797">
        <f t="shared" si="0"/>
        <v>-30</v>
      </c>
    </row>
    <row r="71" spans="1:31" ht="12" customHeight="1" x14ac:dyDescent="0.2">
      <c r="A71" s="356"/>
      <c r="B71" s="294"/>
      <c r="C71" s="4178"/>
      <c r="D71" s="4179"/>
      <c r="E71" s="4179"/>
      <c r="F71" s="4179"/>
      <c r="G71" s="4179"/>
      <c r="H71" s="4179"/>
      <c r="I71" s="4179"/>
      <c r="J71" s="4179"/>
      <c r="K71" s="4179"/>
      <c r="L71" s="4179"/>
      <c r="M71" s="4179"/>
      <c r="N71" s="4179"/>
      <c r="O71" s="4179"/>
      <c r="P71" s="4179"/>
      <c r="Q71" s="4179"/>
      <c r="R71" s="4179"/>
      <c r="S71" s="4180"/>
      <c r="U71" s="3183"/>
      <c r="V71" s="3107" t="s">
        <v>1484</v>
      </c>
      <c r="W71" s="3107"/>
      <c r="X71" s="1660">
        <f>IF(HLOOKUP(Sheele!$D$5,'Tablas Sheele'!$C$29:$K$86,'Tablas Sheele'!B76,FALSE)=0,"",HLOOKUP(Sheele!$D$5,'Tablas Sheele'!$C$29:$K$86,'Tablas Sheele'!B76,FALSE)+IF('Tablas Sheele'!F$119&gt;0,40+20*('Tablas Sheele'!F$119-1),0)+AC71)</f>
        <v>20</v>
      </c>
      <c r="Y71" s="2580"/>
      <c r="Z71" s="519">
        <f>IF(AD71,IF(OR(Principal!Q68="-",AE71&lt;0),"-",MIN(Principal!Q68,AE71)),AE71)</f>
        <v>20</v>
      </c>
      <c r="AA71" s="2299"/>
      <c r="AB71" s="2296"/>
      <c r="AC71" s="2797"/>
      <c r="AD71" s="2797"/>
      <c r="AE71" s="2797">
        <f t="shared" si="0"/>
        <v>20</v>
      </c>
    </row>
    <row r="72" spans="1:31" ht="12" customHeight="1" x14ac:dyDescent="0.2">
      <c r="A72" s="356"/>
      <c r="B72" s="294"/>
      <c r="C72" s="4178"/>
      <c r="D72" s="4179"/>
      <c r="E72" s="4179"/>
      <c r="F72" s="4179"/>
      <c r="G72" s="4179"/>
      <c r="H72" s="4179"/>
      <c r="I72" s="4179"/>
      <c r="J72" s="4179"/>
      <c r="K72" s="4179"/>
      <c r="L72" s="4179"/>
      <c r="M72" s="4179"/>
      <c r="N72" s="4179"/>
      <c r="O72" s="4179"/>
      <c r="P72" s="4179"/>
      <c r="Q72" s="4179"/>
      <c r="R72" s="4179"/>
      <c r="S72" s="4180"/>
      <c r="U72" s="3183"/>
      <c r="V72" s="3107" t="s">
        <v>6432</v>
      </c>
      <c r="W72" s="3107"/>
      <c r="X72" s="1660" t="str">
        <f>IF(HLOOKUP(Sheele!$D$5,'Tablas Sheele'!$C$29:$K$86,'Tablas Sheele'!B77,FALSE)=0,"",HLOOKUP(Sheele!$D$5,'Tablas Sheele'!$C$29:$K$86,'Tablas Sheele'!B77,FALSE)+IF('Tablas Sheele'!F$119&gt;0,40+20*('Tablas Sheele'!F$119-1),0)+AC72)</f>
        <v/>
      </c>
      <c r="Y72" s="2580"/>
      <c r="Z72" s="519">
        <f>IF(AD72,IF(OR(Principal!Q69="-",AE72&lt;0),"-",MIN(Principal!Q69,AE72)),AE72)</f>
        <v>-30</v>
      </c>
      <c r="AA72" s="2298"/>
      <c r="AB72" s="2296"/>
      <c r="AC72" s="2797"/>
      <c r="AD72" s="2797"/>
      <c r="AE72" s="2797">
        <f t="shared" si="0"/>
        <v>-30</v>
      </c>
    </row>
    <row r="73" spans="1:31" ht="12" customHeight="1" x14ac:dyDescent="0.2">
      <c r="A73" s="356"/>
      <c r="B73" s="294"/>
      <c r="C73" s="4178"/>
      <c r="D73" s="4179"/>
      <c r="E73" s="4179"/>
      <c r="F73" s="4179"/>
      <c r="G73" s="4179"/>
      <c r="H73" s="4179"/>
      <c r="I73" s="4179"/>
      <c r="J73" s="4179"/>
      <c r="K73" s="4179"/>
      <c r="L73" s="4179"/>
      <c r="M73" s="4179"/>
      <c r="N73" s="4179"/>
      <c r="O73" s="4179"/>
      <c r="P73" s="4179"/>
      <c r="Q73" s="4179"/>
      <c r="R73" s="4179"/>
      <c r="S73" s="4180"/>
      <c r="U73" s="3183"/>
      <c r="V73" s="3107" t="s">
        <v>6433</v>
      </c>
      <c r="W73" s="3107"/>
      <c r="X73" s="1660" t="str">
        <f>IF(HLOOKUP(Sheele!$D$5,'Tablas Sheele'!$C$29:$K$86,'Tablas Sheele'!B78,FALSE)=0,"",HLOOKUP(Sheele!$D$5,'Tablas Sheele'!$C$29:$K$86,'Tablas Sheele'!B78,FALSE)+IF('Tablas Sheele'!F$119&gt;0,40+20*('Tablas Sheele'!F$119-1),0)+AC73)</f>
        <v/>
      </c>
      <c r="Y73" s="2580"/>
      <c r="Z73" s="519">
        <f>IF(AD73,IF(OR(Principal!Q70="-",AE73&lt;0),"-",MIN(Principal!Q70,AE73)),AE73)</f>
        <v>-30</v>
      </c>
      <c r="AA73" s="2298"/>
      <c r="AB73" s="2296"/>
      <c r="AC73" s="2797"/>
      <c r="AD73" s="2797"/>
      <c r="AE73" s="2797">
        <f t="shared" si="0"/>
        <v>-30</v>
      </c>
    </row>
    <row r="74" spans="1:31" ht="12" customHeight="1" x14ac:dyDescent="0.2">
      <c r="A74" s="356"/>
      <c r="B74" s="294"/>
      <c r="C74" s="4178"/>
      <c r="D74" s="4179"/>
      <c r="E74" s="4179"/>
      <c r="F74" s="4179"/>
      <c r="G74" s="4179"/>
      <c r="H74" s="4179"/>
      <c r="I74" s="4179"/>
      <c r="J74" s="4179"/>
      <c r="K74" s="4179"/>
      <c r="L74" s="4179"/>
      <c r="M74" s="4179"/>
      <c r="N74" s="4179"/>
      <c r="O74" s="4179"/>
      <c r="P74" s="4179"/>
      <c r="Q74" s="4179"/>
      <c r="R74" s="4179"/>
      <c r="S74" s="4180"/>
      <c r="U74" s="3183"/>
      <c r="V74" s="3107" t="s">
        <v>6434</v>
      </c>
      <c r="W74" s="3107"/>
      <c r="X74" s="1660" t="str">
        <f>IF(HLOOKUP(Sheele!$D$5,'Tablas Sheele'!$C$29:$K$86,'Tablas Sheele'!B79,FALSE)=0,"",HLOOKUP(Sheele!$D$5,'Tablas Sheele'!$C$29:$K$86,'Tablas Sheele'!B79,FALSE)+IF('Tablas Sheele'!F$119&gt;0,40+20*('Tablas Sheele'!F$119-1),0)+AC74)</f>
        <v/>
      </c>
      <c r="Y74" s="2580"/>
      <c r="Z74" s="519">
        <f>IF(AD74,IF(OR(Principal!Q71="-",AE74&lt;0),"-",MIN(Principal!Q71,AE74)),AE74)</f>
        <v>-30</v>
      </c>
      <c r="AA74" s="2298"/>
      <c r="AB74" s="2296"/>
      <c r="AC74" s="2797"/>
      <c r="AD74" s="2797"/>
      <c r="AE74" s="2797">
        <f t="shared" si="0"/>
        <v>-30</v>
      </c>
    </row>
    <row r="75" spans="1:31" ht="12" customHeight="1" x14ac:dyDescent="0.2">
      <c r="A75" s="356"/>
      <c r="B75" s="294"/>
      <c r="C75" s="4178"/>
      <c r="D75" s="4179"/>
      <c r="E75" s="4179"/>
      <c r="F75" s="4179"/>
      <c r="G75" s="4179"/>
      <c r="H75" s="4179"/>
      <c r="I75" s="4179"/>
      <c r="J75" s="4179"/>
      <c r="K75" s="4179"/>
      <c r="L75" s="4179"/>
      <c r="M75" s="4179"/>
      <c r="N75" s="4179"/>
      <c r="O75" s="4179"/>
      <c r="P75" s="4179"/>
      <c r="Q75" s="4179"/>
      <c r="R75" s="4179"/>
      <c r="S75" s="4180"/>
      <c r="U75" s="3184"/>
      <c r="V75" s="4797" t="s">
        <v>6435</v>
      </c>
      <c r="W75" s="4798"/>
      <c r="X75" s="2697" t="str">
        <f>IF(HLOOKUP(Sheele!$D$5,'Tablas Sheele'!$C$29:$K$86,'Tablas Sheele'!B80,FALSE)=0,"",HLOOKUP(Sheele!$D$5,'Tablas Sheele'!$C$29:$K$86,'Tablas Sheele'!B80,FALSE)+IF('Tablas Sheele'!F$119&gt;0,40+20*('Tablas Sheele'!F$119-1),0)+AC75)</f>
        <v/>
      </c>
      <c r="Y75" s="2581"/>
      <c r="Z75" s="519">
        <f>IF(AD75,IF(OR(Principal!Q72="-",AE75&lt;0),"-",MIN(Principal!Q72,AE75)),AE75)</f>
        <v>-30</v>
      </c>
      <c r="AA75" s="2298"/>
      <c r="AB75" s="2296"/>
      <c r="AC75" s="2797"/>
      <c r="AD75" s="2797"/>
      <c r="AE75" s="2797">
        <f t="shared" si="0"/>
        <v>-30</v>
      </c>
    </row>
    <row r="76" spans="1:31" ht="12" customHeight="1" x14ac:dyDescent="0.2">
      <c r="A76" s="356"/>
      <c r="B76" s="294"/>
      <c r="C76" s="4178"/>
      <c r="D76" s="4179"/>
      <c r="E76" s="4179"/>
      <c r="F76" s="4179"/>
      <c r="G76" s="4179"/>
      <c r="H76" s="4179"/>
      <c r="I76" s="4179"/>
      <c r="J76" s="4179"/>
      <c r="K76" s="4179"/>
      <c r="L76" s="4179"/>
      <c r="M76" s="4179"/>
      <c r="N76" s="4179"/>
      <c r="O76" s="4179"/>
      <c r="P76" s="4179"/>
      <c r="Q76" s="4179"/>
      <c r="R76" s="4179"/>
      <c r="S76" s="4180"/>
      <c r="U76" s="3183" t="s">
        <v>1485</v>
      </c>
      <c r="V76" s="3107" t="str">
        <f>IF(PDs!P180="","-",PDs!P180)</f>
        <v>-</v>
      </c>
      <c r="W76" s="3107"/>
      <c r="X76" s="1660" t="str">
        <f>IF(HLOOKUP(Sheele!$D$5,'Tablas Sheele'!$C$29:$K$86,'Tablas Sheele'!B81,FALSE)=0,"",HLOOKUP(Sheele!$D$5,'Tablas Sheele'!$C$29:$K$86,'Tablas Sheele'!B81,FALSE)+IF('Tablas Sheele'!F$119&gt;0,40+20*('Tablas Sheele'!F$119-1),0)+AC76)</f>
        <v/>
      </c>
      <c r="Y76" s="2583"/>
      <c r="Z76" s="2703">
        <f>IF(AD76,IF(OR(Principal!Q73="-",AE76&lt;0),"-",MIN(Principal!Q73,AE76)),AE76)</f>
        <v>-30</v>
      </c>
      <c r="AA76" s="2298"/>
      <c r="AB76" s="2296"/>
      <c r="AC76" s="2797"/>
      <c r="AD76" s="2797"/>
      <c r="AE76" s="2797">
        <f t="shared" si="0"/>
        <v>-30</v>
      </c>
    </row>
    <row r="77" spans="1:31" ht="12" customHeight="1" x14ac:dyDescent="0.2">
      <c r="A77" s="356"/>
      <c r="B77" s="294"/>
      <c r="C77" s="4178"/>
      <c r="D77" s="4179"/>
      <c r="E77" s="4179"/>
      <c r="F77" s="4179"/>
      <c r="G77" s="4179"/>
      <c r="H77" s="4179"/>
      <c r="I77" s="4179"/>
      <c r="J77" s="4179"/>
      <c r="K77" s="4179"/>
      <c r="L77" s="4179"/>
      <c r="M77" s="4179"/>
      <c r="N77" s="4179"/>
      <c r="O77" s="4179"/>
      <c r="P77" s="4179"/>
      <c r="Q77" s="4179"/>
      <c r="R77" s="4179"/>
      <c r="S77" s="4180"/>
      <c r="U77" s="3183"/>
      <c r="V77" s="3107" t="str">
        <f>IF(PDs!P181="","-",PDs!P181)</f>
        <v>-</v>
      </c>
      <c r="W77" s="3107"/>
      <c r="X77" s="1660" t="str">
        <f>IF(HLOOKUP(Sheele!$D$5,'Tablas Sheele'!$C$29:$K$86,'Tablas Sheele'!B82,FALSE)=0,"",HLOOKUP(Sheele!$D$5,'Tablas Sheele'!$C$29:$K$86,'Tablas Sheele'!B82,FALSE)+IF('Tablas Sheele'!F$119&gt;0,40+20*('Tablas Sheele'!F$119-1),0)+AC77)</f>
        <v/>
      </c>
      <c r="Y77" s="2580"/>
      <c r="Z77" s="519">
        <f>IF(AD77,IF(OR(Principal!Q74="-",AE77&lt;0),"-",MIN(Principal!Q74,AE77)),AE77)</f>
        <v>-30</v>
      </c>
      <c r="AA77" s="2298"/>
      <c r="AB77" s="2296"/>
      <c r="AC77" s="2797"/>
      <c r="AD77" s="2797"/>
      <c r="AE77" s="2797">
        <f t="shared" si="0"/>
        <v>-30</v>
      </c>
    </row>
    <row r="78" spans="1:31" ht="12" customHeight="1" x14ac:dyDescent="0.2">
      <c r="A78" s="356"/>
      <c r="B78" s="294"/>
      <c r="C78" s="4178"/>
      <c r="D78" s="4179"/>
      <c r="E78" s="4179"/>
      <c r="F78" s="4179"/>
      <c r="G78" s="4179"/>
      <c r="H78" s="4179"/>
      <c r="I78" s="4179"/>
      <c r="J78" s="4179"/>
      <c r="K78" s="4179"/>
      <c r="L78" s="4179"/>
      <c r="M78" s="4179"/>
      <c r="N78" s="4179"/>
      <c r="O78" s="4179"/>
      <c r="P78" s="4179"/>
      <c r="Q78" s="4179"/>
      <c r="R78" s="4179"/>
      <c r="S78" s="4180"/>
      <c r="U78" s="3183"/>
      <c r="V78" s="3107" t="str">
        <f>IF(PDs!P182="","-",PDs!P182)</f>
        <v>-</v>
      </c>
      <c r="W78" s="3107"/>
      <c r="X78" s="1660" t="str">
        <f>IF(HLOOKUP(Sheele!$D$5,'Tablas Sheele'!$C$29:$K$86,'Tablas Sheele'!B83,FALSE)=0,"",HLOOKUP(Sheele!$D$5,'Tablas Sheele'!$C$29:$K$86,'Tablas Sheele'!B83,FALSE)+IF('Tablas Sheele'!F$119&gt;0,40+20*('Tablas Sheele'!F$119-1),0)+AC78)</f>
        <v/>
      </c>
      <c r="Y78" s="2580"/>
      <c r="Z78" s="519">
        <f>IF(AD78,IF(OR(Principal!Q75="-",AE78&lt;0),"-",MIN(Principal!Q75,AE78)),AE78)</f>
        <v>-30</v>
      </c>
      <c r="AA78" s="2298"/>
      <c r="AB78" s="2296"/>
      <c r="AC78" s="2797"/>
      <c r="AD78" s="2797"/>
      <c r="AE78" s="2797">
        <f t="shared" si="0"/>
        <v>-30</v>
      </c>
    </row>
    <row r="79" spans="1:31" ht="12" customHeight="1" x14ac:dyDescent="0.2">
      <c r="A79" s="356"/>
      <c r="B79" s="294"/>
      <c r="C79" s="4178"/>
      <c r="D79" s="4179"/>
      <c r="E79" s="4179"/>
      <c r="F79" s="4179"/>
      <c r="G79" s="4179"/>
      <c r="H79" s="4179"/>
      <c r="I79" s="4179"/>
      <c r="J79" s="4179"/>
      <c r="K79" s="4179"/>
      <c r="L79" s="4179"/>
      <c r="M79" s="4179"/>
      <c r="N79" s="4179"/>
      <c r="O79" s="4179"/>
      <c r="P79" s="4179"/>
      <c r="Q79" s="4179"/>
      <c r="R79" s="4179"/>
      <c r="S79" s="4180"/>
      <c r="U79" s="3183"/>
      <c r="V79" s="3107" t="str">
        <f>IF(PDs!P183="","-",PDs!P183)</f>
        <v>-</v>
      </c>
      <c r="W79" s="3107"/>
      <c r="X79" s="1660" t="str">
        <f>IF(HLOOKUP(Sheele!$D$5,'Tablas Sheele'!$C$29:$K$86,'Tablas Sheele'!B84,FALSE)=0,"",HLOOKUP(Sheele!$D$5,'Tablas Sheele'!$C$29:$K$86,'Tablas Sheele'!B84,FALSE)+IF('Tablas Sheele'!F$119&gt;0,40+20*('Tablas Sheele'!F$119-1),0)+AC79)</f>
        <v/>
      </c>
      <c r="Y79" s="2580"/>
      <c r="Z79" s="519">
        <f>IF(AD79,IF(OR(Principal!Q76="-",AE79&lt;0),"-",MIN(Principal!Q76,AE79)),AE79)</f>
        <v>-30</v>
      </c>
      <c r="AA79" s="2298"/>
      <c r="AB79" s="2296"/>
      <c r="AC79" s="2797"/>
      <c r="AD79" s="2797"/>
      <c r="AE79" s="2797">
        <f t="shared" si="0"/>
        <v>-30</v>
      </c>
    </row>
    <row r="80" spans="1:31" ht="12" customHeight="1" thickBot="1" x14ac:dyDescent="0.25">
      <c r="A80" s="356"/>
      <c r="B80" s="294"/>
      <c r="C80" s="4181"/>
      <c r="D80" s="4182"/>
      <c r="E80" s="4182"/>
      <c r="F80" s="4182"/>
      <c r="G80" s="4182"/>
      <c r="H80" s="4182"/>
      <c r="I80" s="4182"/>
      <c r="J80" s="4182"/>
      <c r="K80" s="4182"/>
      <c r="L80" s="4182"/>
      <c r="M80" s="4182"/>
      <c r="N80" s="4182"/>
      <c r="O80" s="4182"/>
      <c r="P80" s="4182"/>
      <c r="Q80" s="4182"/>
      <c r="R80" s="4182"/>
      <c r="S80" s="4183"/>
      <c r="U80" s="3297"/>
      <c r="V80" s="3298" t="str">
        <f>IF(PDs!P184="","-",PDs!P184)</f>
        <v>-</v>
      </c>
      <c r="W80" s="3298"/>
      <c r="X80" s="2702" t="str">
        <f>IF(HLOOKUP(Sheele!$D$5,'Tablas Sheele'!$C$29:$K$86,'Tablas Sheele'!B85,FALSE)=0,"",HLOOKUP(Sheele!$D$5,'Tablas Sheele'!$C$29:$K$86,'Tablas Sheele'!B85,FALSE)+IF('Tablas Sheele'!F$119&gt;0,40+20*('Tablas Sheele'!F$119-1),0)+AC80)</f>
        <v/>
      </c>
      <c r="Y80" s="2584"/>
      <c r="Z80" s="520">
        <f>IF(AD80,IF(OR(Principal!Q77="-",AE80&lt;0),"-",MIN(Principal!Q77,AE80)),AE80)</f>
        <v>-30</v>
      </c>
      <c r="AA80" s="2298"/>
      <c r="AB80" s="2296"/>
      <c r="AC80" s="2797"/>
      <c r="AD80" s="2797"/>
      <c r="AE80" s="2797">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300"/>
      <c r="AB81" s="2296"/>
      <c r="AC81" s="2784"/>
      <c r="AD81" s="2784"/>
      <c r="AE81" s="2784"/>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6"/>
      <c r="AC82" s="2758"/>
      <c r="AD82" s="2784"/>
      <c r="AE82" s="2784"/>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703" priority="55" stopIfTrue="1" operator="lessThan">
      <formula>0</formula>
    </cfRule>
  </conditionalFormatting>
  <conditionalFormatting sqref="Z23">
    <cfRule type="cellIs" dxfId="702" priority="5" stopIfTrue="1" operator="lessThan">
      <formula>0</formula>
    </cfRule>
  </conditionalFormatting>
  <conditionalFormatting sqref="J32">
    <cfRule type="cellIs" dxfId="701" priority="1778" operator="greaterThan">
      <formula>$U$4+1</formula>
    </cfRule>
    <cfRule type="cellIs" dxfId="700" priority="1779" stopIfTrue="1" operator="lessThan">
      <formula>0</formula>
    </cfRule>
  </conditionalFormatting>
  <conditionalFormatting sqref="U12:V12">
    <cfRule type="expression" dxfId="699" priority="1780" stopIfTrue="1">
      <formula>AND(ISNUMBER($U$12),$U$12&gt;$U$4+3)</formula>
    </cfRule>
  </conditionalFormatting>
  <conditionalFormatting sqref="Y25:Y80">
    <cfRule type="cellIs" dxfId="698"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C12" sqref="C12:D13"/>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2755" t="s">
        <v>9024</v>
      </c>
      <c r="AS1" s="1986"/>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1986"/>
      <c r="AS2" s="1986"/>
    </row>
    <row r="3" spans="1:45" ht="12" customHeight="1" thickBot="1" x14ac:dyDescent="0.25">
      <c r="A3" s="31"/>
      <c r="B3" s="542"/>
      <c r="C3" s="3023"/>
      <c r="D3" s="3023"/>
      <c r="E3" s="3023"/>
      <c r="F3" s="3023"/>
      <c r="G3" s="3023"/>
      <c r="H3" s="3023"/>
      <c r="I3" s="7"/>
      <c r="J3" s="7"/>
      <c r="K3" s="7"/>
      <c r="L3" s="7"/>
      <c r="M3" s="7"/>
      <c r="N3" s="7"/>
      <c r="O3" s="7"/>
      <c r="P3" s="7"/>
      <c r="Q3" s="8"/>
      <c r="R3" s="40"/>
      <c r="S3" s="31"/>
      <c r="T3" s="31"/>
      <c r="U3" s="542"/>
      <c r="V3" s="4824"/>
      <c r="W3" s="4825"/>
      <c r="X3" s="4825"/>
      <c r="Y3" s="4825"/>
      <c r="Z3" s="4825"/>
      <c r="AA3" s="4825"/>
      <c r="AB3" s="584"/>
      <c r="AC3" s="584"/>
      <c r="AD3" s="584"/>
      <c r="AE3" s="584"/>
      <c r="AF3" s="584"/>
      <c r="AG3" s="584"/>
      <c r="AH3" s="584"/>
      <c r="AI3" s="584"/>
      <c r="AJ3" s="584"/>
      <c r="AK3" s="586"/>
      <c r="AL3" s="838"/>
      <c r="AM3" s="31"/>
      <c r="AR3" s="1986"/>
      <c r="AS3" s="1986"/>
    </row>
    <row r="4" spans="1:45" ht="12" customHeight="1" thickBot="1" x14ac:dyDescent="0.25">
      <c r="A4" s="31"/>
      <c r="B4" s="542"/>
      <c r="C4" s="3023"/>
      <c r="D4" s="3023"/>
      <c r="E4" s="3023"/>
      <c r="F4" s="3023"/>
      <c r="G4" s="3023"/>
      <c r="H4" s="3023"/>
      <c r="I4" s="10"/>
      <c r="J4" s="3024" t="s">
        <v>1331</v>
      </c>
      <c r="K4" s="3024"/>
      <c r="L4" s="3025" t="str">
        <f>IF(OR(General!$F$22="",General!$F$22=0),"",General!$F$22)</f>
        <v/>
      </c>
      <c r="M4" s="3025"/>
      <c r="N4" s="3025"/>
      <c r="O4" s="3025"/>
      <c r="P4" s="3025"/>
      <c r="Q4" s="2604"/>
      <c r="R4" s="40"/>
      <c r="S4" s="31"/>
      <c r="T4" s="31"/>
      <c r="U4" s="542"/>
      <c r="V4" s="4826"/>
      <c r="W4" s="3023"/>
      <c r="X4" s="3023"/>
      <c r="Y4" s="3023"/>
      <c r="Z4" s="3023"/>
      <c r="AA4" s="3023"/>
      <c r="AB4" s="10"/>
      <c r="AC4" s="3024" t="s">
        <v>1331</v>
      </c>
      <c r="AD4" s="3024"/>
      <c r="AE4" s="3025" t="str">
        <f>IF(OR(General!$F$22="",General!$F$22=0),"",General!$F$22)</f>
        <v/>
      </c>
      <c r="AF4" s="3025"/>
      <c r="AG4" s="3025"/>
      <c r="AH4" s="3025"/>
      <c r="AI4" s="3025"/>
      <c r="AJ4" s="889"/>
      <c r="AK4" s="801"/>
      <c r="AL4" s="838"/>
      <c r="AM4" s="31"/>
      <c r="AP4" s="45"/>
      <c r="AQ4" s="45"/>
      <c r="AR4" s="1986"/>
      <c r="AS4" s="1986"/>
    </row>
    <row r="5" spans="1:45" ht="12" customHeight="1" thickBot="1" x14ac:dyDescent="0.25">
      <c r="A5" s="31"/>
      <c r="B5" s="542"/>
      <c r="C5" s="3023"/>
      <c r="D5" s="3023"/>
      <c r="E5" s="3023"/>
      <c r="F5" s="3023"/>
      <c r="G5" s="3023"/>
      <c r="H5" s="3023"/>
      <c r="I5" s="10"/>
      <c r="J5" s="3017" t="s">
        <v>1332</v>
      </c>
      <c r="K5" s="3017"/>
      <c r="L5" s="2838" t="str">
        <f>PDs!$J$8</f>
        <v>Novel</v>
      </c>
      <c r="M5" s="2838"/>
      <c r="N5" s="2838"/>
      <c r="O5" s="2605" t="s">
        <v>1333</v>
      </c>
      <c r="P5" s="2593" t="str">
        <f>Principal!$O$6</f>
        <v>1</v>
      </c>
      <c r="Q5" s="2615"/>
      <c r="R5" s="40"/>
      <c r="S5" s="31"/>
      <c r="T5" s="31"/>
      <c r="U5" s="542"/>
      <c r="V5" s="4826"/>
      <c r="W5" s="3023"/>
      <c r="X5" s="3023"/>
      <c r="Y5" s="3023"/>
      <c r="Z5" s="3023"/>
      <c r="AA5" s="3023"/>
      <c r="AB5" s="10"/>
      <c r="AC5" s="3017" t="s">
        <v>1332</v>
      </c>
      <c r="AD5" s="3017"/>
      <c r="AE5" s="2838" t="str">
        <f>PDs!$J$8</f>
        <v>Novel</v>
      </c>
      <c r="AF5" s="2838"/>
      <c r="AG5" s="2838"/>
      <c r="AH5" s="2605" t="s">
        <v>1333</v>
      </c>
      <c r="AI5" s="2593" t="str">
        <f>Principal!$O$6</f>
        <v>1</v>
      </c>
      <c r="AJ5" s="10"/>
      <c r="AK5" s="802"/>
      <c r="AL5" s="838"/>
      <c r="AM5" s="31"/>
      <c r="AN5" s="176"/>
      <c r="AO5" s="176"/>
      <c r="AP5" s="1651"/>
      <c r="AQ5" s="1651"/>
      <c r="AR5" s="1986"/>
      <c r="AS5" s="1986"/>
    </row>
    <row r="6" spans="1:45" ht="12" customHeight="1" thickBot="1" x14ac:dyDescent="0.25">
      <c r="A6" s="31"/>
      <c r="B6" s="542"/>
      <c r="C6" s="3023"/>
      <c r="D6" s="3023"/>
      <c r="E6" s="3023"/>
      <c r="F6" s="3023"/>
      <c r="G6" s="3023"/>
      <c r="H6" s="3023"/>
      <c r="I6" s="10"/>
      <c r="J6" s="3018" t="s">
        <v>1794</v>
      </c>
      <c r="K6" s="3018"/>
      <c r="L6" s="3018"/>
      <c r="M6" s="3018"/>
      <c r="N6" s="3018"/>
      <c r="O6" s="3018"/>
      <c r="P6" s="3018"/>
      <c r="Q6" s="12"/>
      <c r="R6" s="40"/>
      <c r="S6" s="31"/>
      <c r="T6" s="31"/>
      <c r="U6" s="542"/>
      <c r="V6" s="4826"/>
      <c r="W6" s="3023"/>
      <c r="X6" s="3023"/>
      <c r="Y6" s="3023"/>
      <c r="Z6" s="3023"/>
      <c r="AA6" s="3023"/>
      <c r="AB6" s="10"/>
      <c r="AC6" s="3018" t="s">
        <v>1795</v>
      </c>
      <c r="AD6" s="3018"/>
      <c r="AE6" s="3018"/>
      <c r="AF6" s="3018"/>
      <c r="AG6" s="3018"/>
      <c r="AH6" s="3018"/>
      <c r="AI6" s="3018"/>
      <c r="AJ6" s="10"/>
      <c r="AK6" s="802"/>
      <c r="AL6" s="838"/>
      <c r="AM6" s="31"/>
      <c r="AN6" s="67"/>
      <c r="AO6" s="67"/>
      <c r="AP6" s="1652"/>
      <c r="AQ6" s="1652"/>
      <c r="AR6" s="1986"/>
      <c r="AS6" s="1986"/>
    </row>
    <row r="7" spans="1:45" ht="12" customHeight="1" thickBot="1" x14ac:dyDescent="0.25">
      <c r="A7" s="31"/>
      <c r="B7" s="542"/>
      <c r="C7" s="3023"/>
      <c r="D7" s="3023"/>
      <c r="E7" s="3023"/>
      <c r="F7" s="3023"/>
      <c r="G7" s="3023"/>
      <c r="H7" s="3023"/>
      <c r="I7" s="10"/>
      <c r="J7" s="3018"/>
      <c r="K7" s="3018"/>
      <c r="L7" s="3018"/>
      <c r="M7" s="3018"/>
      <c r="N7" s="3018"/>
      <c r="O7" s="3018"/>
      <c r="P7" s="3018"/>
      <c r="Q7" s="12"/>
      <c r="R7" s="40"/>
      <c r="S7" s="31"/>
      <c r="T7" s="31"/>
      <c r="U7" s="542"/>
      <c r="V7" s="4826"/>
      <c r="W7" s="3023"/>
      <c r="X7" s="3023"/>
      <c r="Y7" s="3023"/>
      <c r="Z7" s="3023"/>
      <c r="AA7" s="3023"/>
      <c r="AB7" s="10"/>
      <c r="AC7" s="3018"/>
      <c r="AD7" s="3018"/>
      <c r="AE7" s="3018"/>
      <c r="AF7" s="3018"/>
      <c r="AG7" s="3018"/>
      <c r="AH7" s="3018"/>
      <c r="AI7" s="3018"/>
      <c r="AJ7" s="10"/>
      <c r="AK7" s="802"/>
      <c r="AL7" s="838"/>
      <c r="AM7" s="31"/>
      <c r="AN7" s="176"/>
      <c r="AO7" s="176"/>
      <c r="AP7" s="1651"/>
      <c r="AQ7" s="1651"/>
      <c r="AR7" s="2800" t="s">
        <v>9915</v>
      </c>
      <c r="AS7" s="2800" t="b">
        <f>COUNTIF($AD$17:$AH$62,"Incrementar Habilidad")=0</f>
        <v>1</v>
      </c>
    </row>
    <row r="8" spans="1:45" ht="12" customHeight="1" thickBot="1" x14ac:dyDescent="0.25">
      <c r="A8" s="31"/>
      <c r="B8" s="542"/>
      <c r="C8" s="3023"/>
      <c r="D8" s="3023"/>
      <c r="E8" s="3023"/>
      <c r="F8" s="3023"/>
      <c r="G8" s="3023"/>
      <c r="H8" s="3023"/>
      <c r="I8" s="13"/>
      <c r="J8" s="13"/>
      <c r="K8" s="13"/>
      <c r="L8" s="13"/>
      <c r="M8" s="13"/>
      <c r="N8" s="13"/>
      <c r="O8" s="13"/>
      <c r="P8" s="13"/>
      <c r="Q8" s="14"/>
      <c r="R8" s="40"/>
      <c r="S8" s="31"/>
      <c r="T8" s="31"/>
      <c r="U8" s="542"/>
      <c r="V8" s="4827"/>
      <c r="W8" s="4828"/>
      <c r="X8" s="4828"/>
      <c r="Y8" s="4828"/>
      <c r="Z8" s="4828"/>
      <c r="AA8" s="4828"/>
      <c r="AB8" s="805"/>
      <c r="AC8" s="805"/>
      <c r="AD8" s="805"/>
      <c r="AE8" s="805"/>
      <c r="AF8" s="805"/>
      <c r="AG8" s="805"/>
      <c r="AH8" s="805"/>
      <c r="AI8" s="805"/>
      <c r="AJ8" s="805"/>
      <c r="AK8" s="806"/>
      <c r="AL8" s="838"/>
      <c r="AM8" s="31"/>
      <c r="AN8" s="67"/>
      <c r="AO8" s="67"/>
      <c r="AP8" s="1652"/>
      <c r="AQ8" s="1652"/>
      <c r="AR8" s="1986"/>
      <c r="AS8" s="1986"/>
    </row>
    <row r="9" spans="1:45" ht="12" customHeight="1" thickBot="1" x14ac:dyDescent="0.25">
      <c r="A9" s="31"/>
      <c r="B9" s="542"/>
      <c r="R9" s="40"/>
      <c r="S9" s="31"/>
      <c r="T9" s="31"/>
      <c r="U9" s="542"/>
      <c r="AL9" s="838"/>
      <c r="AM9" s="31"/>
      <c r="AN9" s="1653"/>
      <c r="AO9" s="1653"/>
      <c r="AP9" s="1654"/>
      <c r="AQ9" s="1654"/>
      <c r="AR9" s="2007" t="str">
        <f>IF(COUNTIF(AD17:AH62,"Incrementar Habilidad")&gt;0,"AGI_DES_AMBOS","AGI_DES")</f>
        <v>AGI_DES</v>
      </c>
      <c r="AS9" s="1986"/>
    </row>
    <row r="10" spans="1:45" ht="12" customHeight="1" thickBot="1" x14ac:dyDescent="0.25">
      <c r="A10" s="31"/>
      <c r="B10" s="542"/>
      <c r="C10" s="4829" t="s">
        <v>1796</v>
      </c>
      <c r="D10" s="4829"/>
      <c r="E10" s="4829"/>
      <c r="F10" s="4829"/>
      <c r="G10" s="18"/>
      <c r="H10" s="3062" t="s">
        <v>1797</v>
      </c>
      <c r="I10" s="3063"/>
      <c r="J10" s="2993"/>
      <c r="K10" s="3282"/>
      <c r="L10" s="1838" t="s">
        <v>1798</v>
      </c>
      <c r="M10" s="1839"/>
      <c r="O10" s="3156" t="s">
        <v>1799</v>
      </c>
      <c r="P10" s="3156"/>
      <c r="Q10" s="3156"/>
      <c r="R10" s="40"/>
      <c r="S10" s="31"/>
      <c r="T10" s="31"/>
      <c r="U10" s="542"/>
      <c r="V10" s="3062" t="s">
        <v>1800</v>
      </c>
      <c r="W10" s="3063"/>
      <c r="X10" s="3063"/>
      <c r="Y10" s="3063"/>
      <c r="Z10" s="3063"/>
      <c r="AA10" s="2024" t="s">
        <v>1801</v>
      </c>
      <c r="AB10" s="2025"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30" t="s">
        <v>8567</v>
      </c>
      <c r="AE10" s="4831"/>
      <c r="AF10" s="4831"/>
      <c r="AG10" s="4831"/>
      <c r="AH10" s="4832"/>
      <c r="AI10" s="4802" t="s">
        <v>1246</v>
      </c>
      <c r="AJ10" s="4803"/>
      <c r="AK10" s="4804"/>
      <c r="AL10" s="838"/>
      <c r="AM10" s="31"/>
      <c r="AN10" s="1076"/>
      <c r="AO10" s="4811" t="s">
        <v>8998</v>
      </c>
      <c r="AP10" s="4812"/>
      <c r="AQ10" s="1655"/>
      <c r="AR10" s="2801" t="s">
        <v>1386</v>
      </c>
      <c r="AS10" s="1986"/>
    </row>
    <row r="11" spans="1:45" ht="12" customHeight="1" x14ac:dyDescent="0.2">
      <c r="A11" s="31"/>
      <c r="B11" s="542"/>
      <c r="C11" s="4867" t="s">
        <v>1802</v>
      </c>
      <c r="D11" s="4867"/>
      <c r="E11" s="4868" t="s">
        <v>1803</v>
      </c>
      <c r="F11" s="4868"/>
      <c r="H11" s="4849">
        <f>IF(VOL=0,0,VLOOKUP(VOL,Tabla_PotPsi,2))+IF(M10=0,0,VLOOKUP(M10,Tabla_PotPsitporCV,2))+J13+Mod_ATA</f>
        <v>10</v>
      </c>
      <c r="I11" s="4850"/>
      <c r="J11" s="1836" t="str">
        <f>IF(J13=0,"","Sumar")</f>
        <v/>
      </c>
      <c r="K11" s="1837" t="str">
        <f>IF(J13=0,"",TRUNC(J13/5,0))</f>
        <v/>
      </c>
      <c r="L11" s="4839" t="str">
        <f>IF(J13=0,"","a la Fatiga")</f>
        <v/>
      </c>
      <c r="M11" s="4840"/>
      <c r="O11" s="163" t="s">
        <v>1401</v>
      </c>
      <c r="P11" s="1240" t="s">
        <v>1573</v>
      </c>
      <c r="Q11" s="16" t="s">
        <v>1702</v>
      </c>
      <c r="R11" s="40"/>
      <c r="S11" s="31"/>
      <c r="T11" s="31"/>
      <c r="U11" s="762">
        <f>IF(V11=0,0,1)</f>
        <v>0</v>
      </c>
      <c r="V11" s="4833"/>
      <c r="W11" s="4834"/>
      <c r="X11" s="4834"/>
      <c r="Y11" s="4834"/>
      <c r="Z11" s="4834"/>
      <c r="AA11" s="4870"/>
      <c r="AB11" s="4841" t="str">
        <f>IF(AA11=0,"",IF(AA11*10&lt;100,AA11*10,100))</f>
        <v/>
      </c>
      <c r="AD11" s="4833"/>
      <c r="AE11" s="4834"/>
      <c r="AF11" s="4834"/>
      <c r="AG11" s="4834"/>
      <c r="AH11" s="4834"/>
      <c r="AI11" s="4805" t="str">
        <f>IF(AD11="","-",IF(AL11="-","Ventaja no escogida",IF(INDEX(Tabla_Dificultades,MATCH(AL11,INDEX(Tabla_Dificultades,,2),0),1)&lt;INDEX(Tabla_Dificultades,MATCH(AL12,INDEX(Tabla_Dificultades,,2),0),1),"Poder no válido",AL11)))</f>
        <v>-</v>
      </c>
      <c r="AJ11" s="4806"/>
      <c r="AK11" s="4807"/>
      <c r="AL11" s="1209" t="str">
        <f>IF(Tablas!$G$324&gt;0,"DIF",IF(Tablas!G325&gt;0,"MDIF",IF(Tablas!$G$326&gt;0,"ABS","-")))</f>
        <v>-</v>
      </c>
      <c r="AM11" s="31"/>
      <c r="AN11" s="1076"/>
      <c r="AO11" s="4813"/>
      <c r="AP11" s="4814"/>
      <c r="AQ11" s="1654"/>
      <c r="AR11" s="2802" t="s">
        <v>1381</v>
      </c>
      <c r="AS11" s="1986"/>
    </row>
    <row r="12" spans="1:45" ht="12" customHeight="1" thickBot="1" x14ac:dyDescent="0.25">
      <c r="A12" s="31"/>
      <c r="B12" s="542"/>
      <c r="C12" s="4846">
        <f>CV_final</f>
        <v>1</v>
      </c>
      <c r="D12" s="4846"/>
      <c r="E12" s="4847">
        <f>F18+F15+F16+F17+F19</f>
        <v>0</v>
      </c>
      <c r="F12" s="4847"/>
      <c r="H12" s="4849"/>
      <c r="I12" s="4850"/>
      <c r="J12" s="4861" t="str">
        <f>IF(SUM(Tablas!$G$451:$G$463)+SUM(Tablas!$H$1351:$H$1363),"+1 grado: Des. Psíquico.","")</f>
        <v/>
      </c>
      <c r="K12" s="4862"/>
      <c r="L12" s="4862"/>
      <c r="M12" s="4863"/>
      <c r="O12" s="4864">
        <f>Turno_Nat_final</f>
        <v>60</v>
      </c>
      <c r="P12" s="4848">
        <f>IF(PDs!E110="Tabla de Proyección Psíquica",Proyecciónpsíquica_final-PDs!V109+PDs!V22,Proyecciónpsíquica_final)</f>
        <v>0</v>
      </c>
      <c r="Q12" s="4869">
        <f>IF(PDs!E110="Tabla de Proyección Psíquica",Proyecciónpsíquica_final-PDs!V109+MAX(PDs!V23,PDs!V24),Proyecciónpsíquica_final)</f>
        <v>0</v>
      </c>
      <c r="R12" s="40"/>
      <c r="S12" s="31"/>
      <c r="T12" s="31"/>
      <c r="U12" s="762"/>
      <c r="V12" s="4865" t="str">
        <f>IF(V11=0,"",VLOOKUP(V11,Tabla_PoderesPsi,2,FALSE))</f>
        <v/>
      </c>
      <c r="W12" s="4866"/>
      <c r="X12" s="4866"/>
      <c r="Y12" s="1897" t="s">
        <v>1333</v>
      </c>
      <c r="Z12" s="1898" t="str">
        <f>IF(V11=0,"",VLOOKUP(V11,Tabla_PoderesPsi,3,FALSE))</f>
        <v/>
      </c>
      <c r="AA12" s="4870"/>
      <c r="AB12" s="4842"/>
      <c r="AD12" s="4835" t="str">
        <f>IF(AD11=0,"",VLOOKUP(AD11,Tabla_PoderesPsi,2,FALSE))</f>
        <v/>
      </c>
      <c r="AE12" s="3381"/>
      <c r="AF12" s="3381"/>
      <c r="AG12" s="1239" t="s">
        <v>1333</v>
      </c>
      <c r="AH12" s="505" t="str">
        <f>IF(AD11=0,"",VLOOKUP(AD11,Tabla_PoderesPsi,3,FALSE))</f>
        <v/>
      </c>
      <c r="AI12" s="4808"/>
      <c r="AJ12" s="4809"/>
      <c r="AK12" s="4810"/>
      <c r="AL12" s="1209" t="e">
        <f>INDEX(Lista_Dificultades,1+COUNTIF(INDEX('Tablas psiquica'!$I$7:$R$145,MATCH(AD11,Poderes_psi,0),),"*Fatiga*"))</f>
        <v>#N/A</v>
      </c>
      <c r="AM12" s="31"/>
      <c r="AN12" s="1656"/>
      <c r="AO12" s="4816" t="s">
        <v>1386</v>
      </c>
      <c r="AP12" s="4817"/>
      <c r="AQ12" s="1655"/>
      <c r="AR12" s="2802" t="s">
        <v>7443</v>
      </c>
      <c r="AS12" s="1986"/>
    </row>
    <row r="13" spans="1:45" ht="12" customHeight="1" thickBot="1" x14ac:dyDescent="0.25">
      <c r="A13" s="31"/>
      <c r="B13" s="542"/>
      <c r="C13" s="4846"/>
      <c r="D13" s="4846"/>
      <c r="E13" s="4847"/>
      <c r="F13" s="4847"/>
      <c r="H13" s="3362" t="s">
        <v>1804</v>
      </c>
      <c r="I13" s="3168"/>
      <c r="J13" s="2585"/>
      <c r="K13" s="4871" t="s">
        <v>1805</v>
      </c>
      <c r="L13" s="4872"/>
      <c r="M13" s="1840"/>
      <c r="O13" s="4864"/>
      <c r="P13" s="4848"/>
      <c r="Q13" s="4869"/>
      <c r="R13" s="40"/>
      <c r="S13" s="31"/>
      <c r="T13" s="31"/>
      <c r="U13" s="762">
        <f>IF(V13=0,0,1)</f>
        <v>0</v>
      </c>
      <c r="V13" s="4853"/>
      <c r="W13" s="4854"/>
      <c r="X13" s="4854"/>
      <c r="Y13" s="4854"/>
      <c r="Z13" s="4854"/>
      <c r="AA13" s="4855"/>
      <c r="AB13" s="4857" t="str">
        <f>IF(AA13=0,"",IF(AA13*10&lt;100,AA13*10,100))</f>
        <v/>
      </c>
      <c r="AL13" s="838"/>
      <c r="AM13" s="31"/>
      <c r="AN13" s="1653"/>
      <c r="AO13" s="1653"/>
      <c r="AP13" s="1654"/>
      <c r="AQ13" s="1654"/>
      <c r="AR13" s="1986"/>
      <c r="AS13" s="1986"/>
    </row>
    <row r="14" spans="1:45" ht="12" customHeight="1" thickBot="1" x14ac:dyDescent="0.25">
      <c r="A14" s="31"/>
      <c r="B14" s="542"/>
      <c r="C14" s="4836" t="s">
        <v>1806</v>
      </c>
      <c r="D14" s="4836"/>
      <c r="E14" s="4836"/>
      <c r="F14" s="164" t="s">
        <v>1801</v>
      </c>
      <c r="R14" s="40"/>
      <c r="S14" s="31"/>
      <c r="T14" s="31"/>
      <c r="U14" s="762"/>
      <c r="V14" s="4837" t="str">
        <f>IF(V13=0,"",VLOOKUP(V13,Tabla_PoderesPsi,2,FALSE))</f>
        <v/>
      </c>
      <c r="W14" s="4838"/>
      <c r="X14" s="4838"/>
      <c r="Y14" s="2020" t="s">
        <v>1333</v>
      </c>
      <c r="Z14" s="2021" t="str">
        <f>IF(V13=0,"",VLOOKUP(V13,Tabla_PoderesPsi,3,FALSE))</f>
        <v/>
      </c>
      <c r="AA14" s="4856"/>
      <c r="AB14" s="4858"/>
      <c r="AL14" s="838"/>
      <c r="AM14" s="31"/>
      <c r="AN14" s="67"/>
      <c r="AO14" s="1981"/>
      <c r="AP14" s="1982"/>
      <c r="AQ14" s="1982"/>
      <c r="AR14" s="1986" t="s">
        <v>9923</v>
      </c>
      <c r="AS14" s="1986"/>
    </row>
    <row r="15" spans="1:45" ht="12" customHeight="1" thickBot="1" x14ac:dyDescent="0.25">
      <c r="A15" s="31"/>
      <c r="B15" s="542"/>
      <c r="C15" s="3189" t="s">
        <v>1794</v>
      </c>
      <c r="D15" s="3189"/>
      <c r="E15" s="3189"/>
      <c r="F15" s="90">
        <f>IF(C25=0,0,1)+IF(C27=0,0,1)+IF(C29=0,0,1)+IF(C31=0,0,1)+IF(C33=0,0,1)+IF(C35=0,0,1)</f>
        <v>0</v>
      </c>
      <c r="H15" s="3156" t="s">
        <v>1807</v>
      </c>
      <c r="I15" s="3156"/>
      <c r="J15" s="3156"/>
      <c r="K15" s="3156"/>
      <c r="L15" s="3156"/>
      <c r="M15" s="3156"/>
      <c r="O15" s="3156" t="s">
        <v>1808</v>
      </c>
      <c r="P15" s="3156"/>
      <c r="Q15" s="3156"/>
      <c r="R15" s="40"/>
      <c r="S15" s="31"/>
      <c r="T15" s="31"/>
      <c r="U15" s="762">
        <f>IF(V15=0,0,1)</f>
        <v>0</v>
      </c>
      <c r="V15" s="4888"/>
      <c r="W15" s="4889"/>
      <c r="X15" s="4889"/>
      <c r="Y15" s="4889"/>
      <c r="Z15" s="4889"/>
      <c r="AA15" s="4870"/>
      <c r="AB15" s="4842" t="str">
        <f>IF(AA15=0,"",IF(AA15*10&lt;100,AA15*10,100))</f>
        <v/>
      </c>
      <c r="AL15" s="2031" t="s">
        <v>7428</v>
      </c>
      <c r="AM15" s="31"/>
      <c r="AN15" s="67"/>
      <c r="AO15" s="1983"/>
      <c r="AP15" s="1984"/>
      <c r="AQ15" s="1984"/>
      <c r="AR15" s="1986"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86"/>
    </row>
    <row r="16" spans="1:45" ht="12" customHeight="1" thickBot="1" x14ac:dyDescent="0.25">
      <c r="A16" s="31"/>
      <c r="B16" s="542"/>
      <c r="C16" s="4890" t="s">
        <v>1795</v>
      </c>
      <c r="D16" s="4890"/>
      <c r="E16" s="4890"/>
      <c r="F16" s="165">
        <f>SUM(U11:U63)</f>
        <v>0</v>
      </c>
      <c r="G16" s="166"/>
      <c r="H16" s="4873" t="s">
        <v>7429</v>
      </c>
      <c r="I16" s="4874">
        <f>F20-SUM(AI11:AI64)</f>
        <v>1</v>
      </c>
      <c r="J16" s="4876"/>
      <c r="K16" s="4876"/>
      <c r="L16" s="4876"/>
      <c r="M16" s="4876"/>
      <c r="O16" s="3219" t="s">
        <v>1731</v>
      </c>
      <c r="P16" s="3219"/>
      <c r="Q16" s="162" t="s">
        <v>1375</v>
      </c>
      <c r="R16" s="40"/>
      <c r="S16" s="31"/>
      <c r="T16" s="31"/>
      <c r="U16" s="762"/>
      <c r="V16" s="4865" t="str">
        <f>IF(V15=0,"",VLOOKUP(V15,Tabla_PoderesPsi,2,FALSE))</f>
        <v/>
      </c>
      <c r="W16" s="4866"/>
      <c r="X16" s="4866"/>
      <c r="Y16" s="1897" t="s">
        <v>1333</v>
      </c>
      <c r="Z16" s="1898" t="str">
        <f>IF(V15=0,"",VLOOKUP(V15,Tabla_PoderesPsi,3,FALSE))</f>
        <v/>
      </c>
      <c r="AA16" s="4870"/>
      <c r="AB16" s="4842"/>
      <c r="AC16" s="1000"/>
      <c r="AD16" s="2847" t="s">
        <v>7427</v>
      </c>
      <c r="AE16" s="2848"/>
      <c r="AF16" s="2848"/>
      <c r="AG16" s="2848"/>
      <c r="AH16" s="4823"/>
      <c r="AI16" s="2293" t="s">
        <v>1801</v>
      </c>
      <c r="AJ16" s="2293" t="s">
        <v>6557</v>
      </c>
      <c r="AK16" s="2294" t="s">
        <v>1246</v>
      </c>
      <c r="AL16" s="2032">
        <f>COUNTA(AD17,AD19,AD21,AD23,AD25,AD27,AD29,AD31,AD33,AD35,AD37,AD39,AD41,AD43,AD45,AD47,AD49,AD51,AD53,AD55,AD57,AD59,AD61)</f>
        <v>0</v>
      </c>
      <c r="AM16" s="31"/>
      <c r="AN16" s="67"/>
      <c r="AO16" s="1981"/>
      <c r="AP16" s="1982"/>
      <c r="AQ16" s="1982"/>
      <c r="AR16" s="1986"/>
      <c r="AS16" s="1986"/>
    </row>
    <row r="17" spans="1:45" ht="12" customHeight="1" x14ac:dyDescent="0.2">
      <c r="A17" s="31"/>
      <c r="B17" s="542"/>
      <c r="C17" s="4891" t="s">
        <v>1809</v>
      </c>
      <c r="D17" s="4891"/>
      <c r="E17" s="4891"/>
      <c r="F17" s="90">
        <f>SUM(AA11:AA64)</f>
        <v>0</v>
      </c>
      <c r="H17" s="4873"/>
      <c r="I17" s="4875"/>
      <c r="J17" s="4876"/>
      <c r="K17" s="4876"/>
      <c r="L17" s="4876"/>
      <c r="M17" s="4876"/>
      <c r="O17" s="4887" t="s">
        <v>1736</v>
      </c>
      <c r="P17" s="4887"/>
      <c r="Q17" s="167" t="str">
        <f>IF(OR(Tablas!G546&gt;0,Tablas!H1385&gt;0),"+0",IF(AND(Tablas!G444=0,Tablas!H1349=0),"+10","+20"))</f>
        <v>+10</v>
      </c>
      <c r="R17" s="40"/>
      <c r="S17" s="31"/>
      <c r="T17" s="31"/>
      <c r="U17" s="762">
        <f>IF(V17=0,0,1)</f>
        <v>0</v>
      </c>
      <c r="V17" s="4853"/>
      <c r="W17" s="4854"/>
      <c r="X17" s="4854"/>
      <c r="Y17" s="4854"/>
      <c r="Z17" s="4854"/>
      <c r="AA17" s="4855"/>
      <c r="AB17" s="4857" t="str">
        <f>IF(AA17=0,"",IF(AA17*10&lt;100,AA17*10,100))</f>
        <v/>
      </c>
      <c r="AD17" s="4843"/>
      <c r="AE17" s="4844"/>
      <c r="AF17" s="4844"/>
      <c r="AG17" s="4844"/>
      <c r="AH17" s="4845"/>
      <c r="AI17" s="4851"/>
      <c r="AJ17" s="4818"/>
      <c r="AK17" s="4821" t="str">
        <f>IF(AD17&lt;&gt;"",INDEX(Tablas!$U$26:$U$38,MAX(MATCH(VLOOKUP(Psíquicos!$AD17,'Tablas psiquica'!$U$7:$AH$110,2,FALSE),Tablas!$U$26:$U$38,0),MAX(SUMPRODUCT(--(Tablas!$T$26:$T$38&lt;=(AL17-20*AI17)))+IF(Tablas!$G$446&gt;0,1,0)+IF(COUNTIF($C$39:$E$50,"Introversión")&gt;0,1,0),SUMPRODUCT(--(Tablas!$T$26:$T$38&lt;=(AL17)))))),"")</f>
        <v/>
      </c>
      <c r="AL17" s="4815">
        <f>$H$11+IF(ISNA(VLOOKUP(AD17,$V$11:$AB$64,7,FALSE)),0,IF(VLOOKUP(AD17,$V$11:$AB$64,7,FALSE)="",0,VLOOKUP(AD17,$V$11:$AB$64,7,FALSE)))+AI17*20+AJ17</f>
        <v>10</v>
      </c>
      <c r="AM17" s="31"/>
      <c r="AN17" s="67"/>
      <c r="AO17" s="1983"/>
      <c r="AP17" s="1984"/>
      <c r="AR17" s="2803">
        <v>1</v>
      </c>
      <c r="AS17" s="1986" t="str">
        <f>IF(INDEX($V$11:$Z$64,AR17,1)=0,"",INDEX($V$11:$Z$64,AR17,1))</f>
        <v/>
      </c>
    </row>
    <row r="18" spans="1:45" ht="12" customHeight="1" x14ac:dyDescent="0.2">
      <c r="A18" s="31"/>
      <c r="B18" s="542"/>
      <c r="C18" s="4882" t="s">
        <v>1810</v>
      </c>
      <c r="D18" s="4882"/>
      <c r="E18" s="4882"/>
      <c r="F18" s="165">
        <f>M10</f>
        <v>0</v>
      </c>
      <c r="H18" s="168" t="s">
        <v>1811</v>
      </c>
      <c r="I18" s="1243"/>
      <c r="J18" s="31"/>
      <c r="K18" s="169" t="str">
        <f>IF(AND(Tablas!G445=0,Tablas!H1350=0),"+10 / CV","+20 / CV")</f>
        <v>+10 / CV</v>
      </c>
      <c r="L18" s="4883" t="str">
        <f>IF(AND(Tablas!G445=0,Tablas!H1382=0),"(Max +50)","(Max +100)")</f>
        <v>(Max +50)</v>
      </c>
      <c r="M18" s="4883"/>
      <c r="O18" s="4884" t="s">
        <v>1739</v>
      </c>
      <c r="P18" s="4884"/>
      <c r="Q18" s="167" t="str">
        <f>IF(OR(Tablas!G546&gt;0,Tablas!H1385&gt;0),"+0",IF(AND(Tablas!G444=0,Tablas!H1349=0),"+20","+40"))</f>
        <v>+20</v>
      </c>
      <c r="R18" s="40"/>
      <c r="S18" s="31"/>
      <c r="T18" s="31"/>
      <c r="U18" s="762"/>
      <c r="V18" s="4885" t="str">
        <f>IF(V17=0,"",VLOOKUP(V17,Tabla_PoderesPsi,2,FALSE))</f>
        <v/>
      </c>
      <c r="W18" s="4886"/>
      <c r="X18" s="4886"/>
      <c r="Y18" s="2020" t="s">
        <v>1333</v>
      </c>
      <c r="Z18" s="2021" t="str">
        <f>IF(V17=0,"",VLOOKUP(V17,Tabla_PoderesPsi,3,FALSE))</f>
        <v/>
      </c>
      <c r="AA18" s="4856"/>
      <c r="AB18" s="4858"/>
      <c r="AD18" s="4859" t="str">
        <f>IF(AD17=0,"",VLOOKUP(AD17,Tabla_PoderesPsi,2,FALSE))</f>
        <v/>
      </c>
      <c r="AE18" s="4860"/>
      <c r="AF18" s="4860"/>
      <c r="AG18" s="2291" t="s">
        <v>1333</v>
      </c>
      <c r="AH18" s="2292" t="str">
        <f>IF(AD17=0,"",VLOOKUP(AD17,Tabla_PoderesPsi,3,FALSE))</f>
        <v/>
      </c>
      <c r="AI18" s="4852"/>
      <c r="AJ18" s="4819"/>
      <c r="AK18" s="4822"/>
      <c r="AL18" s="4815"/>
      <c r="AM18" s="31"/>
      <c r="AN18" s="67"/>
      <c r="AO18" s="1981"/>
      <c r="AP18" s="1982"/>
      <c r="AR18" s="2803">
        <v>3</v>
      </c>
      <c r="AS18" s="1986" t="str">
        <f t="shared" ref="AS18:AS42" si="0">IF(INDEX($V$11:$Z$64,AR18,1)=0,"",INDEX($V$11:$Z$64,AR18,1))</f>
        <v/>
      </c>
    </row>
    <row r="19" spans="1:45" ht="12" customHeight="1" x14ac:dyDescent="0.2">
      <c r="A19" s="31"/>
      <c r="B19" s="542"/>
      <c r="C19" s="4895" t="s">
        <v>1812</v>
      </c>
      <c r="D19" s="4895"/>
      <c r="E19" s="4895"/>
      <c r="F19" s="1179">
        <f>2*M13</f>
        <v>0</v>
      </c>
      <c r="H19" s="170" t="s">
        <v>1813</v>
      </c>
      <c r="I19" s="171"/>
      <c r="K19" s="172" t="s">
        <v>1814</v>
      </c>
      <c r="L19" s="4894" t="s">
        <v>1815</v>
      </c>
      <c r="M19" s="4894"/>
      <c r="O19" s="4884" t="s">
        <v>1741</v>
      </c>
      <c r="P19" s="4884"/>
      <c r="Q19" s="167" t="str">
        <f>IF(OR(Tablas!G546&gt;0,Tablas!H1385&gt;0),"+0",IF(AND(Tablas!G444=0,Tablas!H1349=0),"+30","+60"))</f>
        <v>+30</v>
      </c>
      <c r="R19" s="40"/>
      <c r="S19" s="31"/>
      <c r="T19" s="31"/>
      <c r="U19" s="762">
        <f>IF(V19=0,0,1)</f>
        <v>0</v>
      </c>
      <c r="V19" s="4877"/>
      <c r="W19" s="4878"/>
      <c r="X19" s="4878"/>
      <c r="Y19" s="4878"/>
      <c r="Z19" s="4879"/>
      <c r="AA19" s="4870"/>
      <c r="AB19" s="4842" t="str">
        <f>IF(AA19=0,"",IF(AA19*10&lt;100,AA19*10,100))</f>
        <v/>
      </c>
      <c r="AD19" s="4843"/>
      <c r="AE19" s="4844"/>
      <c r="AF19" s="4844"/>
      <c r="AG19" s="4844"/>
      <c r="AH19" s="4845"/>
      <c r="AI19" s="4851"/>
      <c r="AJ19" s="4818"/>
      <c r="AK19" s="4821" t="str">
        <f>IF(AD19&lt;&gt;"",INDEX(Tablas!$U$26:$U$38,MAX(MATCH(VLOOKUP(Psíquicos!$AD19,'Tablas psiquica'!$U$7:$AH$110,2,FALSE),Tablas!$U$26:$U$38,0),MAX(SUMPRODUCT(--(Tablas!$T$26:$T$38&lt;=(AL19-20*AI19)))+IF(Tablas!$G$446&gt;0,1,0)+IF(COUNTIF($C$39:$E$50,"Introversión")&gt;0,1,0),SUMPRODUCT(--(Tablas!$T$26:$T$38&lt;=(AL19)))))),"")</f>
        <v/>
      </c>
      <c r="AL19" s="4815">
        <f t="shared" ref="AL19" si="1">$H$11+IF(ISNA(VLOOKUP(AD19,$V$11:$AB$64,7,FALSE)),0,IF(VLOOKUP(AD19,$V$11:$AB$64,7,FALSE)="",0,VLOOKUP(AD19,$V$11:$AB$64,7,FALSE)))+AI19*20+AJ19</f>
        <v>10</v>
      </c>
      <c r="AM19" s="31"/>
      <c r="AN19" s="67"/>
      <c r="AO19" s="1983"/>
      <c r="AP19" s="1984"/>
      <c r="AR19" s="2803">
        <v>5</v>
      </c>
      <c r="AS19" s="1986" t="str">
        <f t="shared" si="0"/>
        <v/>
      </c>
    </row>
    <row r="20" spans="1:45" ht="12" customHeight="1" x14ac:dyDescent="0.2">
      <c r="A20" s="31"/>
      <c r="B20" s="542"/>
      <c r="C20" s="4892" t="s">
        <v>1807</v>
      </c>
      <c r="D20" s="4892"/>
      <c r="E20" s="4892"/>
      <c r="F20" s="4893">
        <f>C12-E12</f>
        <v>1</v>
      </c>
      <c r="H20" s="168" t="s">
        <v>1816</v>
      </c>
      <c r="I20" s="31"/>
      <c r="J20" s="31"/>
      <c r="K20" s="169" t="s">
        <v>1814</v>
      </c>
      <c r="L20" s="4883" t="s">
        <v>1815</v>
      </c>
      <c r="M20" s="4883"/>
      <c r="O20" s="4884" t="s">
        <v>1743</v>
      </c>
      <c r="P20" s="4884"/>
      <c r="Q20" s="167" t="str">
        <f>IF(OR(Tablas!G546&gt;0,Tablas!H1385&gt;0),"+0",IF(AND(Tablas!G444=0,Tablas!H1349=0),"+40","+80"))</f>
        <v>+40</v>
      </c>
      <c r="R20" s="40"/>
      <c r="S20" s="31"/>
      <c r="T20" s="31"/>
      <c r="U20" s="762"/>
      <c r="V20" s="4880" t="str">
        <f>IF(V19=0,"",VLOOKUP(V19,Tabla_PoderesPsi,2,FALSE))</f>
        <v/>
      </c>
      <c r="W20" s="4881"/>
      <c r="X20" s="4881"/>
      <c r="Y20" s="1897" t="s">
        <v>1333</v>
      </c>
      <c r="Z20" s="1898" t="str">
        <f>IF(V19=0,"",VLOOKUP(V19,Tabla_PoderesPsi,3,FALSE))</f>
        <v/>
      </c>
      <c r="AA20" s="4870"/>
      <c r="AB20" s="4842"/>
      <c r="AD20" s="4859" t="str">
        <f>IF(AD19=0,"",VLOOKUP(AD19,Tabla_PoderesPsi,2,FALSE))</f>
        <v/>
      </c>
      <c r="AE20" s="4860"/>
      <c r="AF20" s="4860"/>
      <c r="AG20" s="2291" t="s">
        <v>1333</v>
      </c>
      <c r="AH20" s="2292" t="str">
        <f>IF(AD19=0,"",VLOOKUP(AD19,Tabla_PoderesPsi,3,FALSE))</f>
        <v/>
      </c>
      <c r="AI20" s="4852"/>
      <c r="AJ20" s="4819"/>
      <c r="AK20" s="4822"/>
      <c r="AL20" s="4815"/>
      <c r="AM20" s="31"/>
      <c r="AN20" s="67"/>
      <c r="AO20" s="1981"/>
      <c r="AP20" s="1982"/>
      <c r="AR20" s="2803">
        <v>7</v>
      </c>
      <c r="AS20" s="1986" t="str">
        <f t="shared" si="0"/>
        <v/>
      </c>
    </row>
    <row r="21" spans="1:45" ht="12" customHeight="1" x14ac:dyDescent="0.2">
      <c r="A21" s="31"/>
      <c r="B21" s="542"/>
      <c r="C21" s="4892"/>
      <c r="D21" s="4892"/>
      <c r="E21" s="4892"/>
      <c r="F21" s="4893"/>
      <c r="H21" s="170" t="s">
        <v>1817</v>
      </c>
      <c r="I21" s="171"/>
      <c r="K21" s="172" t="s">
        <v>1818</v>
      </c>
      <c r="L21" s="4894" t="s">
        <v>1819</v>
      </c>
      <c r="M21" s="4894"/>
      <c r="O21" s="4896" t="s">
        <v>1745</v>
      </c>
      <c r="P21" s="4896"/>
      <c r="Q21" s="1180" t="str">
        <f>IF(OR(Tablas!G546&gt;0,Tablas!H1385&gt;0),"+0",IF(AND(Tablas!G444=0,Tablas!H1349=0),"+50","+100"))</f>
        <v>+50</v>
      </c>
      <c r="R21" s="40"/>
      <c r="S21" s="31"/>
      <c r="T21" s="31"/>
      <c r="U21" s="762">
        <f>IF(V21=0,0,1)</f>
        <v>0</v>
      </c>
      <c r="V21" s="4897"/>
      <c r="W21" s="4898"/>
      <c r="X21" s="4898"/>
      <c r="Y21" s="4898"/>
      <c r="Z21" s="4899"/>
      <c r="AA21" s="4900"/>
      <c r="AB21" s="4902" t="str">
        <f>IF(AA21=0,"",IF(AA21*10&lt;100,AA21*10,100))</f>
        <v/>
      </c>
      <c r="AD21" s="4843"/>
      <c r="AE21" s="4844"/>
      <c r="AF21" s="4844"/>
      <c r="AG21" s="4844"/>
      <c r="AH21" s="4845"/>
      <c r="AI21" s="4851"/>
      <c r="AJ21" s="4818"/>
      <c r="AK21" s="4821" t="str">
        <f>IF(AD21&lt;&gt;"",INDEX(Tablas!$U$26:$U$38,MAX(MATCH(VLOOKUP(Psíquicos!$AD21,'Tablas psiquica'!$U$7:$AH$110,2,FALSE),Tablas!$U$26:$U$38,0),MAX(SUMPRODUCT(--(Tablas!$T$26:$T$38&lt;=(AL21-20*AI21)))+IF(Tablas!$G$446&gt;0,1,0)+IF(COUNTIF($C$39:$E$50,"Introversión")&gt;0,1,0),SUMPRODUCT(--(Tablas!$T$26:$T$38&lt;=(AL21)))))),"")</f>
        <v/>
      </c>
      <c r="AL21" s="4815">
        <f t="shared" ref="AL21" si="2">$H$11+IF(ISNA(VLOOKUP(AD21,$V$11:$AB$64,7,FALSE)),0,IF(VLOOKUP(AD21,$V$11:$AB$64,7,FALSE)="",0,VLOOKUP(AD21,$V$11:$AB$64,7,FALSE)))+AI21*20+AJ21</f>
        <v>10</v>
      </c>
      <c r="AM21" s="31"/>
      <c r="AN21" s="67"/>
      <c r="AO21" s="1983"/>
      <c r="AP21" s="1984"/>
      <c r="AR21" s="2803">
        <v>9</v>
      </c>
      <c r="AS21" s="1986" t="str">
        <f t="shared" si="0"/>
        <v/>
      </c>
    </row>
    <row r="22" spans="1:45" ht="12" customHeight="1" thickBot="1" x14ac:dyDescent="0.25">
      <c r="A22" s="31"/>
      <c r="B22" s="542"/>
      <c r="C22" s="4908" t="str">
        <f>IF(F20&lt;0,"Exceso de CVs",IF(AL16&gt;M13,"Exceso de innatos activos",""))</f>
        <v/>
      </c>
      <c r="D22" s="4908"/>
      <c r="E22" s="4908"/>
      <c r="F22" s="4908"/>
      <c r="G22" s="173"/>
      <c r="H22" s="174" t="s">
        <v>1820</v>
      </c>
      <c r="I22" s="53"/>
      <c r="J22" s="53"/>
      <c r="K22" s="175" t="s">
        <v>1818</v>
      </c>
      <c r="L22" s="4015" t="s">
        <v>1821</v>
      </c>
      <c r="M22" s="4015"/>
      <c r="O22" s="4909" t="str">
        <f>IF(OR(Tablas!G546&gt;0,Tablas!H1385&gt;0),"Sin concentración",IF(AND(Tablas!G444=0,Tablas!H1349=0),"","Concentración extrema"))</f>
        <v/>
      </c>
      <c r="P22" s="4909"/>
      <c r="Q22" s="4909"/>
      <c r="R22" s="40"/>
      <c r="S22" s="31"/>
      <c r="T22" s="31"/>
      <c r="U22" s="762"/>
      <c r="V22" s="4904" t="str">
        <f>IF(V21=0,"",VLOOKUP(V21,Tabla_PoderesPsi,2,FALSE))</f>
        <v/>
      </c>
      <c r="W22" s="4905"/>
      <c r="X22" s="4905"/>
      <c r="Y22" s="2022" t="s">
        <v>1333</v>
      </c>
      <c r="Z22" s="2023" t="str">
        <f>IF(V21=0,"",VLOOKUP(V21,Tabla_PoderesPsi,3,FALSE))</f>
        <v/>
      </c>
      <c r="AA22" s="4901"/>
      <c r="AB22" s="4903"/>
      <c r="AD22" s="4859" t="str">
        <f>IF(AD21=0,"",VLOOKUP(AD21,Tabla_PoderesPsi,2,FALSE))</f>
        <v/>
      </c>
      <c r="AE22" s="4860"/>
      <c r="AF22" s="4860"/>
      <c r="AG22" s="2291" t="s">
        <v>1333</v>
      </c>
      <c r="AH22" s="2292" t="str">
        <f>IF(AD21=0,"",VLOOKUP(AD21,Tabla_PoderesPsi,3,FALSE))</f>
        <v/>
      </c>
      <c r="AI22" s="4852"/>
      <c r="AJ22" s="4819"/>
      <c r="AK22" s="4822"/>
      <c r="AL22" s="4815"/>
      <c r="AM22" s="31"/>
      <c r="AN22" s="67"/>
      <c r="AO22" s="1981"/>
      <c r="AP22" s="1982"/>
      <c r="AR22" s="2803">
        <v>11</v>
      </c>
      <c r="AS22" s="1986" t="str">
        <f t="shared" si="0"/>
        <v/>
      </c>
    </row>
    <row r="23" spans="1:45" ht="12" customHeight="1" thickBot="1" x14ac:dyDescent="0.25">
      <c r="A23" s="31"/>
      <c r="B23" s="542"/>
      <c r="M23" s="57"/>
      <c r="R23" s="40"/>
      <c r="S23" s="31"/>
      <c r="T23" s="31"/>
      <c r="U23" s="762">
        <f>IF(V23=0,0,1)</f>
        <v>0</v>
      </c>
      <c r="V23" s="4877"/>
      <c r="W23" s="4878"/>
      <c r="X23" s="4878"/>
      <c r="Y23" s="4878"/>
      <c r="Z23" s="4879"/>
      <c r="AA23" s="4870"/>
      <c r="AB23" s="4842" t="str">
        <f>IF(AA23=0,"",IF(AA23*10&lt;100,AA23*10,100))</f>
        <v/>
      </c>
      <c r="AD23" s="4843"/>
      <c r="AE23" s="4844"/>
      <c r="AF23" s="4844"/>
      <c r="AG23" s="4844"/>
      <c r="AH23" s="4845"/>
      <c r="AI23" s="4851"/>
      <c r="AJ23" s="4818"/>
      <c r="AK23" s="4821" t="str">
        <f>IF(AD23&lt;&gt;"",INDEX(Tablas!$U$26:$U$38,MAX(MATCH(VLOOKUP(Psíquicos!$AD23,'Tablas psiquica'!$U$7:$AH$110,2,FALSE),Tablas!$U$26:$U$38,0),MAX(SUMPRODUCT(--(Tablas!$T$26:$T$38&lt;=(AL23-20*AI23)))+IF(Tablas!$G$446&gt;0,1,0)+IF(COUNTIF($C$39:$E$50,"Introversión")&gt;0,1,0),SUMPRODUCT(--(Tablas!$T$26:$T$38&lt;=(AL23)))))),"")</f>
        <v/>
      </c>
      <c r="AL23" s="4815">
        <f t="shared" ref="AL23" si="3">$H$11+IF(ISNA(VLOOKUP(AD23,$V$11:$AB$64,7,FALSE)),0,IF(VLOOKUP(AD23,$V$11:$AB$64,7,FALSE)="",0,VLOOKUP(AD23,$V$11:$AB$64,7,FALSE)))+AI23*20+AJ23</f>
        <v>10</v>
      </c>
      <c r="AM23" s="31"/>
      <c r="AN23" s="176"/>
      <c r="AO23" s="1983"/>
      <c r="AP23" s="1984"/>
      <c r="AR23" s="2803">
        <v>13</v>
      </c>
      <c r="AS23" s="1986" t="str">
        <f t="shared" si="0"/>
        <v/>
      </c>
    </row>
    <row r="24" spans="1:45" ht="12" customHeight="1" x14ac:dyDescent="0.2">
      <c r="A24" s="31"/>
      <c r="B24" s="542"/>
      <c r="C24" s="2992" t="s">
        <v>1822</v>
      </c>
      <c r="D24" s="2993"/>
      <c r="E24" s="2993"/>
      <c r="F24" s="4906" t="s">
        <v>1823</v>
      </c>
      <c r="G24" s="4906"/>
      <c r="H24" s="4906"/>
      <c r="I24" s="4906"/>
      <c r="J24" s="4906"/>
      <c r="K24" s="4906"/>
      <c r="L24" s="4906"/>
      <c r="M24" s="4906"/>
      <c r="N24" s="4906"/>
      <c r="O24" s="4906"/>
      <c r="P24" s="4906"/>
      <c r="Q24" s="4907"/>
      <c r="R24" s="40"/>
      <c r="S24" s="31"/>
      <c r="T24" s="31"/>
      <c r="U24" s="762"/>
      <c r="V24" s="4880" t="str">
        <f>IF(V23=0,"",VLOOKUP(V23,Tabla_PoderesPsi,2,FALSE))</f>
        <v/>
      </c>
      <c r="W24" s="4881"/>
      <c r="X24" s="4881"/>
      <c r="Y24" s="1897" t="s">
        <v>1333</v>
      </c>
      <c r="Z24" s="1898" t="str">
        <f>IF(V23=0,"",VLOOKUP(V23,Tabla_PoderesPsi,3,FALSE))</f>
        <v/>
      </c>
      <c r="AA24" s="4870"/>
      <c r="AB24" s="4842"/>
      <c r="AD24" s="4859" t="str">
        <f>IF(AD23=0,"",VLOOKUP(AD23,Tabla_PoderesPsi,2,FALSE))</f>
        <v/>
      </c>
      <c r="AE24" s="4860"/>
      <c r="AF24" s="4860"/>
      <c r="AG24" s="2291" t="s">
        <v>1333</v>
      </c>
      <c r="AH24" s="2292" t="str">
        <f>IF(AD23=0,"",VLOOKUP(AD23,Tabla_PoderesPsi,3,FALSE))</f>
        <v/>
      </c>
      <c r="AI24" s="4852"/>
      <c r="AJ24" s="4819"/>
      <c r="AK24" s="4822"/>
      <c r="AL24" s="4815"/>
      <c r="AM24" s="31"/>
      <c r="AN24" s="67"/>
      <c r="AO24" s="1981"/>
      <c r="AP24" s="1982"/>
      <c r="AR24" s="2803">
        <v>15</v>
      </c>
      <c r="AS24" s="1986" t="str">
        <f t="shared" si="0"/>
        <v/>
      </c>
    </row>
    <row r="25" spans="1:45" ht="12" customHeight="1" x14ac:dyDescent="0.2">
      <c r="A25" s="31"/>
      <c r="B25" s="542"/>
      <c r="C25" s="4910"/>
      <c r="D25" s="4911"/>
      <c r="E25" s="4912"/>
      <c r="F25" s="3528" t="str">
        <f>IF(C25=0,"",VLOOKUP(C25,Tabla_DisciplinasPsi,2,FALSE))</f>
        <v/>
      </c>
      <c r="G25" s="4916"/>
      <c r="H25" s="4916"/>
      <c r="I25" s="4916"/>
      <c r="J25" s="4916"/>
      <c r="K25" s="4916"/>
      <c r="L25" s="4916"/>
      <c r="M25" s="4916"/>
      <c r="N25" s="4916"/>
      <c r="O25" s="4916"/>
      <c r="P25" s="4916"/>
      <c r="Q25" s="4917"/>
      <c r="R25" s="40"/>
      <c r="S25" s="31"/>
      <c r="T25" s="31"/>
      <c r="U25" s="762">
        <f>IF(V25=0,0,1)</f>
        <v>0</v>
      </c>
      <c r="V25" s="4897"/>
      <c r="W25" s="4898"/>
      <c r="X25" s="4898"/>
      <c r="Y25" s="4898"/>
      <c r="Z25" s="4899"/>
      <c r="AA25" s="4900"/>
      <c r="AB25" s="4902" t="str">
        <f>IF(AA25=0,"",IF(AA25*10&lt;100,AA25*10,100))</f>
        <v/>
      </c>
      <c r="AD25" s="4843"/>
      <c r="AE25" s="4844"/>
      <c r="AF25" s="4844"/>
      <c r="AG25" s="4844"/>
      <c r="AH25" s="4845"/>
      <c r="AI25" s="4851"/>
      <c r="AJ25" s="4818"/>
      <c r="AK25" s="4821" t="str">
        <f>IF(AD25&lt;&gt;"",INDEX(Tablas!$U$26:$U$38,MAX(MATCH(VLOOKUP(Psíquicos!$AD25,'Tablas psiquica'!$U$7:$AH$110,2,FALSE),Tablas!$U$26:$U$38,0),MAX(SUMPRODUCT(--(Tablas!$T$26:$T$38&lt;=(AL25-20*AI25)))+IF(Tablas!$G$446&gt;0,1,0)+IF(COUNTIF($C$39:$E$50,"Introversión")&gt;0,1,0),SUMPRODUCT(--(Tablas!$T$26:$T$38&lt;=(AL25)))))),"")</f>
        <v/>
      </c>
      <c r="AL25" s="4815">
        <f t="shared" ref="AL25" si="4">$H$11+IF(ISNA(VLOOKUP(AD25,$V$11:$AB$64,7,FALSE)),0,IF(VLOOKUP(AD25,$V$11:$AB$64,7,FALSE)="",0,VLOOKUP(AD25,$V$11:$AB$64,7,FALSE)))+AI25*20+AJ25</f>
        <v>10</v>
      </c>
      <c r="AM25" s="31"/>
      <c r="AN25" s="1657"/>
      <c r="AO25" s="650"/>
      <c r="AP25" s="650"/>
      <c r="AR25" s="2803">
        <v>17</v>
      </c>
      <c r="AS25" s="1986" t="str">
        <f t="shared" si="0"/>
        <v/>
      </c>
    </row>
    <row r="26" spans="1:45" ht="12" customHeight="1" x14ac:dyDescent="0.2">
      <c r="A26" s="31"/>
      <c r="B26" s="542"/>
      <c r="C26" s="4913"/>
      <c r="D26" s="4914"/>
      <c r="E26" s="4915"/>
      <c r="F26" s="3528"/>
      <c r="G26" s="4916"/>
      <c r="H26" s="4916"/>
      <c r="I26" s="4916"/>
      <c r="J26" s="4916"/>
      <c r="K26" s="4916"/>
      <c r="L26" s="4916"/>
      <c r="M26" s="4916"/>
      <c r="N26" s="4916"/>
      <c r="O26" s="4916"/>
      <c r="P26" s="4916"/>
      <c r="Q26" s="4917"/>
      <c r="R26" s="40"/>
      <c r="S26" s="31"/>
      <c r="T26" s="31"/>
      <c r="U26" s="762"/>
      <c r="V26" s="4904" t="str">
        <f>IF(V25=0,"",VLOOKUP(V25,Tabla_PoderesPsi,2,FALSE))</f>
        <v/>
      </c>
      <c r="W26" s="4905"/>
      <c r="X26" s="4905"/>
      <c r="Y26" s="2022" t="s">
        <v>1333</v>
      </c>
      <c r="Z26" s="2023" t="str">
        <f>IF(V25=0,"",VLOOKUP(V25,Tabla_PoderesPsi,3,FALSE))</f>
        <v/>
      </c>
      <c r="AA26" s="4901"/>
      <c r="AB26" s="4903"/>
      <c r="AC26" s="86"/>
      <c r="AD26" s="4859" t="str">
        <f>IF(AD25=0,"",VLOOKUP(AD25,Tabla_PoderesPsi,2,FALSE))</f>
        <v/>
      </c>
      <c r="AE26" s="4860"/>
      <c r="AF26" s="4860"/>
      <c r="AG26" s="2291" t="s">
        <v>1333</v>
      </c>
      <c r="AH26" s="2292" t="str">
        <f>IF(AD25=0,"",VLOOKUP(AD25,Tabla_PoderesPsi,3,FALSE))</f>
        <v/>
      </c>
      <c r="AI26" s="4852"/>
      <c r="AJ26" s="4819"/>
      <c r="AK26" s="4822"/>
      <c r="AL26" s="4815"/>
      <c r="AM26" s="31"/>
      <c r="AO26" s="772"/>
      <c r="AP26" s="772"/>
      <c r="AR26" s="2803">
        <v>19</v>
      </c>
      <c r="AS26" s="1986" t="str">
        <f t="shared" si="0"/>
        <v/>
      </c>
    </row>
    <row r="27" spans="1:45" ht="12" customHeight="1" x14ac:dyDescent="0.2">
      <c r="A27" s="31"/>
      <c r="B27" s="542"/>
      <c r="C27" s="4918"/>
      <c r="D27" s="4919"/>
      <c r="E27" s="4920"/>
      <c r="F27" s="4921" t="str">
        <f>IF(C27=0,"",VLOOKUP(C27,Tabla_DisciplinasPsi,2,FALSE))</f>
        <v/>
      </c>
      <c r="G27" s="4922"/>
      <c r="H27" s="4922"/>
      <c r="I27" s="4922"/>
      <c r="J27" s="4922"/>
      <c r="K27" s="4922"/>
      <c r="L27" s="4922"/>
      <c r="M27" s="4922"/>
      <c r="N27" s="4922"/>
      <c r="O27" s="4922"/>
      <c r="P27" s="4922"/>
      <c r="Q27" s="4923"/>
      <c r="R27" s="40"/>
      <c r="S27" s="31"/>
      <c r="T27" s="31"/>
      <c r="U27" s="762">
        <f>IF(V27=0,0,1)</f>
        <v>0</v>
      </c>
      <c r="V27" s="4877"/>
      <c r="W27" s="4878"/>
      <c r="X27" s="4878"/>
      <c r="Y27" s="4878"/>
      <c r="Z27" s="4879"/>
      <c r="AA27" s="4870"/>
      <c r="AB27" s="4842" t="str">
        <f>IF(AA27=0,"",IF(AA27*10&lt;100,AA27*10,100))</f>
        <v/>
      </c>
      <c r="AC27" s="86"/>
      <c r="AD27" s="4843"/>
      <c r="AE27" s="4844"/>
      <c r="AF27" s="4844"/>
      <c r="AG27" s="4844"/>
      <c r="AH27" s="4845"/>
      <c r="AI27" s="4851"/>
      <c r="AJ27" s="4818"/>
      <c r="AK27" s="4821" t="str">
        <f>IF(AD27&lt;&gt;"",INDEX(Tablas!$U$26:$U$38,MAX(MATCH(VLOOKUP(Psíquicos!$AD27,'Tablas psiquica'!$U$7:$AH$110,2,FALSE),Tablas!$U$26:$U$38,0),MAX(SUMPRODUCT(--(Tablas!$T$26:$T$38&lt;=(AL27-20*AI27)))+IF(Tablas!$G$446&gt;0,1,0)+IF(COUNTIF($C$39:$E$50,"Introversión")&gt;0,1,0),SUMPRODUCT(--(Tablas!$T$26:$T$38&lt;=(AL27)))))),"")</f>
        <v/>
      </c>
      <c r="AL27" s="4815">
        <f t="shared" ref="AL27" si="5">$H$11+IF(ISNA(VLOOKUP(AD27,$V$11:$AB$64,7,FALSE)),0,IF(VLOOKUP(AD27,$V$11:$AB$64,7,FALSE)="",0,VLOOKUP(AD27,$V$11:$AB$64,7,FALSE)))+AI27*20+AJ27</f>
        <v>10</v>
      </c>
      <c r="AM27" s="31"/>
      <c r="AO27" s="650"/>
      <c r="AP27" s="650"/>
      <c r="AR27" s="2803">
        <v>21</v>
      </c>
      <c r="AS27" s="1986" t="str">
        <f t="shared" si="0"/>
        <v/>
      </c>
    </row>
    <row r="28" spans="1:45" ht="12" customHeight="1" x14ac:dyDescent="0.2">
      <c r="A28" s="31"/>
      <c r="B28" s="542"/>
      <c r="C28" s="4918"/>
      <c r="D28" s="4919"/>
      <c r="E28" s="4920"/>
      <c r="F28" s="4921"/>
      <c r="G28" s="4922"/>
      <c r="H28" s="4922"/>
      <c r="I28" s="4922"/>
      <c r="J28" s="4922"/>
      <c r="K28" s="4922"/>
      <c r="L28" s="4922"/>
      <c r="M28" s="4922"/>
      <c r="N28" s="4922"/>
      <c r="O28" s="4922"/>
      <c r="P28" s="4922"/>
      <c r="Q28" s="4923"/>
      <c r="R28" s="40"/>
      <c r="S28" s="31"/>
      <c r="T28" s="31"/>
      <c r="U28" s="762"/>
      <c r="V28" s="4880" t="str">
        <f>IF(V27=0,"",VLOOKUP(V27,Tabla_PoderesPsi,2,FALSE))</f>
        <v/>
      </c>
      <c r="W28" s="4881"/>
      <c r="X28" s="4881"/>
      <c r="Y28" s="1897" t="s">
        <v>1333</v>
      </c>
      <c r="Z28" s="1898" t="str">
        <f>IF(V27=0,"",VLOOKUP(V27,Tabla_PoderesPsi,3,FALSE))</f>
        <v/>
      </c>
      <c r="AA28" s="4870"/>
      <c r="AB28" s="4842"/>
      <c r="AC28" s="81"/>
      <c r="AD28" s="4859" t="str">
        <f>IF(AD27=0,"",VLOOKUP(AD27,Tabla_PoderesPsi,2,FALSE))</f>
        <v/>
      </c>
      <c r="AE28" s="4860"/>
      <c r="AF28" s="4860"/>
      <c r="AG28" s="2291" t="s">
        <v>1333</v>
      </c>
      <c r="AH28" s="2292" t="str">
        <f>IF(AD27=0,"",VLOOKUP(AD27,Tabla_PoderesPsi,3,FALSE))</f>
        <v/>
      </c>
      <c r="AI28" s="4852"/>
      <c r="AJ28" s="4819"/>
      <c r="AK28" s="4822"/>
      <c r="AL28" s="4815"/>
      <c r="AM28" s="31"/>
      <c r="AO28" s="650"/>
      <c r="AP28" s="650"/>
      <c r="AR28" s="2803">
        <v>23</v>
      </c>
      <c r="AS28" s="1986" t="str">
        <f t="shared" si="0"/>
        <v/>
      </c>
    </row>
    <row r="29" spans="1:45" ht="12" customHeight="1" x14ac:dyDescent="0.2">
      <c r="A29" s="31"/>
      <c r="B29" s="542"/>
      <c r="C29" s="4924"/>
      <c r="D29" s="4925"/>
      <c r="E29" s="4926"/>
      <c r="F29" s="3528" t="str">
        <f>IF(C29=0,"",VLOOKUP(C29,Tabla_DisciplinasPsi,2,FALSE))</f>
        <v/>
      </c>
      <c r="G29" s="4916"/>
      <c r="H29" s="4916"/>
      <c r="I29" s="4916"/>
      <c r="J29" s="4916"/>
      <c r="K29" s="4916"/>
      <c r="L29" s="4916"/>
      <c r="M29" s="4916"/>
      <c r="N29" s="4916"/>
      <c r="O29" s="4916"/>
      <c r="P29" s="4916"/>
      <c r="Q29" s="4917"/>
      <c r="R29" s="40"/>
      <c r="S29" s="31"/>
      <c r="T29" s="31"/>
      <c r="U29" s="762">
        <f>IF(V29=0,0,1)</f>
        <v>0</v>
      </c>
      <c r="V29" s="4897"/>
      <c r="W29" s="4898"/>
      <c r="X29" s="4898"/>
      <c r="Y29" s="4898"/>
      <c r="Z29" s="4899"/>
      <c r="AA29" s="4900"/>
      <c r="AB29" s="4902" t="str">
        <f>IF(AA29=0,"",IF(AA29*10&lt;100,AA29*10,100))</f>
        <v/>
      </c>
      <c r="AC29" s="95"/>
      <c r="AD29" s="4843"/>
      <c r="AE29" s="4844"/>
      <c r="AF29" s="4844"/>
      <c r="AG29" s="4844"/>
      <c r="AH29" s="4845"/>
      <c r="AI29" s="4851"/>
      <c r="AJ29" s="4818"/>
      <c r="AK29" s="4821" t="str">
        <f>IF(AD29&lt;&gt;"",INDEX(Tablas!$U$26:$U$38,MAX(MATCH(VLOOKUP(Psíquicos!$AD29,'Tablas psiquica'!$U$7:$AH$110,2,FALSE),Tablas!$U$26:$U$38,0),MAX(SUMPRODUCT(--(Tablas!$T$26:$T$38&lt;=(AL29-20*AI29)))+IF(Tablas!$G$446&gt;0,1,0)+IF(COUNTIF($C$39:$E$50,"Introversión")&gt;0,1,0),SUMPRODUCT(--(Tablas!$T$26:$T$38&lt;=(AL29)))))),"")</f>
        <v/>
      </c>
      <c r="AL29" s="4815">
        <f t="shared" ref="AL29" si="6">$H$11+IF(ISNA(VLOOKUP(AD29,$V$11:$AB$64,7,FALSE)),0,IF(VLOOKUP(AD29,$V$11:$AB$64,7,FALSE)="",0,VLOOKUP(AD29,$V$11:$AB$64,7,FALSE)))+AI29*20+AJ29</f>
        <v>10</v>
      </c>
      <c r="AM29" s="31"/>
      <c r="AO29" s="650"/>
      <c r="AP29" s="650"/>
      <c r="AR29" s="2803">
        <v>25</v>
      </c>
      <c r="AS29" s="1986" t="str">
        <f t="shared" si="0"/>
        <v/>
      </c>
    </row>
    <row r="30" spans="1:45" ht="12" customHeight="1" x14ac:dyDescent="0.2">
      <c r="A30" s="31"/>
      <c r="B30" s="542"/>
      <c r="C30" s="4924"/>
      <c r="D30" s="4925"/>
      <c r="E30" s="4926"/>
      <c r="F30" s="3528"/>
      <c r="G30" s="4916"/>
      <c r="H30" s="4916"/>
      <c r="I30" s="4916"/>
      <c r="J30" s="4916"/>
      <c r="K30" s="4916"/>
      <c r="L30" s="4916"/>
      <c r="M30" s="4916"/>
      <c r="N30" s="4916"/>
      <c r="O30" s="4916"/>
      <c r="P30" s="4916"/>
      <c r="Q30" s="4917"/>
      <c r="R30" s="40"/>
      <c r="S30" s="31"/>
      <c r="T30" s="31"/>
      <c r="U30" s="762"/>
      <c r="V30" s="4904" t="str">
        <f>IF(V29=0,"",VLOOKUP(V29,Tabla_PoderesPsi,2,FALSE))</f>
        <v/>
      </c>
      <c r="W30" s="4905"/>
      <c r="X30" s="4905"/>
      <c r="Y30" s="2022" t="s">
        <v>1333</v>
      </c>
      <c r="Z30" s="2023" t="str">
        <f>IF(V29=0,"",VLOOKUP(V29,Tabla_PoderesPsi,3,FALSE))</f>
        <v/>
      </c>
      <c r="AA30" s="4901"/>
      <c r="AB30" s="4903"/>
      <c r="AC30" s="86"/>
      <c r="AD30" s="4859" t="str">
        <f>IF(AD29=0,"",VLOOKUP(AD29,Tabla_PoderesPsi,2,FALSE))</f>
        <v/>
      </c>
      <c r="AE30" s="4860"/>
      <c r="AF30" s="4860"/>
      <c r="AG30" s="2291" t="s">
        <v>1333</v>
      </c>
      <c r="AH30" s="2292" t="str">
        <f>IF(AD29=0,"",VLOOKUP(AD29,Tabla_PoderesPsi,3,FALSE))</f>
        <v/>
      </c>
      <c r="AI30" s="4852"/>
      <c r="AJ30" s="4819"/>
      <c r="AK30" s="4822"/>
      <c r="AL30" s="4815"/>
      <c r="AM30" s="31"/>
      <c r="AO30" s="650"/>
      <c r="AP30" s="650"/>
      <c r="AR30" s="2803">
        <v>27</v>
      </c>
      <c r="AS30" s="1986" t="str">
        <f t="shared" si="0"/>
        <v/>
      </c>
    </row>
    <row r="31" spans="1:45" ht="12" customHeight="1" x14ac:dyDescent="0.2">
      <c r="A31" s="31"/>
      <c r="B31" s="542"/>
      <c r="C31" s="4918"/>
      <c r="D31" s="4919"/>
      <c r="E31" s="4920"/>
      <c r="F31" s="4921" t="str">
        <f>IF(C31=0,"",VLOOKUP(C31,Tabla_DisciplinasPsi,2,FALSE))</f>
        <v/>
      </c>
      <c r="G31" s="4922"/>
      <c r="H31" s="4922"/>
      <c r="I31" s="4922"/>
      <c r="J31" s="4922"/>
      <c r="K31" s="4922"/>
      <c r="L31" s="4922"/>
      <c r="M31" s="4922"/>
      <c r="N31" s="4922"/>
      <c r="O31" s="4922"/>
      <c r="P31" s="4922"/>
      <c r="Q31" s="4923"/>
      <c r="R31" s="40"/>
      <c r="S31" s="31"/>
      <c r="T31" s="31"/>
      <c r="U31" s="762">
        <f>IF(V31=0,0,1)</f>
        <v>0</v>
      </c>
      <c r="V31" s="4877"/>
      <c r="W31" s="4878"/>
      <c r="X31" s="4878"/>
      <c r="Y31" s="4878"/>
      <c r="Z31" s="4879"/>
      <c r="AA31" s="4870"/>
      <c r="AB31" s="4842" t="str">
        <f>IF(AA31=0,"",IF(AA31*10&lt;100,AA31*10,100))</f>
        <v/>
      </c>
      <c r="AC31" s="86"/>
      <c r="AD31" s="4843"/>
      <c r="AE31" s="4844"/>
      <c r="AF31" s="4844"/>
      <c r="AG31" s="4844"/>
      <c r="AH31" s="4845"/>
      <c r="AI31" s="4851"/>
      <c r="AJ31" s="4818"/>
      <c r="AK31" s="4821" t="str">
        <f>IF(AD31&lt;&gt;"",INDEX(Tablas!$U$26:$U$38,MAX(MATCH(VLOOKUP(Psíquicos!$AD31,'Tablas psiquica'!$U$7:$AH$110,2,FALSE),Tablas!$U$26:$U$38,0),MAX(SUMPRODUCT(--(Tablas!$T$26:$T$38&lt;=(AL31-20*AI31)))+IF(Tablas!$G$446&gt;0,1,0)+IF(COUNTIF($C$39:$E$50,"Introversión")&gt;0,1,0),SUMPRODUCT(--(Tablas!$T$26:$T$38&lt;=(AL31)))))),"")</f>
        <v/>
      </c>
      <c r="AL31" s="4815">
        <f t="shared" ref="AL31" si="7">$H$11+IF(ISNA(VLOOKUP(AD31,$V$11:$AB$64,7,FALSE)),0,IF(VLOOKUP(AD31,$V$11:$AB$64,7,FALSE)="",0,VLOOKUP(AD31,$V$11:$AB$64,7,FALSE)))+AI31*20+AJ31</f>
        <v>10</v>
      </c>
      <c r="AM31" s="31"/>
      <c r="AO31" s="650"/>
      <c r="AP31" s="650"/>
      <c r="AR31" s="2803">
        <v>29</v>
      </c>
      <c r="AS31" s="1986" t="str">
        <f t="shared" si="0"/>
        <v/>
      </c>
    </row>
    <row r="32" spans="1:45" ht="12" customHeight="1" x14ac:dyDescent="0.2">
      <c r="A32" s="31"/>
      <c r="B32" s="542"/>
      <c r="C32" s="4918"/>
      <c r="D32" s="4919"/>
      <c r="E32" s="4920"/>
      <c r="F32" s="4921"/>
      <c r="G32" s="4922"/>
      <c r="H32" s="4922"/>
      <c r="I32" s="4922"/>
      <c r="J32" s="4922"/>
      <c r="K32" s="4922"/>
      <c r="L32" s="4922"/>
      <c r="M32" s="4922"/>
      <c r="N32" s="4922"/>
      <c r="O32" s="4922"/>
      <c r="P32" s="4922"/>
      <c r="Q32" s="4923"/>
      <c r="R32" s="40"/>
      <c r="S32" s="31"/>
      <c r="T32" s="31"/>
      <c r="U32" s="762"/>
      <c r="V32" s="4880" t="str">
        <f>IF(V31=0,"",VLOOKUP(V31,Tabla_PoderesPsi,2,FALSE))</f>
        <v/>
      </c>
      <c r="W32" s="4881"/>
      <c r="X32" s="4881"/>
      <c r="Y32" s="1897" t="s">
        <v>1333</v>
      </c>
      <c r="Z32" s="1898" t="str">
        <f>IF(V31=0,"",VLOOKUP(V31,Tabla_PoderesPsi,3,FALSE))</f>
        <v/>
      </c>
      <c r="AA32" s="4870"/>
      <c r="AB32" s="4842"/>
      <c r="AC32" s="96"/>
      <c r="AD32" s="4859" t="str">
        <f>IF(AD31=0,"",VLOOKUP(AD31,Tabla_PoderesPsi,2,FALSE))</f>
        <v/>
      </c>
      <c r="AE32" s="4860"/>
      <c r="AF32" s="4860"/>
      <c r="AG32" s="2291" t="s">
        <v>1333</v>
      </c>
      <c r="AH32" s="2292" t="str">
        <f>IF(AD31=0,"",VLOOKUP(AD31,Tabla_PoderesPsi,3,FALSE))</f>
        <v/>
      </c>
      <c r="AI32" s="4852"/>
      <c r="AJ32" s="4819"/>
      <c r="AK32" s="4822"/>
      <c r="AL32" s="4815"/>
      <c r="AM32" s="31"/>
      <c r="AO32" s="650"/>
      <c r="AP32" s="650"/>
      <c r="AR32" s="2803">
        <v>31</v>
      </c>
      <c r="AS32" s="1986" t="str">
        <f t="shared" si="0"/>
        <v/>
      </c>
    </row>
    <row r="33" spans="1:45" ht="12" customHeight="1" x14ac:dyDescent="0.2">
      <c r="A33" s="31"/>
      <c r="B33" s="542"/>
      <c r="C33" s="4924"/>
      <c r="D33" s="4925"/>
      <c r="E33" s="4926"/>
      <c r="F33" s="3528" t="str">
        <f>IF(C33=0,"",VLOOKUP(C33,Tabla_DisciplinasPsi,2,FALSE))</f>
        <v/>
      </c>
      <c r="G33" s="4916"/>
      <c r="H33" s="4916"/>
      <c r="I33" s="4916"/>
      <c r="J33" s="4916"/>
      <c r="K33" s="4916"/>
      <c r="L33" s="4916"/>
      <c r="M33" s="4916"/>
      <c r="N33" s="4916"/>
      <c r="O33" s="4916"/>
      <c r="P33" s="4916"/>
      <c r="Q33" s="4917"/>
      <c r="R33" s="40"/>
      <c r="S33" s="31"/>
      <c r="T33" s="31"/>
      <c r="U33" s="762">
        <f>IF(V33=0,0,1)</f>
        <v>0</v>
      </c>
      <c r="V33" s="4897"/>
      <c r="W33" s="4898"/>
      <c r="X33" s="4898"/>
      <c r="Y33" s="4898"/>
      <c r="Z33" s="4899"/>
      <c r="AA33" s="4900"/>
      <c r="AB33" s="4902" t="str">
        <f>IF(AA33=0,"",IF(AA33*10&lt;100,AA33*10,100))</f>
        <v/>
      </c>
      <c r="AC33" s="96"/>
      <c r="AD33" s="4843"/>
      <c r="AE33" s="4844"/>
      <c r="AF33" s="4844"/>
      <c r="AG33" s="4844"/>
      <c r="AH33" s="4845"/>
      <c r="AI33" s="4851"/>
      <c r="AJ33" s="4818"/>
      <c r="AK33" s="4821" t="str">
        <f>IF(AD33&lt;&gt;"",INDEX(Tablas!$U$26:$U$38,MAX(MATCH(VLOOKUP(Psíquicos!$AD33,'Tablas psiquica'!$U$7:$AH$110,2,FALSE),Tablas!$U$26:$U$38,0),MAX(SUMPRODUCT(--(Tablas!$T$26:$T$38&lt;=(AL33-20*AI33)))+IF(Tablas!$G$446&gt;0,1,0)+IF(COUNTIF($C$39:$E$50,"Introversión")&gt;0,1,0),SUMPRODUCT(--(Tablas!$T$26:$T$38&lt;=(AL33)))))),"")</f>
        <v/>
      </c>
      <c r="AL33" s="4815">
        <f t="shared" ref="AL33" si="8">$H$11+IF(ISNA(VLOOKUP(AD33,$V$11:$AB$64,7,FALSE)),0,IF(VLOOKUP(AD33,$V$11:$AB$64,7,FALSE)="",0,VLOOKUP(AD33,$V$11:$AB$64,7,FALSE)))+AI33*20+AJ33</f>
        <v>10</v>
      </c>
      <c r="AM33" s="31"/>
      <c r="AO33" s="650"/>
      <c r="AP33" s="650"/>
      <c r="AR33" s="2803">
        <v>33</v>
      </c>
      <c r="AS33" s="1986" t="str">
        <f t="shared" si="0"/>
        <v/>
      </c>
    </row>
    <row r="34" spans="1:45" ht="12" customHeight="1" x14ac:dyDescent="0.2">
      <c r="A34" s="31"/>
      <c r="B34" s="542"/>
      <c r="C34" s="4924"/>
      <c r="D34" s="4925"/>
      <c r="E34" s="4926"/>
      <c r="F34" s="3528"/>
      <c r="G34" s="4916"/>
      <c r="H34" s="4916"/>
      <c r="I34" s="4916"/>
      <c r="J34" s="4916"/>
      <c r="K34" s="4916"/>
      <c r="L34" s="4916"/>
      <c r="M34" s="4916"/>
      <c r="N34" s="4916"/>
      <c r="O34" s="4916"/>
      <c r="P34" s="4916"/>
      <c r="Q34" s="4917"/>
      <c r="R34" s="40"/>
      <c r="S34" s="31"/>
      <c r="T34" s="31"/>
      <c r="U34" s="762"/>
      <c r="V34" s="4904" t="str">
        <f>IF(V33=0,"",VLOOKUP(V33,Tabla_PoderesPsi,2,FALSE))</f>
        <v/>
      </c>
      <c r="W34" s="4905"/>
      <c r="X34" s="4905"/>
      <c r="Y34" s="2022" t="s">
        <v>1333</v>
      </c>
      <c r="Z34" s="2023" t="str">
        <f>IF(V33=0,"",VLOOKUP(V33,Tabla_PoderesPsi,3,FALSE))</f>
        <v/>
      </c>
      <c r="AA34" s="4901"/>
      <c r="AB34" s="4903"/>
      <c r="AD34" s="4859" t="str">
        <f>IF(AD33=0,"",VLOOKUP(AD33,Tabla_PoderesPsi,2,FALSE))</f>
        <v/>
      </c>
      <c r="AE34" s="4860"/>
      <c r="AF34" s="4860"/>
      <c r="AG34" s="2291" t="s">
        <v>1333</v>
      </c>
      <c r="AH34" s="2292" t="str">
        <f>IF(AD33=0,"",VLOOKUP(AD33,Tabla_PoderesPsi,3,FALSE))</f>
        <v/>
      </c>
      <c r="AI34" s="4852"/>
      <c r="AJ34" s="4819"/>
      <c r="AK34" s="4822"/>
      <c r="AL34" s="4815"/>
      <c r="AM34" s="31"/>
      <c r="AO34" s="650"/>
      <c r="AP34" s="650"/>
      <c r="AR34" s="2803">
        <v>35</v>
      </c>
      <c r="AS34" s="1986" t="str">
        <f t="shared" si="0"/>
        <v/>
      </c>
    </row>
    <row r="35" spans="1:45" ht="12" customHeight="1" thickBot="1" x14ac:dyDescent="0.25">
      <c r="A35" s="31"/>
      <c r="B35" s="542"/>
      <c r="C35" s="4918"/>
      <c r="D35" s="4919"/>
      <c r="E35" s="4920"/>
      <c r="F35" s="4930" t="str">
        <f>IF(C35=0,"",VLOOKUP(C35,Tabla_DisciplinasPsi,2,FALSE))</f>
        <v/>
      </c>
      <c r="G35" s="4931"/>
      <c r="H35" s="4931"/>
      <c r="I35" s="4931"/>
      <c r="J35" s="4931"/>
      <c r="K35" s="4931"/>
      <c r="L35" s="4931"/>
      <c r="M35" s="4931"/>
      <c r="N35" s="4931"/>
      <c r="O35" s="4931"/>
      <c r="P35" s="4931"/>
      <c r="Q35" s="4932"/>
      <c r="R35" s="40"/>
      <c r="S35" s="31"/>
      <c r="T35" s="31"/>
      <c r="U35" s="762">
        <f>IF(V35=0,0,1)</f>
        <v>0</v>
      </c>
      <c r="V35" s="4877"/>
      <c r="W35" s="4878"/>
      <c r="X35" s="4878"/>
      <c r="Y35" s="4878"/>
      <c r="Z35" s="4879"/>
      <c r="AA35" s="4870"/>
      <c r="AB35" s="4842" t="str">
        <f>IF(AA35=0,"",IF(AA35*10&lt;100,AA35*10,100))</f>
        <v/>
      </c>
      <c r="AC35" s="86"/>
      <c r="AD35" s="4843"/>
      <c r="AE35" s="4844"/>
      <c r="AF35" s="4844"/>
      <c r="AG35" s="4844"/>
      <c r="AH35" s="4845"/>
      <c r="AI35" s="4851"/>
      <c r="AJ35" s="4818"/>
      <c r="AK35" s="4821" t="str">
        <f>IF(AD35&lt;&gt;"",INDEX(Tablas!$U$26:$U$38,MAX(MATCH(VLOOKUP(Psíquicos!$AD35,'Tablas psiquica'!$U$7:$AH$110,2,FALSE),Tablas!$U$26:$U$38,0),MAX(SUMPRODUCT(--(Tablas!$T$26:$T$38&lt;=(AL35-20*AI35)))+IF(Tablas!$G$446&gt;0,1,0)+IF(COUNTIF($C$39:$E$50,"Introversión")&gt;0,1,0),SUMPRODUCT(--(Tablas!$T$26:$T$38&lt;=(AL35)))))),"")</f>
        <v/>
      </c>
      <c r="AL35" s="4815">
        <f t="shared" ref="AL35" si="9">$H$11+IF(ISNA(VLOOKUP(AD35,$V$11:$AB$64,7,FALSE)),0,IF(VLOOKUP(AD35,$V$11:$AB$64,7,FALSE)="",0,VLOOKUP(AD35,$V$11:$AB$64,7,FALSE)))+AI35*20+AJ35</f>
        <v>10</v>
      </c>
      <c r="AM35" s="31"/>
      <c r="AO35" s="650"/>
      <c r="AP35" s="650"/>
      <c r="AR35" s="2803">
        <v>37</v>
      </c>
      <c r="AS35" s="1986" t="str">
        <f t="shared" si="0"/>
        <v/>
      </c>
    </row>
    <row r="36" spans="1:45" ht="12" customHeight="1" thickBot="1" x14ac:dyDescent="0.25">
      <c r="A36" s="31"/>
      <c r="B36" s="542"/>
      <c r="C36" s="4927"/>
      <c r="D36" s="4928"/>
      <c r="E36" s="4929"/>
      <c r="F36" s="4933"/>
      <c r="G36" s="4934"/>
      <c r="H36" s="4934"/>
      <c r="I36" s="4934"/>
      <c r="J36" s="4934"/>
      <c r="K36" s="4934"/>
      <c r="L36" s="4934"/>
      <c r="M36" s="4934"/>
      <c r="N36" s="4934"/>
      <c r="O36" s="4934"/>
      <c r="P36" s="4934"/>
      <c r="Q36" s="4935"/>
      <c r="R36" s="40"/>
      <c r="S36" s="31"/>
      <c r="T36" s="31"/>
      <c r="U36" s="762"/>
      <c r="V36" s="4880" t="str">
        <f>IF(V35=0,"",VLOOKUP(V35,Tabla_PoderesPsi,2,FALSE))</f>
        <v/>
      </c>
      <c r="W36" s="4881"/>
      <c r="X36" s="4881"/>
      <c r="Y36" s="1897" t="s">
        <v>1333</v>
      </c>
      <c r="Z36" s="1898" t="str">
        <f>IF(V35=0,"",VLOOKUP(V35,Tabla_PoderesPsi,3,FALSE))</f>
        <v/>
      </c>
      <c r="AA36" s="4870"/>
      <c r="AB36" s="4842"/>
      <c r="AC36" s="86"/>
      <c r="AD36" s="4859" t="str">
        <f>IF(AD35=0,"",VLOOKUP(AD35,Tabla_PoderesPsi,2,FALSE))</f>
        <v/>
      </c>
      <c r="AE36" s="4860"/>
      <c r="AF36" s="4860"/>
      <c r="AG36" s="2291" t="s">
        <v>1333</v>
      </c>
      <c r="AH36" s="2292" t="str">
        <f>IF(AD35=0,"",VLOOKUP(AD35,Tabla_PoderesPsi,3,FALSE))</f>
        <v/>
      </c>
      <c r="AI36" s="4852"/>
      <c r="AJ36" s="4819"/>
      <c r="AK36" s="4822"/>
      <c r="AL36" s="4815"/>
      <c r="AM36" s="31"/>
      <c r="AO36" s="650"/>
      <c r="AP36" s="650"/>
      <c r="AR36" s="2803">
        <v>39</v>
      </c>
      <c r="AS36" s="1986" t="str">
        <f t="shared" si="0"/>
        <v/>
      </c>
    </row>
    <row r="37" spans="1:45" ht="12" customHeight="1" thickBot="1" x14ac:dyDescent="0.25">
      <c r="A37" s="31"/>
      <c r="B37" s="542"/>
      <c r="R37" s="40"/>
      <c r="S37" s="31"/>
      <c r="T37" s="31"/>
      <c r="U37" s="762">
        <f>IF(V37=0,0,1)</f>
        <v>0</v>
      </c>
      <c r="V37" s="4897"/>
      <c r="W37" s="4898"/>
      <c r="X37" s="4898"/>
      <c r="Y37" s="4898"/>
      <c r="Z37" s="4899"/>
      <c r="AA37" s="4900"/>
      <c r="AB37" s="4902" t="str">
        <f>IF(AA37=0,"",IF(AA37*10&lt;100,AA37*10,100))</f>
        <v/>
      </c>
      <c r="AC37" s="81"/>
      <c r="AD37" s="4843"/>
      <c r="AE37" s="4844"/>
      <c r="AF37" s="4844"/>
      <c r="AG37" s="4844"/>
      <c r="AH37" s="4845"/>
      <c r="AI37" s="4851"/>
      <c r="AJ37" s="4818"/>
      <c r="AK37" s="4821" t="str">
        <f>IF(AD37&lt;&gt;"",INDEX(Tablas!$U$26:$U$38,MAX(MATCH(VLOOKUP(Psíquicos!$AD37,'Tablas psiquica'!$U$7:$AH$110,2,FALSE),Tablas!$U$26:$U$38,0),MAX(SUMPRODUCT(--(Tablas!$T$26:$T$38&lt;=(AL37-20*AI37)))+IF(Tablas!$G$446&gt;0,1,0)+IF(COUNTIF($C$39:$E$50,"Introversión")&gt;0,1,0),SUMPRODUCT(--(Tablas!$T$26:$T$38&lt;=(AL37)))))),"")</f>
        <v/>
      </c>
      <c r="AL37" s="4815">
        <f t="shared" ref="AL37" si="10">$H$11+IF(ISNA(VLOOKUP(AD37,$V$11:$AB$64,7,FALSE)),0,IF(VLOOKUP(AD37,$V$11:$AB$64,7,FALSE)="",0,VLOOKUP(AD37,$V$11:$AB$64,7,FALSE)))+AI37*20+AJ37</f>
        <v>10</v>
      </c>
      <c r="AM37" s="31"/>
      <c r="AO37" s="650"/>
      <c r="AP37" s="650"/>
      <c r="AR37" s="2803">
        <v>41</v>
      </c>
      <c r="AS37" s="1986" t="str">
        <f t="shared" si="0"/>
        <v/>
      </c>
    </row>
    <row r="38" spans="1:45" ht="12" customHeight="1" x14ac:dyDescent="0.2">
      <c r="A38" s="31"/>
      <c r="B38" s="542"/>
      <c r="C38" s="2992" t="s">
        <v>1532</v>
      </c>
      <c r="D38" s="2993"/>
      <c r="E38" s="2993"/>
      <c r="F38" s="4906" t="s">
        <v>1823</v>
      </c>
      <c r="G38" s="4906"/>
      <c r="H38" s="4906"/>
      <c r="I38" s="4906"/>
      <c r="J38" s="4906"/>
      <c r="K38" s="4906"/>
      <c r="L38" s="4906"/>
      <c r="M38" s="4906"/>
      <c r="N38" s="4906"/>
      <c r="O38" s="4906"/>
      <c r="P38" s="4906"/>
      <c r="Q38" s="4907"/>
      <c r="R38" s="40"/>
      <c r="S38" s="31"/>
      <c r="T38" s="31"/>
      <c r="U38" s="762"/>
      <c r="V38" s="4904" t="str">
        <f>IF(V37=0,"",VLOOKUP(V37,Tabla_PoderesPsi,2,FALSE))</f>
        <v/>
      </c>
      <c r="W38" s="4905"/>
      <c r="X38" s="4905"/>
      <c r="Y38" s="2022" t="s">
        <v>1333</v>
      </c>
      <c r="Z38" s="2023" t="str">
        <f>IF(V37=0,"",VLOOKUP(V37,Tabla_PoderesPsi,3,FALSE))</f>
        <v/>
      </c>
      <c r="AA38" s="4901"/>
      <c r="AB38" s="4903"/>
      <c r="AC38" s="95"/>
      <c r="AD38" s="4859" t="str">
        <f>IF(AD37=0,"",VLOOKUP(AD37,Tabla_PoderesPsi,2,FALSE))</f>
        <v/>
      </c>
      <c r="AE38" s="4860"/>
      <c r="AF38" s="4860"/>
      <c r="AG38" s="2291" t="s">
        <v>1333</v>
      </c>
      <c r="AH38" s="2292" t="str">
        <f>IF(AD37=0,"",VLOOKUP(AD37,Tabla_PoderesPsi,3,FALSE))</f>
        <v/>
      </c>
      <c r="AI38" s="4852"/>
      <c r="AJ38" s="4819"/>
      <c r="AK38" s="4822"/>
      <c r="AL38" s="4815"/>
      <c r="AM38" s="31"/>
      <c r="AO38" s="650"/>
      <c r="AP38" s="650"/>
      <c r="AR38" s="2803">
        <v>43</v>
      </c>
      <c r="AS38" s="1986" t="str">
        <f t="shared" si="0"/>
        <v/>
      </c>
    </row>
    <row r="39" spans="1:45" ht="12" customHeight="1" x14ac:dyDescent="0.2">
      <c r="A39" s="31"/>
      <c r="B39" s="542"/>
      <c r="C39" s="4936" t="str">
        <f>IF(PDs!E111=0,"",PDs!E111)</f>
        <v/>
      </c>
      <c r="D39" s="4937"/>
      <c r="E39" s="4938"/>
      <c r="F39" s="4942" t="str">
        <f>IF(C39="","",VLOOKUP(C39,Tablas!$D$1106:$R$1121,15,FALSE))</f>
        <v/>
      </c>
      <c r="G39" s="4942"/>
      <c r="H39" s="4942"/>
      <c r="I39" s="4942"/>
      <c r="J39" s="4942"/>
      <c r="K39" s="4942"/>
      <c r="L39" s="4942"/>
      <c r="M39" s="4942"/>
      <c r="N39" s="4942"/>
      <c r="O39" s="4942"/>
      <c r="P39" s="4942"/>
      <c r="Q39" s="4943"/>
      <c r="R39" s="40"/>
      <c r="S39" s="31"/>
      <c r="T39" s="31"/>
      <c r="U39" s="762">
        <f>IF(V39=0,0,1)</f>
        <v>0</v>
      </c>
      <c r="V39" s="4877"/>
      <c r="W39" s="4878"/>
      <c r="X39" s="4878"/>
      <c r="Y39" s="4878"/>
      <c r="Z39" s="4879"/>
      <c r="AA39" s="4870"/>
      <c r="AB39" s="4842" t="str">
        <f>IF(AA39=0,"",IF(AA39*10&lt;100,AA39*10,100))</f>
        <v/>
      </c>
      <c r="AC39" s="86"/>
      <c r="AD39" s="4843"/>
      <c r="AE39" s="4844"/>
      <c r="AF39" s="4844"/>
      <c r="AG39" s="4844"/>
      <c r="AH39" s="4845"/>
      <c r="AI39" s="4851"/>
      <c r="AJ39" s="4818"/>
      <c r="AK39" s="4821" t="str">
        <f>IF(AD39&lt;&gt;"",INDEX(Tablas!$U$26:$U$38,MAX(MATCH(VLOOKUP(Psíquicos!$AD39,'Tablas psiquica'!$U$7:$AH$110,2,FALSE),Tablas!$U$26:$U$38,0),MAX(SUMPRODUCT(--(Tablas!$T$26:$T$38&lt;=(AL39-20*AI39)))+IF(Tablas!$G$446&gt;0,1,0)+IF(COUNTIF($C$39:$E$50,"Introversión")&gt;0,1,0),SUMPRODUCT(--(Tablas!$T$26:$T$38&lt;=(AL39)))))),"")</f>
        <v/>
      </c>
      <c r="AL39" s="4815">
        <f t="shared" ref="AL39" si="11">$H$11+IF(ISNA(VLOOKUP(AD39,$V$11:$AB$64,7,FALSE)),0,IF(VLOOKUP(AD39,$V$11:$AB$64,7,FALSE)="",0,VLOOKUP(AD39,$V$11:$AB$64,7,FALSE)))+AI39*20+AJ39</f>
        <v>10</v>
      </c>
      <c r="AM39" s="31"/>
      <c r="AO39" s="650"/>
      <c r="AP39" s="650"/>
      <c r="AR39" s="2803">
        <v>45</v>
      </c>
      <c r="AS39" s="1986" t="str">
        <f t="shared" si="0"/>
        <v/>
      </c>
    </row>
    <row r="40" spans="1:45" ht="12" customHeight="1" x14ac:dyDescent="0.2">
      <c r="A40" s="31"/>
      <c r="B40" s="542"/>
      <c r="C40" s="4939"/>
      <c r="D40" s="4940"/>
      <c r="E40" s="4941"/>
      <c r="F40" s="3528" t="str">
        <f>IF(C39="","",VLOOKUP(C39,Tablas!$D$1106:$R$1121,7,FALSE))</f>
        <v/>
      </c>
      <c r="G40" s="3528"/>
      <c r="H40" s="3528"/>
      <c r="I40" s="3528"/>
      <c r="J40" s="3528"/>
      <c r="K40" s="3528"/>
      <c r="L40" s="3528"/>
      <c r="M40" s="3528"/>
      <c r="N40" s="3528"/>
      <c r="O40" s="3528"/>
      <c r="P40" s="3528"/>
      <c r="Q40" s="4944"/>
      <c r="R40" s="40"/>
      <c r="S40" s="31"/>
      <c r="T40" s="31"/>
      <c r="U40" s="762"/>
      <c r="V40" s="4880" t="str">
        <f>IF(V39=0,"",VLOOKUP(V39,Tabla_PoderesPsi,2,FALSE))</f>
        <v/>
      </c>
      <c r="W40" s="4881"/>
      <c r="X40" s="4881"/>
      <c r="Y40" s="1897" t="s">
        <v>1333</v>
      </c>
      <c r="Z40" s="1898" t="str">
        <f>IF(V39=0,"",VLOOKUP(V39,Tabla_PoderesPsi,3,FALSE))</f>
        <v/>
      </c>
      <c r="AA40" s="4870"/>
      <c r="AB40" s="4842"/>
      <c r="AC40" s="86"/>
      <c r="AD40" s="4859" t="str">
        <f>IF(AD39=0,"",VLOOKUP(AD39,Tabla_PoderesPsi,2,FALSE))</f>
        <v/>
      </c>
      <c r="AE40" s="4860"/>
      <c r="AF40" s="4860"/>
      <c r="AG40" s="2291" t="s">
        <v>1333</v>
      </c>
      <c r="AH40" s="2292" t="str">
        <f>IF(AD39=0,"",VLOOKUP(AD39,Tabla_PoderesPsi,3,FALSE))</f>
        <v/>
      </c>
      <c r="AI40" s="4852"/>
      <c r="AJ40" s="4819"/>
      <c r="AK40" s="4822"/>
      <c r="AL40" s="4815"/>
      <c r="AM40" s="31"/>
      <c r="AO40" s="650"/>
      <c r="AP40" s="650"/>
      <c r="AR40" s="2803">
        <v>47</v>
      </c>
      <c r="AS40" s="1986" t="str">
        <f t="shared" si="0"/>
        <v/>
      </c>
    </row>
    <row r="41" spans="1:45" ht="12" customHeight="1" x14ac:dyDescent="0.2">
      <c r="A41" s="31"/>
      <c r="B41" s="542"/>
      <c r="C41" s="4945" t="str">
        <f>IF(PDs!E112=0,"",PDs!E112)</f>
        <v/>
      </c>
      <c r="D41" s="4946"/>
      <c r="E41" s="4947"/>
      <c r="F41" s="4921" t="str">
        <f>IF(C41="","",VLOOKUP(C41,Tablas!$D$1106:$R$1121,15,FALSE))</f>
        <v/>
      </c>
      <c r="G41" s="4921"/>
      <c r="H41" s="4921"/>
      <c r="I41" s="4921"/>
      <c r="J41" s="4921"/>
      <c r="K41" s="4921"/>
      <c r="L41" s="4921"/>
      <c r="M41" s="4921"/>
      <c r="N41" s="4921"/>
      <c r="O41" s="4921"/>
      <c r="P41" s="4921"/>
      <c r="Q41" s="4951"/>
      <c r="R41" s="40"/>
      <c r="S41" s="31"/>
      <c r="T41" s="31"/>
      <c r="U41" s="762">
        <f>IF(V41=0,0,1)</f>
        <v>0</v>
      </c>
      <c r="V41" s="4952"/>
      <c r="W41" s="4953"/>
      <c r="X41" s="4953"/>
      <c r="Y41" s="4953"/>
      <c r="Z41" s="4954"/>
      <c r="AA41" s="4900"/>
      <c r="AB41" s="4902" t="str">
        <f>IF(AA41=0,"",IF(AA41*10&lt;100,AA41*10,100))</f>
        <v/>
      </c>
      <c r="AC41" s="96"/>
      <c r="AD41" s="4843"/>
      <c r="AE41" s="4844"/>
      <c r="AF41" s="4844"/>
      <c r="AG41" s="4844"/>
      <c r="AH41" s="4845"/>
      <c r="AI41" s="4851"/>
      <c r="AJ41" s="4818"/>
      <c r="AK41" s="4821" t="str">
        <f>IF(AD41&lt;&gt;"",INDEX(Tablas!$U$26:$U$38,MAX(MATCH(VLOOKUP(Psíquicos!$AD41,'Tablas psiquica'!$U$7:$AH$110,2,FALSE),Tablas!$U$26:$U$38,0),MAX(SUMPRODUCT(--(Tablas!$T$26:$T$38&lt;=(AL41-20*AI41)))+IF(Tablas!$G$446&gt;0,1,0)+IF(COUNTIF($C$39:$E$50,"Introversión")&gt;0,1,0),SUMPRODUCT(--(Tablas!$T$26:$T$38&lt;=(AL41)))))),"")</f>
        <v/>
      </c>
      <c r="AL41" s="4815">
        <f t="shared" ref="AL41" si="12">$H$11+IF(ISNA(VLOOKUP(AD41,$V$11:$AB$64,7,FALSE)),0,IF(VLOOKUP(AD41,$V$11:$AB$64,7,FALSE)="",0,VLOOKUP(AD41,$V$11:$AB$64,7,FALSE)))+AI41*20+AJ41</f>
        <v>10</v>
      </c>
      <c r="AM41" s="31"/>
      <c r="AO41" s="650"/>
      <c r="AP41" s="650"/>
      <c r="AR41" s="2803">
        <v>49</v>
      </c>
      <c r="AS41" s="1986" t="str">
        <f t="shared" si="0"/>
        <v/>
      </c>
    </row>
    <row r="42" spans="1:45" ht="12" customHeight="1" x14ac:dyDescent="0.2">
      <c r="A42" s="31"/>
      <c r="B42" s="542"/>
      <c r="C42" s="4948"/>
      <c r="D42" s="4949"/>
      <c r="E42" s="4950"/>
      <c r="F42" s="4921" t="str">
        <f>IF(C41="","",VLOOKUP(C41,Tablas!$D$1106:$R$1121,7,FALSE))</f>
        <v/>
      </c>
      <c r="G42" s="4921"/>
      <c r="H42" s="4921"/>
      <c r="I42" s="4921"/>
      <c r="J42" s="4921"/>
      <c r="K42" s="4921"/>
      <c r="L42" s="4921"/>
      <c r="M42" s="4921"/>
      <c r="N42" s="4921"/>
      <c r="O42" s="4921"/>
      <c r="P42" s="4921"/>
      <c r="Q42" s="4951"/>
      <c r="R42" s="40"/>
      <c r="S42" s="31"/>
      <c r="T42" s="31"/>
      <c r="U42" s="762"/>
      <c r="V42" s="4955" t="str">
        <f>IF(V41=0,"",VLOOKUP(V41,Tabla_PoderesPsi,2,FALSE))</f>
        <v/>
      </c>
      <c r="W42" s="4956"/>
      <c r="X42" s="4956"/>
      <c r="Y42" s="2022" t="s">
        <v>1333</v>
      </c>
      <c r="Z42" s="2023" t="str">
        <f>IF(V41=0,"",VLOOKUP(V41,Tabla_PoderesPsi,3,FALSE))</f>
        <v/>
      </c>
      <c r="AA42" s="4901"/>
      <c r="AB42" s="4903"/>
      <c r="AC42" s="96"/>
      <c r="AD42" s="4859" t="str">
        <f>IF(AD41=0,"",VLOOKUP(AD41,Tabla_PoderesPsi,2,FALSE))</f>
        <v/>
      </c>
      <c r="AE42" s="4860"/>
      <c r="AF42" s="4860"/>
      <c r="AG42" s="2291" t="s">
        <v>1333</v>
      </c>
      <c r="AH42" s="2292" t="str">
        <f>IF(AD41=0,"",VLOOKUP(AD41,Tabla_PoderesPsi,3,FALSE))</f>
        <v/>
      </c>
      <c r="AI42" s="4852"/>
      <c r="AJ42" s="4819"/>
      <c r="AK42" s="4822"/>
      <c r="AL42" s="4815"/>
      <c r="AM42" s="31"/>
      <c r="AO42" s="650"/>
      <c r="AP42" s="650"/>
      <c r="AR42" s="2803">
        <v>51</v>
      </c>
      <c r="AS42" s="1986" t="str">
        <f t="shared" si="0"/>
        <v/>
      </c>
    </row>
    <row r="43" spans="1:45" ht="12" customHeight="1" x14ac:dyDescent="0.2">
      <c r="A43" s="31"/>
      <c r="B43" s="542"/>
      <c r="C43" s="4959" t="str">
        <f>IF(PDs!E113=0,"",PDs!E113)</f>
        <v/>
      </c>
      <c r="D43" s="4960"/>
      <c r="E43" s="4961"/>
      <c r="F43" s="3528" t="str">
        <f>IF(C43="","",VLOOKUP(C43,Tablas!$D$1106:$R$1121,15,FALSE))</f>
        <v/>
      </c>
      <c r="G43" s="3528"/>
      <c r="H43" s="3528"/>
      <c r="I43" s="3528"/>
      <c r="J43" s="3528"/>
      <c r="K43" s="3528"/>
      <c r="L43" s="3528"/>
      <c r="M43" s="3528"/>
      <c r="N43" s="3528"/>
      <c r="O43" s="3528"/>
      <c r="P43" s="3528"/>
      <c r="Q43" s="4944"/>
      <c r="R43" s="40"/>
      <c r="S43" s="31"/>
      <c r="T43" s="31"/>
      <c r="U43" s="762">
        <f>IF(V43=0,0,1)</f>
        <v>0</v>
      </c>
      <c r="V43" s="4877"/>
      <c r="W43" s="4878"/>
      <c r="X43" s="4878"/>
      <c r="Y43" s="4878"/>
      <c r="Z43" s="4879"/>
      <c r="AA43" s="4870"/>
      <c r="AB43" s="4842" t="str">
        <f>IF(AA43=0,"",IF(AA43*10&lt;100,AA43*10,100))</f>
        <v/>
      </c>
      <c r="AD43" s="4843"/>
      <c r="AE43" s="4844"/>
      <c r="AF43" s="4844"/>
      <c r="AG43" s="4844"/>
      <c r="AH43" s="4845"/>
      <c r="AI43" s="4851"/>
      <c r="AJ43" s="4818"/>
      <c r="AK43" s="4821" t="str">
        <f>IF(AD43&lt;&gt;"",INDEX(Tablas!$U$26:$U$38,MAX(MATCH(VLOOKUP(Psíquicos!$AD43,'Tablas psiquica'!$U$7:$AH$110,2,FALSE),Tablas!$U$26:$U$38,0),MAX(SUMPRODUCT(--(Tablas!$T$26:$T$38&lt;=(AL43-20*AI43)))+IF(Tablas!$G$446&gt;0,1,0)+IF(COUNTIF($C$39:$E$50,"Introversión")&gt;0,1,0),SUMPRODUCT(--(Tablas!$T$26:$T$38&lt;=(AL43)))))),"")</f>
        <v/>
      </c>
      <c r="AL43" s="4815">
        <f t="shared" ref="AL43" si="13">$H$11+IF(ISNA(VLOOKUP(AD43,$V$11:$AB$64,7,FALSE)),0,IF(VLOOKUP(AD43,$V$11:$AB$64,7,FALSE)="",0,VLOOKUP(AD43,$V$11:$AB$64,7,FALSE)))+AI43*20+AJ43</f>
        <v>10</v>
      </c>
      <c r="AM43" s="31"/>
      <c r="AO43" s="650"/>
      <c r="AP43" s="650"/>
      <c r="AR43" s="2803">
        <v>53</v>
      </c>
      <c r="AS43" s="1986" t="str">
        <f>IF(INDEX($V$11:$Z$64,AR43,1)=0,"",INDEX($V$11:$Z$64,AR43,1))</f>
        <v/>
      </c>
    </row>
    <row r="44" spans="1:45" ht="12" customHeight="1" x14ac:dyDescent="0.2">
      <c r="A44" s="31"/>
      <c r="B44" s="542"/>
      <c r="C44" s="4939"/>
      <c r="D44" s="4940"/>
      <c r="E44" s="4941"/>
      <c r="F44" s="3528" t="str">
        <f>IF(C43="","",VLOOKUP(C43,Tablas!$D$1106:$R$1121,7,FALSE))</f>
        <v/>
      </c>
      <c r="G44" s="3528"/>
      <c r="H44" s="3528"/>
      <c r="I44" s="3528"/>
      <c r="J44" s="3528"/>
      <c r="K44" s="3528"/>
      <c r="L44" s="3528"/>
      <c r="M44" s="3528"/>
      <c r="N44" s="3528"/>
      <c r="O44" s="3528"/>
      <c r="P44" s="3528"/>
      <c r="Q44" s="4944"/>
      <c r="R44" s="40"/>
      <c r="S44" s="31"/>
      <c r="T44" s="31"/>
      <c r="U44" s="762"/>
      <c r="V44" s="4880" t="str">
        <f>IF(V43=0,"",VLOOKUP(V43,Tabla_PoderesPsi,2,FALSE))</f>
        <v/>
      </c>
      <c r="W44" s="4881"/>
      <c r="X44" s="4881"/>
      <c r="Y44" s="1897" t="s">
        <v>1333</v>
      </c>
      <c r="Z44" s="1898" t="str">
        <f>IF(V43=0,"",VLOOKUP(V43,Tabla_PoderesPsi,3,FALSE))</f>
        <v/>
      </c>
      <c r="AA44" s="4870"/>
      <c r="AB44" s="4842"/>
      <c r="AD44" s="4859" t="str">
        <f>IF(AD43=0,"",VLOOKUP(AD43,Tabla_PoderesPsi,2,FALSE))</f>
        <v/>
      </c>
      <c r="AE44" s="4860"/>
      <c r="AF44" s="4860"/>
      <c r="AG44" s="2291" t="s">
        <v>1333</v>
      </c>
      <c r="AH44" s="2292" t="str">
        <f>IF(AD43=0,"",VLOOKUP(AD43,Tabla_PoderesPsi,3,FALSE))</f>
        <v/>
      </c>
      <c r="AI44" s="4852"/>
      <c r="AJ44" s="4819"/>
      <c r="AK44" s="4822"/>
      <c r="AL44" s="4815"/>
      <c r="AM44" s="31"/>
      <c r="AO44" s="650"/>
      <c r="AP44" s="650"/>
      <c r="AR44" s="1986"/>
      <c r="AS44" s="1986"/>
    </row>
    <row r="45" spans="1:45" ht="12" customHeight="1" x14ac:dyDescent="0.2">
      <c r="A45" s="31"/>
      <c r="B45" s="542"/>
      <c r="C45" s="4945" t="str">
        <f>IF(PDs!E114=0,"",PDs!E114)</f>
        <v/>
      </c>
      <c r="D45" s="4946"/>
      <c r="E45" s="4947"/>
      <c r="F45" s="4921" t="str">
        <f>IF(C45="","",VLOOKUP(C45,Tablas!$D$1106:$R$1121,15,FALSE))</f>
        <v/>
      </c>
      <c r="G45" s="4921"/>
      <c r="H45" s="4921"/>
      <c r="I45" s="4921"/>
      <c r="J45" s="4921"/>
      <c r="K45" s="4921"/>
      <c r="L45" s="4921"/>
      <c r="M45" s="4921"/>
      <c r="N45" s="4921"/>
      <c r="O45" s="4921"/>
      <c r="P45" s="4921"/>
      <c r="Q45" s="4951"/>
      <c r="R45" s="40"/>
      <c r="S45" s="31"/>
      <c r="T45" s="31"/>
      <c r="U45" s="762">
        <f>IF(V45=0,0,1)</f>
        <v>0</v>
      </c>
      <c r="V45" s="4897"/>
      <c r="W45" s="4898"/>
      <c r="X45" s="4898"/>
      <c r="Y45" s="4898"/>
      <c r="Z45" s="4899"/>
      <c r="AA45" s="4900"/>
      <c r="AB45" s="4902" t="str">
        <f>IF(AA45=0,"",IF(AA45*10&lt;100,AA45*10,100))</f>
        <v/>
      </c>
      <c r="AD45" s="4843"/>
      <c r="AE45" s="4844"/>
      <c r="AF45" s="4844"/>
      <c r="AG45" s="4844"/>
      <c r="AH45" s="4845"/>
      <c r="AI45" s="4851"/>
      <c r="AJ45" s="4818"/>
      <c r="AK45" s="4821" t="str">
        <f>IF(AD45&lt;&gt;"",INDEX(Tablas!$U$26:$U$38,MAX(MATCH(VLOOKUP(Psíquicos!$AD45,'Tablas psiquica'!$U$7:$AH$110,2,FALSE),Tablas!$U$26:$U$38,0),MAX(SUMPRODUCT(--(Tablas!$T$26:$T$38&lt;=(AL45-20*AI45)))+IF(Tablas!$G$446&gt;0,1,0)+IF(COUNTIF($C$39:$E$50,"Introversión")&gt;0,1,0),SUMPRODUCT(--(Tablas!$T$26:$T$38&lt;=(AL45)))))),"")</f>
        <v/>
      </c>
      <c r="AL45" s="4815">
        <f t="shared" ref="AL45" si="14">$H$11+IF(ISNA(VLOOKUP(AD45,$V$11:$AB$64,7,FALSE)),0,IF(VLOOKUP(AD45,$V$11:$AB$64,7,FALSE)="",0,VLOOKUP(AD45,$V$11:$AB$64,7,FALSE)))+AI45*20+AJ45</f>
        <v>10</v>
      </c>
      <c r="AM45" s="31"/>
      <c r="AO45" s="650"/>
      <c r="AP45" s="650"/>
      <c r="AR45" s="1986"/>
      <c r="AS45" s="1986"/>
    </row>
    <row r="46" spans="1:45" ht="12" customHeight="1" x14ac:dyDescent="0.2">
      <c r="A46" s="31"/>
      <c r="B46" s="542"/>
      <c r="C46" s="4948"/>
      <c r="D46" s="4949"/>
      <c r="E46" s="4950"/>
      <c r="F46" s="4921" t="str">
        <f>IF(C45="","",VLOOKUP(C45,Tablas!$D$1106:$R$1121,7,FALSE))</f>
        <v/>
      </c>
      <c r="G46" s="4921"/>
      <c r="H46" s="4921"/>
      <c r="I46" s="4921"/>
      <c r="J46" s="4921"/>
      <c r="K46" s="4921"/>
      <c r="L46" s="4921"/>
      <c r="M46" s="4921"/>
      <c r="N46" s="4921"/>
      <c r="O46" s="4921"/>
      <c r="P46" s="4921"/>
      <c r="Q46" s="4951"/>
      <c r="R46" s="40"/>
      <c r="S46" s="31"/>
      <c r="T46" s="31"/>
      <c r="U46" s="762"/>
      <c r="V46" s="4904" t="str">
        <f>IF(V45=0,"",VLOOKUP(V45,Tabla_PoderesPsi,2,FALSE))</f>
        <v/>
      </c>
      <c r="W46" s="4905"/>
      <c r="X46" s="4905"/>
      <c r="Y46" s="2022" t="s">
        <v>1333</v>
      </c>
      <c r="Z46" s="2023" t="str">
        <f>IF(V45=0,"",VLOOKUP(V45,Tabla_PoderesPsi,3,FALSE))</f>
        <v/>
      </c>
      <c r="AA46" s="4901"/>
      <c r="AB46" s="4903"/>
      <c r="AD46" s="4859" t="str">
        <f>IF(AD45=0,"",VLOOKUP(AD45,Tabla_PoderesPsi,2,FALSE))</f>
        <v/>
      </c>
      <c r="AE46" s="4860"/>
      <c r="AF46" s="4860"/>
      <c r="AG46" s="2291" t="s">
        <v>1333</v>
      </c>
      <c r="AH46" s="2292" t="str">
        <f>IF(AD45=0,"",VLOOKUP(AD45,Tabla_PoderesPsi,3,FALSE))</f>
        <v/>
      </c>
      <c r="AI46" s="4852"/>
      <c r="AJ46" s="4819"/>
      <c r="AK46" s="4822"/>
      <c r="AL46" s="4815"/>
      <c r="AM46" s="31"/>
      <c r="AO46" s="650"/>
      <c r="AP46" s="650"/>
      <c r="AR46" s="1986"/>
      <c r="AS46" s="1986"/>
    </row>
    <row r="47" spans="1:45" ht="12" customHeight="1" x14ac:dyDescent="0.2">
      <c r="A47" s="31"/>
      <c r="B47" s="542"/>
      <c r="C47" s="4959" t="str">
        <f>IF(PDs!E115=0,"",PDs!E115)</f>
        <v/>
      </c>
      <c r="D47" s="4960"/>
      <c r="E47" s="4961"/>
      <c r="F47" s="3528" t="str">
        <f>IF(C47="","",VLOOKUP(C47,Tablas!$D$1106:$R$1121,15,FALSE))</f>
        <v/>
      </c>
      <c r="G47" s="3528"/>
      <c r="H47" s="3528"/>
      <c r="I47" s="3528"/>
      <c r="J47" s="3528"/>
      <c r="K47" s="3528"/>
      <c r="L47" s="3528"/>
      <c r="M47" s="3528"/>
      <c r="N47" s="3528"/>
      <c r="O47" s="3528"/>
      <c r="P47" s="3528"/>
      <c r="Q47" s="4944"/>
      <c r="R47" s="40"/>
      <c r="S47" s="31"/>
      <c r="T47" s="31"/>
      <c r="U47" s="762">
        <f>IF(V47=0,0,1)</f>
        <v>0</v>
      </c>
      <c r="V47" s="4877"/>
      <c r="W47" s="4878"/>
      <c r="X47" s="4878"/>
      <c r="Y47" s="4878"/>
      <c r="Z47" s="4879"/>
      <c r="AA47" s="4870"/>
      <c r="AB47" s="4842" t="str">
        <f>IF(AA47=0,"",IF(AA47*10&lt;100,AA47*10,100))</f>
        <v/>
      </c>
      <c r="AD47" s="4843"/>
      <c r="AE47" s="4844"/>
      <c r="AF47" s="4844"/>
      <c r="AG47" s="4844"/>
      <c r="AH47" s="4845"/>
      <c r="AI47" s="4851"/>
      <c r="AJ47" s="4818"/>
      <c r="AK47" s="4821" t="str">
        <f>IF(AD47&lt;&gt;"",INDEX(Tablas!$U$26:$U$38,MAX(MATCH(VLOOKUP(Psíquicos!$AD47,'Tablas psiquica'!$U$7:$AH$110,2,FALSE),Tablas!$U$26:$U$38,0),MAX(SUMPRODUCT(--(Tablas!$T$26:$T$38&lt;=(AL47-20*AI47)))+IF(Tablas!$G$446&gt;0,1,0)+IF(COUNTIF($C$39:$E$50,"Introversión")&gt;0,1,0),SUMPRODUCT(--(Tablas!$T$26:$T$38&lt;=(AL47)))))),"")</f>
        <v/>
      </c>
      <c r="AL47" s="4815">
        <f t="shared" ref="AL47" si="15">$H$11+IF(ISNA(VLOOKUP(AD47,$V$11:$AB$64,7,FALSE)),0,IF(VLOOKUP(AD47,$V$11:$AB$64,7,FALSE)="",0,VLOOKUP(AD47,$V$11:$AB$64,7,FALSE)))+AI47*20+AJ47</f>
        <v>10</v>
      </c>
      <c r="AM47" s="31"/>
      <c r="AO47" s="650"/>
      <c r="AP47" s="650"/>
      <c r="AR47" s="1986"/>
      <c r="AS47" s="1986"/>
    </row>
    <row r="48" spans="1:45" ht="12" customHeight="1" x14ac:dyDescent="0.2">
      <c r="A48" s="31"/>
      <c r="B48" s="542"/>
      <c r="C48" s="4939"/>
      <c r="D48" s="4940"/>
      <c r="E48" s="4941"/>
      <c r="F48" s="3528" t="str">
        <f>IF(C47="","",VLOOKUP(C47,Tablas!$D$1106:$R$1121,7,FALSE))</f>
        <v/>
      </c>
      <c r="G48" s="3528"/>
      <c r="H48" s="3528"/>
      <c r="I48" s="3528"/>
      <c r="J48" s="3528"/>
      <c r="K48" s="3528"/>
      <c r="L48" s="3528"/>
      <c r="M48" s="3528"/>
      <c r="N48" s="3528"/>
      <c r="O48" s="3528"/>
      <c r="P48" s="3528"/>
      <c r="Q48" s="4944"/>
      <c r="R48" s="40"/>
      <c r="S48" s="31"/>
      <c r="T48" s="31"/>
      <c r="U48" s="762"/>
      <c r="V48" s="4880" t="str">
        <f>IF(V47=0,"",VLOOKUP(V47,Tabla_PoderesPsi,2,FALSE))</f>
        <v/>
      </c>
      <c r="W48" s="4881"/>
      <c r="X48" s="4881"/>
      <c r="Y48" s="1897" t="s">
        <v>1333</v>
      </c>
      <c r="Z48" s="1898" t="str">
        <f>IF(V47=0,"",VLOOKUP(V47,Tabla_PoderesPsi,3,FALSE))</f>
        <v/>
      </c>
      <c r="AA48" s="4870"/>
      <c r="AB48" s="4842"/>
      <c r="AD48" s="4859" t="str">
        <f>IF(AD47=0,"",VLOOKUP(AD47,Tabla_PoderesPsi,2,FALSE))</f>
        <v/>
      </c>
      <c r="AE48" s="4860"/>
      <c r="AF48" s="4860"/>
      <c r="AG48" s="2291" t="s">
        <v>1333</v>
      </c>
      <c r="AH48" s="2292" t="str">
        <f>IF(AD47=0,"",VLOOKUP(AD47,Tabla_PoderesPsi,3,FALSE))</f>
        <v/>
      </c>
      <c r="AI48" s="4852"/>
      <c r="AJ48" s="4819"/>
      <c r="AK48" s="4822"/>
      <c r="AL48" s="4815"/>
      <c r="AM48" s="31"/>
      <c r="AO48" s="650"/>
      <c r="AP48" s="650"/>
      <c r="AR48" s="1986"/>
      <c r="AS48" s="1986"/>
    </row>
    <row r="49" spans="1:45" ht="12" customHeight="1" x14ac:dyDescent="0.2">
      <c r="A49" s="31"/>
      <c r="B49" s="542"/>
      <c r="C49" s="4945" t="str">
        <f>IF(PDs!E116=0,"",PDs!E116)</f>
        <v/>
      </c>
      <c r="D49" s="4946"/>
      <c r="E49" s="4947"/>
      <c r="F49" s="4921" t="str">
        <f>IF(C49="","",VLOOKUP(C49,Tablas!$D$1106:$R$1121,15,FALSE))</f>
        <v/>
      </c>
      <c r="G49" s="4921"/>
      <c r="H49" s="4921"/>
      <c r="I49" s="4921"/>
      <c r="J49" s="4921"/>
      <c r="K49" s="4921"/>
      <c r="L49" s="4921"/>
      <c r="M49" s="4921"/>
      <c r="N49" s="4921"/>
      <c r="O49" s="4921"/>
      <c r="P49" s="4921"/>
      <c r="Q49" s="4951"/>
      <c r="R49" s="40"/>
      <c r="S49" s="31"/>
      <c r="T49" s="31"/>
      <c r="U49" s="762">
        <f>IF(V49=0,0,1)</f>
        <v>0</v>
      </c>
      <c r="V49" s="4897"/>
      <c r="W49" s="4898"/>
      <c r="X49" s="4898"/>
      <c r="Y49" s="4898"/>
      <c r="Z49" s="4899"/>
      <c r="AA49" s="4900"/>
      <c r="AB49" s="4902" t="str">
        <f>IF(AA49=0,"",IF(AA49*10&lt;100,AA49*10,100))</f>
        <v/>
      </c>
      <c r="AD49" s="4843"/>
      <c r="AE49" s="4844"/>
      <c r="AF49" s="4844"/>
      <c r="AG49" s="4844"/>
      <c r="AH49" s="4845"/>
      <c r="AI49" s="4851"/>
      <c r="AJ49" s="4818"/>
      <c r="AK49" s="4821" t="str">
        <f>IF(AD49&lt;&gt;"",INDEX(Tablas!$U$26:$U$38,MAX(MATCH(VLOOKUP(Psíquicos!$AD49,'Tablas psiquica'!$U$7:$AH$110,2,FALSE),Tablas!$U$26:$U$38,0),MAX(SUMPRODUCT(--(Tablas!$T$26:$T$38&lt;=(AL49-20*AI49)))+IF(Tablas!$G$446&gt;0,1,0)+IF(COUNTIF($C$39:$E$50,"Introversión")&gt;0,1,0),SUMPRODUCT(--(Tablas!$T$26:$T$38&lt;=(AL49)))))),"")</f>
        <v/>
      </c>
      <c r="AL49" s="4815">
        <f t="shared" ref="AL49" si="16">$H$11+IF(ISNA(VLOOKUP(AD49,$V$11:$AB$64,7,FALSE)),0,IF(VLOOKUP(AD49,$V$11:$AB$64,7,FALSE)="",0,VLOOKUP(AD49,$V$11:$AB$64,7,FALSE)))+AI49*20+AJ49</f>
        <v>10</v>
      </c>
      <c r="AM49" s="31"/>
      <c r="AO49" s="650"/>
      <c r="AP49" s="650"/>
      <c r="AR49" s="1986"/>
      <c r="AS49" s="1986"/>
    </row>
    <row r="50" spans="1:45" ht="12" customHeight="1" thickBot="1" x14ac:dyDescent="0.25">
      <c r="A50" s="31"/>
      <c r="B50" s="542"/>
      <c r="C50" s="4964"/>
      <c r="D50" s="4965"/>
      <c r="E50" s="4966"/>
      <c r="F50" s="4933" t="str">
        <f>IF(C49="","",VLOOKUP(C49,Tablas!$D$1106:$R$1121,7,FALSE))</f>
        <v/>
      </c>
      <c r="G50" s="4933"/>
      <c r="H50" s="4933"/>
      <c r="I50" s="4933"/>
      <c r="J50" s="4933"/>
      <c r="K50" s="4933"/>
      <c r="L50" s="4933"/>
      <c r="M50" s="4933"/>
      <c r="N50" s="4933"/>
      <c r="O50" s="4933"/>
      <c r="P50" s="4933"/>
      <c r="Q50" s="4967"/>
      <c r="R50" s="40"/>
      <c r="S50" s="31"/>
      <c r="T50" s="31"/>
      <c r="U50" s="762"/>
      <c r="V50" s="4904" t="str">
        <f>IF(V49=0,"",VLOOKUP(V49,Tabla_PoderesPsi,2,FALSE))</f>
        <v/>
      </c>
      <c r="W50" s="4905"/>
      <c r="X50" s="4905"/>
      <c r="Y50" s="2022" t="s">
        <v>1333</v>
      </c>
      <c r="Z50" s="2023" t="str">
        <f>IF(V49=0,"",VLOOKUP(V49,Tabla_PoderesPsi,3,FALSE))</f>
        <v/>
      </c>
      <c r="AA50" s="4901"/>
      <c r="AB50" s="4903"/>
      <c r="AD50" s="4859" t="str">
        <f>IF(AD49=0,"",VLOOKUP(AD49,Tabla_PoderesPsi,2,FALSE))</f>
        <v/>
      </c>
      <c r="AE50" s="4860"/>
      <c r="AF50" s="4860"/>
      <c r="AG50" s="2291" t="s">
        <v>1333</v>
      </c>
      <c r="AH50" s="2292" t="str">
        <f>IF(AD49=0,"",VLOOKUP(AD49,Tabla_PoderesPsi,3,FALSE))</f>
        <v/>
      </c>
      <c r="AI50" s="4852"/>
      <c r="AJ50" s="4819"/>
      <c r="AK50" s="4822"/>
      <c r="AL50" s="4815"/>
      <c r="AM50" s="31"/>
      <c r="AO50" s="650"/>
      <c r="AP50" s="650"/>
      <c r="AR50" s="1986"/>
      <c r="AS50" s="1986"/>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877"/>
      <c r="W51" s="4878"/>
      <c r="X51" s="4878"/>
      <c r="Y51" s="4878"/>
      <c r="Z51" s="4879"/>
      <c r="AA51" s="4870"/>
      <c r="AB51" s="4842" t="str">
        <f>IF(AA51=0,"",IF(AA51*10&lt;100,AA51*10,100))</f>
        <v/>
      </c>
      <c r="AD51" s="4843"/>
      <c r="AE51" s="4844"/>
      <c r="AF51" s="4844"/>
      <c r="AG51" s="4844"/>
      <c r="AH51" s="4845"/>
      <c r="AI51" s="4851"/>
      <c r="AJ51" s="4818"/>
      <c r="AK51" s="4821" t="str">
        <f>IF(AD51&lt;&gt;"",INDEX(Tablas!$U$26:$U$38,MAX(MATCH(VLOOKUP(Psíquicos!$AD51,'Tablas psiquica'!$U$7:$AH$110,2,FALSE),Tablas!$U$26:$U$38,0),MAX(SUMPRODUCT(--(Tablas!$T$26:$T$38&lt;=(AL51-20*AI51)))+IF(Tablas!$G$446&gt;0,1,0)+IF(COUNTIF($C$39:$E$50,"Introversión")&gt;0,1,0),SUMPRODUCT(--(Tablas!$T$26:$T$38&lt;=(AL51)))))),"")</f>
        <v/>
      </c>
      <c r="AL51" s="4815">
        <f t="shared" ref="AL51" si="17">$H$11+IF(ISNA(VLOOKUP(AD51,$V$11:$AB$64,7,FALSE)),0,IF(VLOOKUP(AD51,$V$11:$AB$64,7,FALSE)="",0,VLOOKUP(AD51,$V$11:$AB$64,7,FALSE)))+AI51*20+AJ51</f>
        <v>10</v>
      </c>
      <c r="AM51" s="31"/>
      <c r="AO51" s="650"/>
      <c r="AP51" s="650"/>
      <c r="AR51" s="1986"/>
      <c r="AS51" s="1986"/>
    </row>
    <row r="52" spans="1:45" ht="12" customHeight="1" thickBot="1" x14ac:dyDescent="0.25">
      <c r="A52" s="31"/>
      <c r="B52" s="762"/>
      <c r="C52" s="3156" t="s">
        <v>9903</v>
      </c>
      <c r="D52" s="3156"/>
      <c r="E52" s="3156"/>
      <c r="F52" s="3156"/>
      <c r="G52" s="3156"/>
      <c r="H52" s="3156"/>
      <c r="J52" s="4962" t="s">
        <v>1729</v>
      </c>
      <c r="K52" s="4962"/>
      <c r="L52" s="4962"/>
      <c r="M52" s="4963" t="s">
        <v>1799</v>
      </c>
      <c r="N52" s="4963"/>
      <c r="O52" s="4963"/>
      <c r="P52" s="4963"/>
      <c r="Q52" s="4963"/>
      <c r="R52" s="43"/>
      <c r="S52" s="178"/>
      <c r="T52" s="178"/>
      <c r="U52" s="762"/>
      <c r="V52" s="4880" t="str">
        <f>IF(V51=0,"",VLOOKUP(V51,Tabla_PoderesPsi,2,FALSE))</f>
        <v/>
      </c>
      <c r="W52" s="4881"/>
      <c r="X52" s="4881"/>
      <c r="Y52" s="1897" t="s">
        <v>1333</v>
      </c>
      <c r="Z52" s="1898" t="str">
        <f>IF(V51=0,"",VLOOKUP(V51,Tabla_PoderesPsi,3,FALSE))</f>
        <v/>
      </c>
      <c r="AA52" s="4870"/>
      <c r="AB52" s="4842"/>
      <c r="AD52" s="4859" t="str">
        <f>IF(AD51=0,"",VLOOKUP(AD51,Tabla_PoderesPsi,2,FALSE))</f>
        <v/>
      </c>
      <c r="AE52" s="4860"/>
      <c r="AF52" s="4860"/>
      <c r="AG52" s="2291" t="s">
        <v>1333</v>
      </c>
      <c r="AH52" s="2292" t="str">
        <f>IF(AD51=0,"",VLOOKUP(AD51,Tabla_PoderesPsi,3,FALSE))</f>
        <v/>
      </c>
      <c r="AI52" s="4852"/>
      <c r="AJ52" s="4819"/>
      <c r="AK52" s="4822"/>
      <c r="AL52" s="4815"/>
      <c r="AM52" s="31"/>
      <c r="AO52" s="650"/>
      <c r="AP52" s="650"/>
      <c r="AR52" s="1986"/>
      <c r="AS52" s="1986"/>
    </row>
    <row r="53" spans="1:45" ht="12" customHeight="1" thickBot="1" x14ac:dyDescent="0.25">
      <c r="A53" s="31"/>
      <c r="B53" s="762"/>
      <c r="C53" s="4958"/>
      <c r="D53" s="4958"/>
      <c r="E53" s="4958"/>
      <c r="F53" s="4958"/>
      <c r="G53" s="4958"/>
      <c r="H53" s="4958"/>
      <c r="J53" s="102">
        <v>20</v>
      </c>
      <c r="K53" s="4957" t="s">
        <v>1732</v>
      </c>
      <c r="L53" s="4957"/>
      <c r="M53" s="4969" t="s">
        <v>1733</v>
      </c>
      <c r="N53" s="4969"/>
      <c r="O53" s="4969"/>
      <c r="P53" s="4969"/>
      <c r="Q53" s="4969"/>
      <c r="R53" s="43"/>
      <c r="S53" s="178"/>
      <c r="T53" s="178"/>
      <c r="U53" s="762">
        <f>IF(V53=0,0,1)</f>
        <v>0</v>
      </c>
      <c r="V53" s="4897"/>
      <c r="W53" s="4898"/>
      <c r="X53" s="4898"/>
      <c r="Y53" s="4898"/>
      <c r="Z53" s="4899"/>
      <c r="AA53" s="4900"/>
      <c r="AB53" s="4902" t="str">
        <f>IF(AA53=0,"",IF(AA53*10&lt;100,AA53*10,100))</f>
        <v/>
      </c>
      <c r="AD53" s="4843"/>
      <c r="AE53" s="4844"/>
      <c r="AF53" s="4844"/>
      <c r="AG53" s="4844"/>
      <c r="AH53" s="4845"/>
      <c r="AI53" s="4851"/>
      <c r="AJ53" s="4818"/>
      <c r="AK53" s="4821" t="str">
        <f>IF(AD53&lt;&gt;"",INDEX(Tablas!$U$26:$U$38,MAX(MATCH(VLOOKUP(Psíquicos!$AD53,'Tablas psiquica'!$U$7:$AH$110,2,FALSE),Tablas!$U$26:$U$38,0),MAX(SUMPRODUCT(--(Tablas!$T$26:$T$38&lt;=(AL53-20*AI53)))+IF(Tablas!$G$446&gt;0,1,0)+IF(COUNTIF($C$39:$E$50,"Introversión")&gt;0,1,0),SUMPRODUCT(--(Tablas!$T$26:$T$38&lt;=(AL53)))))),"")</f>
        <v/>
      </c>
      <c r="AL53" s="4815">
        <f t="shared" ref="AL53" si="18">$H$11+IF(ISNA(VLOOKUP(AD53,$V$11:$AB$64,7,FALSE)),0,IF(VLOOKUP(AD53,$V$11:$AB$64,7,FALSE)="",0,VLOOKUP(AD53,$V$11:$AB$64,7,FALSE)))+AI53*20+AJ53</f>
        <v>10</v>
      </c>
      <c r="AM53" s="31"/>
      <c r="AO53" s="650"/>
      <c r="AP53" s="650"/>
      <c r="AR53" s="1986"/>
      <c r="AS53" s="1986"/>
    </row>
    <row r="54" spans="1:45" ht="12" customHeight="1" thickBot="1" x14ac:dyDescent="0.25">
      <c r="A54" s="31"/>
      <c r="B54" s="762"/>
      <c r="C54" s="4958"/>
      <c r="D54" s="4958"/>
      <c r="E54" s="4958"/>
      <c r="F54" s="4958"/>
      <c r="G54" s="4958"/>
      <c r="H54" s="4958"/>
      <c r="J54" s="102">
        <v>40</v>
      </c>
      <c r="K54" s="4957" t="s">
        <v>1734</v>
      </c>
      <c r="L54" s="4957"/>
      <c r="M54" s="4968" t="s">
        <v>1735</v>
      </c>
      <c r="N54" s="4968"/>
      <c r="O54" s="4968"/>
      <c r="P54" s="4968"/>
      <c r="Q54" s="4968"/>
      <c r="R54" s="43"/>
      <c r="S54" s="178"/>
      <c r="T54" s="178"/>
      <c r="U54" s="762"/>
      <c r="V54" s="4904" t="str">
        <f>IF(V53=0,"",VLOOKUP(V53,Tabla_PoderesPsi,2,FALSE))</f>
        <v/>
      </c>
      <c r="W54" s="4905"/>
      <c r="X54" s="4905"/>
      <c r="Y54" s="2022" t="s">
        <v>1333</v>
      </c>
      <c r="Z54" s="2023" t="str">
        <f>IF(V53=0,"",VLOOKUP(V53,Tabla_PoderesPsi,3,FALSE))</f>
        <v/>
      </c>
      <c r="AA54" s="4901"/>
      <c r="AB54" s="4903"/>
      <c r="AD54" s="4859" t="str">
        <f>IF(AD53=0,"",VLOOKUP(AD53,Tabla_PoderesPsi,2,FALSE))</f>
        <v/>
      </c>
      <c r="AE54" s="4860"/>
      <c r="AF54" s="4860"/>
      <c r="AG54" s="2291" t="s">
        <v>1333</v>
      </c>
      <c r="AH54" s="2292" t="str">
        <f>IF(AD53=0,"",VLOOKUP(AD53,Tabla_PoderesPsi,3,FALSE))</f>
        <v/>
      </c>
      <c r="AI54" s="4852"/>
      <c r="AJ54" s="4819"/>
      <c r="AK54" s="4822"/>
      <c r="AL54" s="4815"/>
      <c r="AM54" s="31"/>
      <c r="AO54" s="650"/>
      <c r="AP54" s="650"/>
      <c r="AQ54" s="650"/>
      <c r="AR54" s="1986"/>
      <c r="AS54" s="1986"/>
    </row>
    <row r="55" spans="1:45" ht="12" customHeight="1" thickBot="1" x14ac:dyDescent="0.25">
      <c r="A55" s="31"/>
      <c r="B55" s="762"/>
      <c r="C55" s="4958"/>
      <c r="D55" s="4958"/>
      <c r="E55" s="4958"/>
      <c r="F55" s="4958"/>
      <c r="G55" s="4958"/>
      <c r="H55" s="4958"/>
      <c r="J55" s="102">
        <v>80</v>
      </c>
      <c r="K55" s="4957" t="s">
        <v>1737</v>
      </c>
      <c r="L55" s="4957"/>
      <c r="M55" s="4968" t="s">
        <v>1738</v>
      </c>
      <c r="N55" s="4968"/>
      <c r="O55" s="4968"/>
      <c r="P55" s="4968"/>
      <c r="Q55" s="4968"/>
      <c r="R55" s="43"/>
      <c r="S55" s="178"/>
      <c r="T55" s="178"/>
      <c r="U55" s="762">
        <f>IF(V55=0,0,1)</f>
        <v>0</v>
      </c>
      <c r="V55" s="4877"/>
      <c r="W55" s="4878"/>
      <c r="X55" s="4878"/>
      <c r="Y55" s="4878"/>
      <c r="Z55" s="4879"/>
      <c r="AA55" s="4870"/>
      <c r="AB55" s="4842" t="str">
        <f>IF(AA55=0,"",IF(AA55*10&lt;100,AA55*10,100))</f>
        <v/>
      </c>
      <c r="AD55" s="4843"/>
      <c r="AE55" s="4844"/>
      <c r="AF55" s="4844"/>
      <c r="AG55" s="4844"/>
      <c r="AH55" s="4845"/>
      <c r="AI55" s="4851"/>
      <c r="AJ55" s="4818"/>
      <c r="AK55" s="4821" t="str">
        <f>IF(AD55&lt;&gt;"",INDEX(Tablas!$U$26:$U$38,MAX(MATCH(VLOOKUP(Psíquicos!$AD55,'Tablas psiquica'!$U$7:$AH$110,2,FALSE),Tablas!$U$26:$U$38,0),MAX(SUMPRODUCT(--(Tablas!$T$26:$T$38&lt;=(AL55-20*AI55)))+IF(Tablas!$G$446&gt;0,1,0)+IF(COUNTIF($C$39:$E$50,"Introversión")&gt;0,1,0),SUMPRODUCT(--(Tablas!$T$26:$T$38&lt;=(AL55)))))),"")</f>
        <v/>
      </c>
      <c r="AL55" s="4815">
        <f t="shared" ref="AL55" si="19">$H$11+IF(ISNA(VLOOKUP(AD55,$V$11:$AB$64,7,FALSE)),0,IF(VLOOKUP(AD55,$V$11:$AB$64,7,FALSE)="",0,VLOOKUP(AD55,$V$11:$AB$64,7,FALSE)))+AI55*20+AJ55</f>
        <v>10</v>
      </c>
      <c r="AM55" s="31"/>
      <c r="AO55" s="650"/>
      <c r="AP55" s="650"/>
      <c r="AQ55" s="650"/>
      <c r="AR55" s="1986"/>
      <c r="AS55" s="1986"/>
    </row>
    <row r="56" spans="1:45" ht="12" customHeight="1" thickBot="1" x14ac:dyDescent="0.25">
      <c r="A56" s="31"/>
      <c r="B56" s="762"/>
      <c r="C56" s="4958"/>
      <c r="D56" s="4958"/>
      <c r="E56" s="4958"/>
      <c r="F56" s="4958"/>
      <c r="G56" s="4958"/>
      <c r="H56" s="4958"/>
      <c r="J56" s="102">
        <v>120</v>
      </c>
      <c r="K56" s="4957" t="s">
        <v>1740</v>
      </c>
      <c r="L56" s="4957"/>
      <c r="M56" s="4968" t="s">
        <v>1824</v>
      </c>
      <c r="N56" s="4968"/>
      <c r="O56" s="4968"/>
      <c r="P56" s="4968"/>
      <c r="Q56" s="4968"/>
      <c r="R56" s="43"/>
      <c r="S56" s="178"/>
      <c r="T56" s="178"/>
      <c r="U56" s="762"/>
      <c r="V56" s="4880" t="str">
        <f>IF(V55=0,"",VLOOKUP(V55,Tabla_PoderesPsi,2,FALSE))</f>
        <v/>
      </c>
      <c r="W56" s="4881"/>
      <c r="X56" s="4881"/>
      <c r="Y56" s="1897" t="s">
        <v>1333</v>
      </c>
      <c r="Z56" s="1898" t="str">
        <f>IF(V55=0,"",VLOOKUP(V55,Tabla_PoderesPsi,3,FALSE))</f>
        <v/>
      </c>
      <c r="AA56" s="4870"/>
      <c r="AB56" s="4842"/>
      <c r="AD56" s="4859" t="str">
        <f>IF(AD55=0,"",VLOOKUP(AD55,Tabla_PoderesPsi,2,FALSE))</f>
        <v/>
      </c>
      <c r="AE56" s="4860"/>
      <c r="AF56" s="4860"/>
      <c r="AG56" s="2291" t="s">
        <v>1333</v>
      </c>
      <c r="AH56" s="2292" t="str">
        <f>IF(AD55=0,"",VLOOKUP(AD55,Tabla_PoderesPsi,3,FALSE))</f>
        <v/>
      </c>
      <c r="AI56" s="4852"/>
      <c r="AJ56" s="4819"/>
      <c r="AK56" s="4822"/>
      <c r="AL56" s="4815"/>
      <c r="AM56" s="31"/>
      <c r="AO56" s="650"/>
      <c r="AP56" s="650"/>
      <c r="AQ56" s="650"/>
      <c r="AR56" s="1986"/>
      <c r="AS56" s="1986"/>
    </row>
    <row r="57" spans="1:45" ht="12" customHeight="1" thickBot="1" x14ac:dyDescent="0.25">
      <c r="A57" s="31"/>
      <c r="B57" s="762"/>
      <c r="C57" s="4958"/>
      <c r="D57" s="4958"/>
      <c r="E57" s="4958"/>
      <c r="F57" s="4958"/>
      <c r="G57" s="4958"/>
      <c r="H57" s="4958"/>
      <c r="J57" s="102">
        <v>140</v>
      </c>
      <c r="K57" s="4957" t="s">
        <v>1742</v>
      </c>
      <c r="L57" s="4957"/>
      <c r="M57" s="4968" t="s">
        <v>1825</v>
      </c>
      <c r="N57" s="4968"/>
      <c r="O57" s="4968"/>
      <c r="P57" s="4968"/>
      <c r="Q57" s="4968"/>
      <c r="R57" s="43"/>
      <c r="S57" s="178"/>
      <c r="T57" s="178"/>
      <c r="U57" s="762">
        <f>IF(V57=0,0,1)</f>
        <v>0</v>
      </c>
      <c r="V57" s="4897"/>
      <c r="W57" s="4898"/>
      <c r="X57" s="4898"/>
      <c r="Y57" s="4898"/>
      <c r="Z57" s="4899"/>
      <c r="AA57" s="4900"/>
      <c r="AB57" s="4902" t="str">
        <f>IF(AA57=0,"",IF(AA57*10&lt;100,AA57*10,100))</f>
        <v/>
      </c>
      <c r="AD57" s="4843"/>
      <c r="AE57" s="4844"/>
      <c r="AF57" s="4844"/>
      <c r="AG57" s="4844"/>
      <c r="AH57" s="4845"/>
      <c r="AI57" s="4851"/>
      <c r="AJ57" s="4818"/>
      <c r="AK57" s="4821" t="str">
        <f>IF(AD57&lt;&gt;"",INDEX(Tablas!$U$26:$U$38,MAX(MATCH(VLOOKUP(Psíquicos!$AD57,'Tablas psiquica'!$U$7:$AH$110,2,FALSE),Tablas!$U$26:$U$38,0),MAX(SUMPRODUCT(--(Tablas!$T$26:$T$38&lt;=(AL57-20*AI57)))+IF(Tablas!$G$446&gt;0,1,0)+IF(COUNTIF($C$39:$E$50,"Introversión")&gt;0,1,0),SUMPRODUCT(--(Tablas!$T$26:$T$38&lt;=(AL57)))))),"")</f>
        <v/>
      </c>
      <c r="AL57" s="4815">
        <f t="shared" ref="AL57" si="20">$H$11+IF(ISNA(VLOOKUP(AD57,$V$11:$AB$64,7,FALSE)),0,IF(VLOOKUP(AD57,$V$11:$AB$64,7,FALSE)="",0,VLOOKUP(AD57,$V$11:$AB$64,7,FALSE)))+AI57*20+AJ57</f>
        <v>10</v>
      </c>
      <c r="AM57" s="31"/>
      <c r="AO57" s="650"/>
      <c r="AP57" s="650"/>
      <c r="AQ57" s="650"/>
      <c r="AR57" s="1986"/>
      <c r="AS57" s="1986"/>
    </row>
    <row r="58" spans="1:45" ht="12" customHeight="1" thickBot="1" x14ac:dyDescent="0.25">
      <c r="A58" s="31"/>
      <c r="B58" s="762"/>
      <c r="C58" s="4958"/>
      <c r="D58" s="4958"/>
      <c r="E58" s="4958"/>
      <c r="F58" s="4958"/>
      <c r="G58" s="4958"/>
      <c r="H58" s="4958"/>
      <c r="J58" s="102">
        <v>180</v>
      </c>
      <c r="K58" s="4957" t="s">
        <v>1744</v>
      </c>
      <c r="L58" s="4957"/>
      <c r="M58" s="4968" t="s">
        <v>1826</v>
      </c>
      <c r="N58" s="4968"/>
      <c r="O58" s="4968"/>
      <c r="P58" s="4968"/>
      <c r="Q58" s="4968"/>
      <c r="R58" s="43"/>
      <c r="S58" s="178"/>
      <c r="T58" s="178"/>
      <c r="U58" s="762"/>
      <c r="V58" s="4904" t="str">
        <f>IF(V57=0,"",VLOOKUP(V57,Tabla_PoderesPsi,2,FALSE))</f>
        <v/>
      </c>
      <c r="W58" s="4905"/>
      <c r="X58" s="4905"/>
      <c r="Y58" s="2022" t="s">
        <v>1333</v>
      </c>
      <c r="Z58" s="2023" t="str">
        <f>IF(V57=0,"",VLOOKUP(V57,Tabla_PoderesPsi,3,FALSE))</f>
        <v/>
      </c>
      <c r="AA58" s="4901"/>
      <c r="AB58" s="4903"/>
      <c r="AC58" s="86"/>
      <c r="AD58" s="4859" t="str">
        <f>IF(AD57=0,"",VLOOKUP(AD57,Tabla_PoderesPsi,2,FALSE))</f>
        <v/>
      </c>
      <c r="AE58" s="4860"/>
      <c r="AF58" s="4860"/>
      <c r="AG58" s="2291" t="s">
        <v>1333</v>
      </c>
      <c r="AH58" s="2292" t="str">
        <f>IF(AD57=0,"",VLOOKUP(AD57,Tabla_PoderesPsi,3,FALSE))</f>
        <v/>
      </c>
      <c r="AI58" s="4852"/>
      <c r="AJ58" s="4819"/>
      <c r="AK58" s="4822"/>
      <c r="AL58" s="4815"/>
      <c r="AM58" s="31"/>
      <c r="AO58" s="650"/>
      <c r="AP58" s="650"/>
      <c r="AQ58" s="650"/>
      <c r="AR58" s="1986"/>
      <c r="AS58" s="1986"/>
    </row>
    <row r="59" spans="1:45" ht="12" customHeight="1" thickBot="1" x14ac:dyDescent="0.25">
      <c r="A59" s="31"/>
      <c r="B59" s="762"/>
      <c r="C59" s="4958"/>
      <c r="D59" s="4958"/>
      <c r="E59" s="4958"/>
      <c r="F59" s="4958"/>
      <c r="G59" s="4958"/>
      <c r="H59" s="4958"/>
      <c r="J59" s="102">
        <v>240</v>
      </c>
      <c r="K59" s="4957" t="s">
        <v>1746</v>
      </c>
      <c r="L59" s="4957"/>
      <c r="M59" s="4968" t="s">
        <v>1827</v>
      </c>
      <c r="N59" s="4968"/>
      <c r="O59" s="4968"/>
      <c r="P59" s="4968"/>
      <c r="Q59" s="4968"/>
      <c r="R59" s="43"/>
      <c r="S59" s="178"/>
      <c r="T59" s="178"/>
      <c r="U59" s="762">
        <f>IF(V59=0,0,1)</f>
        <v>0</v>
      </c>
      <c r="V59" s="4877"/>
      <c r="W59" s="4878"/>
      <c r="X59" s="4878"/>
      <c r="Y59" s="4878"/>
      <c r="Z59" s="4879"/>
      <c r="AA59" s="4870"/>
      <c r="AB59" s="4842" t="str">
        <f>IF(AA59=0,"",IF(AA59*10&lt;100,AA59*10,100))</f>
        <v/>
      </c>
      <c r="AD59" s="4843"/>
      <c r="AE59" s="4844"/>
      <c r="AF59" s="4844"/>
      <c r="AG59" s="4844"/>
      <c r="AH59" s="4845"/>
      <c r="AI59" s="4851"/>
      <c r="AJ59" s="4818"/>
      <c r="AK59" s="4821" t="str">
        <f>IF(AD59&lt;&gt;"",INDEX(Tablas!$U$26:$U$38,MAX(MATCH(VLOOKUP(Psíquicos!$AD59,'Tablas psiquica'!$U$7:$AH$110,2,FALSE),Tablas!$U$26:$U$38,0),MAX(SUMPRODUCT(--(Tablas!$T$26:$T$38&lt;=(AL59-20*AI59)))+IF(Tablas!$G$446&gt;0,1,0)+IF(COUNTIF($C$39:$E$50,"Introversión")&gt;0,1,0),SUMPRODUCT(--(Tablas!$T$26:$T$38&lt;=(AL59)))))),"")</f>
        <v/>
      </c>
      <c r="AL59" s="4815">
        <f t="shared" ref="AL59" si="21">$H$11+IF(ISNA(VLOOKUP(AD59,$V$11:$AB$64,7,FALSE)),0,IF(VLOOKUP(AD59,$V$11:$AB$64,7,FALSE)="",0,VLOOKUP(AD59,$V$11:$AB$64,7,FALSE)))+AI59*20+AJ59</f>
        <v>10</v>
      </c>
      <c r="AM59" s="31"/>
      <c r="AO59" s="650"/>
      <c r="AP59" s="650"/>
      <c r="AQ59" s="650"/>
      <c r="AR59" s="1986"/>
      <c r="AS59" s="1986"/>
    </row>
    <row r="60" spans="1:45" ht="12" customHeight="1" thickBot="1" x14ac:dyDescent="0.25">
      <c r="A60" s="31"/>
      <c r="B60" s="762"/>
      <c r="C60" s="4958"/>
      <c r="D60" s="4958"/>
      <c r="E60" s="4958"/>
      <c r="F60" s="4958"/>
      <c r="G60" s="4958"/>
      <c r="H60" s="4958"/>
      <c r="J60" s="102">
        <v>280</v>
      </c>
      <c r="K60" s="4957" t="s">
        <v>1747</v>
      </c>
      <c r="L60" s="4957"/>
      <c r="M60" s="4968" t="s">
        <v>1828</v>
      </c>
      <c r="N60" s="4968"/>
      <c r="O60" s="4968"/>
      <c r="P60" s="4968"/>
      <c r="Q60" s="4968"/>
      <c r="R60" s="43"/>
      <c r="S60" s="178"/>
      <c r="T60" s="178"/>
      <c r="U60" s="762"/>
      <c r="V60" s="4880" t="str">
        <f>IF(V59=0,"",VLOOKUP(V59,Tabla_PoderesPsi,2,FALSE))</f>
        <v/>
      </c>
      <c r="W60" s="4881"/>
      <c r="X60" s="4881"/>
      <c r="Y60" s="1897" t="s">
        <v>1333</v>
      </c>
      <c r="Z60" s="1898" t="str">
        <f>IF(V59=0,"",VLOOKUP(V59,Tabla_PoderesPsi,3,FALSE))</f>
        <v/>
      </c>
      <c r="AA60" s="4870"/>
      <c r="AB60" s="4842"/>
      <c r="AD60" s="4859" t="str">
        <f>IF(AD59=0,"",VLOOKUP(AD59,Tabla_PoderesPsi,2,FALSE))</f>
        <v/>
      </c>
      <c r="AE60" s="4860"/>
      <c r="AF60" s="4860"/>
      <c r="AG60" s="2291" t="s">
        <v>1333</v>
      </c>
      <c r="AH60" s="2292" t="str">
        <f>IF(AD59=0,"",VLOOKUP(AD59,Tabla_PoderesPsi,3,FALSE))</f>
        <v/>
      </c>
      <c r="AI60" s="4852"/>
      <c r="AJ60" s="4819"/>
      <c r="AK60" s="4822"/>
      <c r="AL60" s="4815"/>
      <c r="AM60" s="31"/>
      <c r="AO60" s="650"/>
      <c r="AP60" s="650"/>
      <c r="AQ60" s="650"/>
      <c r="AR60" s="1986"/>
      <c r="AS60" s="1986"/>
    </row>
    <row r="61" spans="1:45" ht="12" customHeight="1" thickBot="1" x14ac:dyDescent="0.25">
      <c r="A61" s="31"/>
      <c r="B61" s="762"/>
      <c r="C61" s="4958"/>
      <c r="D61" s="4958"/>
      <c r="E61" s="4958"/>
      <c r="F61" s="4958"/>
      <c r="G61" s="4958"/>
      <c r="H61" s="4958"/>
      <c r="J61" s="102">
        <v>320</v>
      </c>
      <c r="K61" s="4957" t="s">
        <v>1749</v>
      </c>
      <c r="L61" s="4957"/>
      <c r="M61" s="4968" t="s">
        <v>1464</v>
      </c>
      <c r="N61" s="4968"/>
      <c r="O61" s="4968"/>
      <c r="P61" s="4968"/>
      <c r="Q61" s="4968"/>
      <c r="R61" s="43"/>
      <c r="S61" s="178"/>
      <c r="T61" s="178"/>
      <c r="U61" s="762">
        <f>IF(V61=0,0,1)</f>
        <v>0</v>
      </c>
      <c r="V61" s="4897"/>
      <c r="W61" s="4898"/>
      <c r="X61" s="4898"/>
      <c r="Y61" s="4898"/>
      <c r="Z61" s="4899"/>
      <c r="AA61" s="4900"/>
      <c r="AB61" s="4902" t="str">
        <f>IF(AA61=0,"",IF(AA61*10&lt;100,AA61*10,100))</f>
        <v/>
      </c>
      <c r="AD61" s="4843"/>
      <c r="AE61" s="4844"/>
      <c r="AF61" s="4844"/>
      <c r="AG61" s="4844"/>
      <c r="AH61" s="4845"/>
      <c r="AI61" s="4851"/>
      <c r="AJ61" s="4818"/>
      <c r="AK61" s="4821" t="str">
        <f>IF(AD61&lt;&gt;"",INDEX(Tablas!$U$26:$U$38,MAX(MATCH(VLOOKUP(Psíquicos!$AD61,'Tablas psiquica'!$U$7:$AH$110,2,FALSE),Tablas!$U$26:$U$38,0),MAX(SUMPRODUCT(--(Tablas!$T$26:$T$38&lt;=(AL61-20*AI61)))+IF(Tablas!$G$446&gt;0,1,0)+IF(COUNTIF($C$39:$E$50,"Introversión")&gt;0,1,0),SUMPRODUCT(--(Tablas!$T$26:$T$38&lt;=(AL61)))))),"")</f>
        <v/>
      </c>
      <c r="AL61" s="4815">
        <f t="shared" ref="AL61" si="22">$H$11+IF(ISNA(VLOOKUP(AD61,$V$11:$AB$64,7,FALSE)),0,IF(VLOOKUP(AD61,$V$11:$AB$64,7,FALSE)="",0,VLOOKUP(AD61,$V$11:$AB$64,7,FALSE)))+AI61*20+AJ61</f>
        <v>10</v>
      </c>
      <c r="AM61" s="31"/>
      <c r="AO61" s="650"/>
      <c r="AP61" s="650"/>
      <c r="AQ61" s="650"/>
      <c r="AR61" s="1986"/>
      <c r="AS61" s="1986"/>
    </row>
    <row r="62" spans="1:45" ht="12" customHeight="1" thickBot="1" x14ac:dyDescent="0.25">
      <c r="A62" s="31"/>
      <c r="B62" s="762"/>
      <c r="C62" s="4958"/>
      <c r="D62" s="4958"/>
      <c r="E62" s="4958"/>
      <c r="F62" s="4958"/>
      <c r="G62" s="4958"/>
      <c r="H62" s="4958"/>
      <c r="J62" s="103">
        <v>440</v>
      </c>
      <c r="K62" s="4977" t="s">
        <v>1692</v>
      </c>
      <c r="L62" s="4977"/>
      <c r="M62" s="4971" t="s">
        <v>1464</v>
      </c>
      <c r="N62" s="4971"/>
      <c r="O62" s="4971"/>
      <c r="P62" s="4971"/>
      <c r="Q62" s="4971"/>
      <c r="R62" s="43"/>
      <c r="S62" s="178"/>
      <c r="T62" s="178"/>
      <c r="U62" s="762"/>
      <c r="V62" s="4904" t="str">
        <f>IF(V61=0,"",VLOOKUP(V61,Tabla_PoderesPsi,2,FALSE))</f>
        <v/>
      </c>
      <c r="W62" s="4905"/>
      <c r="X62" s="4905"/>
      <c r="Y62" s="2022" t="s">
        <v>1333</v>
      </c>
      <c r="Z62" s="2023" t="str">
        <f>IF(V61=0,"",VLOOKUP(V61,Tabla_PoderesPsi,3,FALSE))</f>
        <v/>
      </c>
      <c r="AA62" s="4901"/>
      <c r="AB62" s="4903"/>
      <c r="AD62" s="4835" t="str">
        <f>IF(AD61=0,"",VLOOKUP(AD61,Tabla_PoderesPsi,2,FALSE))</f>
        <v/>
      </c>
      <c r="AE62" s="3380"/>
      <c r="AF62" s="3380"/>
      <c r="AG62" s="1239" t="s">
        <v>1333</v>
      </c>
      <c r="AH62" s="2295" t="str">
        <f>IF(AD61=0,"",VLOOKUP(AD61,Tabla_PoderesPsi,3,FALSE))</f>
        <v/>
      </c>
      <c r="AI62" s="4970"/>
      <c r="AJ62" s="4820"/>
      <c r="AK62" s="3841"/>
      <c r="AL62" s="4815"/>
      <c r="AM62" s="31"/>
      <c r="AO62" s="650"/>
      <c r="AP62" s="650"/>
      <c r="AQ62" s="650"/>
      <c r="AR62" s="1986"/>
      <c r="AS62" s="1986"/>
    </row>
    <row r="63" spans="1:45" ht="12" customHeight="1" thickBot="1" x14ac:dyDescent="0.25">
      <c r="A63" s="31"/>
      <c r="B63" s="762"/>
      <c r="C63" s="4958"/>
      <c r="D63" s="4958"/>
      <c r="E63" s="4958"/>
      <c r="F63" s="4958"/>
      <c r="G63" s="4958"/>
      <c r="H63" s="4958"/>
      <c r="J63" s="4974"/>
      <c r="K63" s="4974"/>
      <c r="L63" s="4974"/>
      <c r="M63" s="4974"/>
      <c r="N63" s="4974"/>
      <c r="O63" s="4974"/>
      <c r="P63" s="4974"/>
      <c r="Q63" s="4974"/>
      <c r="R63" s="43"/>
      <c r="S63" s="178"/>
      <c r="T63" s="178"/>
      <c r="U63" s="762">
        <f>IF(V63=0,0,1)</f>
        <v>0</v>
      </c>
      <c r="V63" s="4888"/>
      <c r="W63" s="4889"/>
      <c r="X63" s="4889"/>
      <c r="Y63" s="4889"/>
      <c r="Z63" s="4889"/>
      <c r="AA63" s="4870"/>
      <c r="AB63" s="4842" t="str">
        <f>IF(AA63=0,"",IF(AA63*10&lt;100,AA63*10,100))</f>
        <v/>
      </c>
      <c r="AL63" s="838"/>
      <c r="AM63" s="31"/>
      <c r="AO63" s="650"/>
      <c r="AP63" s="650"/>
      <c r="AQ63" s="650"/>
      <c r="AR63" s="1986"/>
      <c r="AS63" s="1986"/>
    </row>
    <row r="64" spans="1:45" ht="12" customHeight="1" thickBot="1" x14ac:dyDescent="0.25">
      <c r="A64" s="31"/>
      <c r="B64" s="542"/>
      <c r="C64" s="4958"/>
      <c r="D64" s="4958"/>
      <c r="E64" s="4958"/>
      <c r="F64" s="4958"/>
      <c r="G64" s="4958"/>
      <c r="H64" s="4958"/>
      <c r="J64" s="4974"/>
      <c r="K64" s="4974"/>
      <c r="L64" s="4974"/>
      <c r="M64" s="4974"/>
      <c r="N64" s="4974"/>
      <c r="O64" s="4974"/>
      <c r="P64" s="4974"/>
      <c r="Q64" s="4974"/>
      <c r="R64" s="40"/>
      <c r="S64" s="31"/>
      <c r="T64" s="31"/>
      <c r="U64" s="990"/>
      <c r="V64" s="4972" t="str">
        <f>IF(V63=0,"",VLOOKUP(V63,Tabla_PoderesPsi,2,FALSE))</f>
        <v/>
      </c>
      <c r="W64" s="4973"/>
      <c r="X64" s="4973"/>
      <c r="Y64" s="2026" t="s">
        <v>1333</v>
      </c>
      <c r="Z64" s="2027" t="str">
        <f>IF(V63=0,"",VLOOKUP(V63,Tabla_PoderesPsi,3,FALSE))</f>
        <v/>
      </c>
      <c r="AA64" s="4975"/>
      <c r="AB64" s="4976"/>
      <c r="AL64" s="838"/>
      <c r="AM64" s="31"/>
      <c r="AO64" s="650"/>
      <c r="AP64" s="650"/>
      <c r="AQ64" s="650"/>
      <c r="AR64" s="1986" t="str">
        <f t="shared" ref="AR64" si="23">V58</f>
        <v/>
      </c>
      <c r="AS64" s="1986"/>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5"/>
      <c r="AP65" s="1985"/>
      <c r="AQ65" s="650"/>
      <c r="AR65" s="1986"/>
      <c r="AS65" s="198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2758"/>
      <c r="AS66" s="1986"/>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697" priority="179" stopIfTrue="1" operator="greaterThan">
      <formula>$C$12</formula>
    </cfRule>
  </conditionalFormatting>
  <conditionalFormatting sqref="AD12:AF12">
    <cfRule type="expression" dxfId="696" priority="122" stopIfTrue="1">
      <formula>NOT(OR(I1047915=$C$25,I1047915=$C$27,I1047915=$C$29,I1047915=$C$31,I1047915=$C$33,I1047915=$C$35))</formula>
    </cfRule>
  </conditionalFormatting>
  <conditionalFormatting sqref="AI17:AI18">
    <cfRule type="expression" dxfId="695" priority="5995">
      <formula>$AI17&gt;5</formula>
    </cfRule>
  </conditionalFormatting>
  <conditionalFormatting sqref="AN9:AQ13">
    <cfRule type="expression" dxfId="694" priority="7086" stopIfTrue="1">
      <formula>$AS$7</formula>
    </cfRule>
  </conditionalFormatting>
  <conditionalFormatting sqref="AD17:AH17">
    <cfRule type="expression" dxfId="693" priority="68">
      <formula>COUNTIF($V$11:$Z$64,$AD17)=0</formula>
    </cfRule>
  </conditionalFormatting>
  <conditionalFormatting sqref="AK17:AK18">
    <cfRule type="expression" dxfId="692" priority="67" stopIfTrue="1">
      <formula>COUNTIF($V$11:$Z$64,$AD17)=0</formula>
    </cfRule>
  </conditionalFormatting>
  <conditionalFormatting sqref="AI19:AI20">
    <cfRule type="expression" dxfId="691" priority="66">
      <formula>$AI19&gt;5</formula>
    </cfRule>
  </conditionalFormatting>
  <conditionalFormatting sqref="AD19:AH19">
    <cfRule type="expression" dxfId="690" priority="65">
      <formula>COUNTIF($V$11:$Z$64,$AD19)=0</formula>
    </cfRule>
  </conditionalFormatting>
  <conditionalFormatting sqref="AK19:AK20">
    <cfRule type="expression" dxfId="689" priority="64" stopIfTrue="1">
      <formula>COUNTIF($V$11:$Z$64,$AD19)=0</formula>
    </cfRule>
  </conditionalFormatting>
  <conditionalFormatting sqref="AI21:AI22">
    <cfRule type="expression" dxfId="688" priority="63">
      <formula>$AI21&gt;5</formula>
    </cfRule>
  </conditionalFormatting>
  <conditionalFormatting sqref="AD21:AH21">
    <cfRule type="expression" dxfId="687" priority="62">
      <formula>COUNTIF($V$11:$Z$64,$AD21)=0</formula>
    </cfRule>
  </conditionalFormatting>
  <conditionalFormatting sqref="AK21:AK22">
    <cfRule type="expression" dxfId="686" priority="61" stopIfTrue="1">
      <formula>COUNTIF($V$11:$Z$64,$AD21)=0</formula>
    </cfRule>
  </conditionalFormatting>
  <conditionalFormatting sqref="AI23:AI24">
    <cfRule type="expression" dxfId="685" priority="60">
      <formula>$AI23&gt;5</formula>
    </cfRule>
  </conditionalFormatting>
  <conditionalFormatting sqref="AD23:AH23">
    <cfRule type="expression" dxfId="684" priority="59">
      <formula>COUNTIF($V$11:$Z$64,$AD23)=0</formula>
    </cfRule>
  </conditionalFormatting>
  <conditionalFormatting sqref="AK23:AK24">
    <cfRule type="expression" dxfId="683" priority="58" stopIfTrue="1">
      <formula>COUNTIF($V$11:$Z$64,$AD23)=0</formula>
    </cfRule>
  </conditionalFormatting>
  <conditionalFormatting sqref="AI25:AI26">
    <cfRule type="expression" dxfId="682" priority="57">
      <formula>$AI25&gt;5</formula>
    </cfRule>
  </conditionalFormatting>
  <conditionalFormatting sqref="AD25:AH25">
    <cfRule type="expression" dxfId="681" priority="56">
      <formula>COUNTIF($V$11:$Z$64,$AD25)=0</formula>
    </cfRule>
  </conditionalFormatting>
  <conditionalFormatting sqref="AK25:AK26">
    <cfRule type="expression" dxfId="680" priority="55" stopIfTrue="1">
      <formula>COUNTIF($V$11:$Z$64,$AD25)=0</formula>
    </cfRule>
  </conditionalFormatting>
  <conditionalFormatting sqref="AI27:AI28">
    <cfRule type="expression" dxfId="679" priority="54">
      <formula>$AI27&gt;5</formula>
    </cfRule>
  </conditionalFormatting>
  <conditionalFormatting sqref="AD27:AH27">
    <cfRule type="expression" dxfId="678" priority="53">
      <formula>COUNTIF($V$11:$Z$64,$AD27)=0</formula>
    </cfRule>
  </conditionalFormatting>
  <conditionalFormatting sqref="AK27:AK28">
    <cfRule type="expression" dxfId="677" priority="52" stopIfTrue="1">
      <formula>COUNTIF($V$11:$Z$64,$AD27)=0</formula>
    </cfRule>
  </conditionalFormatting>
  <conditionalFormatting sqref="AI29:AI30">
    <cfRule type="expression" dxfId="676" priority="51">
      <formula>$AI29&gt;5</formula>
    </cfRule>
  </conditionalFormatting>
  <conditionalFormatting sqref="AD29:AH29">
    <cfRule type="expression" dxfId="675" priority="50">
      <formula>COUNTIF($V$11:$Z$64,$AD29)=0</formula>
    </cfRule>
  </conditionalFormatting>
  <conditionalFormatting sqref="AK29:AK30">
    <cfRule type="expression" dxfId="674" priority="49" stopIfTrue="1">
      <formula>COUNTIF($V$11:$Z$64,$AD29)=0</formula>
    </cfRule>
  </conditionalFormatting>
  <conditionalFormatting sqref="AI31:AI32">
    <cfRule type="expression" dxfId="673" priority="48">
      <formula>$AI31&gt;5</formula>
    </cfRule>
  </conditionalFormatting>
  <conditionalFormatting sqref="AD31:AH31">
    <cfRule type="expression" dxfId="672" priority="47">
      <formula>COUNTIF($V$11:$Z$64,$AD31)=0</formula>
    </cfRule>
  </conditionalFormatting>
  <conditionalFormatting sqref="AK31:AK32">
    <cfRule type="expression" dxfId="671" priority="46" stopIfTrue="1">
      <formula>COUNTIF($V$11:$Z$64,$AD31)=0</formula>
    </cfRule>
  </conditionalFormatting>
  <conditionalFormatting sqref="AI33:AI34">
    <cfRule type="expression" dxfId="670" priority="45">
      <formula>$AI33&gt;5</formula>
    </cfRule>
  </conditionalFormatting>
  <conditionalFormatting sqref="AD33:AH33">
    <cfRule type="expression" dxfId="669" priority="44">
      <formula>COUNTIF($V$11:$Z$64,$AD33)=0</formula>
    </cfRule>
  </conditionalFormatting>
  <conditionalFormatting sqref="AK33:AK34">
    <cfRule type="expression" dxfId="668" priority="43" stopIfTrue="1">
      <formula>COUNTIF($V$11:$Z$64,$AD33)=0</formula>
    </cfRule>
  </conditionalFormatting>
  <conditionalFormatting sqref="AI35:AI36">
    <cfRule type="expression" dxfId="667" priority="42">
      <formula>$AI35&gt;5</formula>
    </cfRule>
  </conditionalFormatting>
  <conditionalFormatting sqref="AD35:AH35">
    <cfRule type="expression" dxfId="666" priority="41">
      <formula>COUNTIF($V$11:$Z$64,$AD35)=0</formula>
    </cfRule>
  </conditionalFormatting>
  <conditionalFormatting sqref="AK35:AK36">
    <cfRule type="expression" dxfId="665" priority="40" stopIfTrue="1">
      <formula>COUNTIF($V$11:$Z$64,$AD35)=0</formula>
    </cfRule>
  </conditionalFormatting>
  <conditionalFormatting sqref="AI37:AI38">
    <cfRule type="expression" dxfId="664" priority="39">
      <formula>$AI37&gt;5</formula>
    </cfRule>
  </conditionalFormatting>
  <conditionalFormatting sqref="AD37:AH37">
    <cfRule type="expression" dxfId="663" priority="38">
      <formula>COUNTIF($V$11:$Z$64,$AD37)=0</formula>
    </cfRule>
  </conditionalFormatting>
  <conditionalFormatting sqref="AK37:AK38">
    <cfRule type="expression" dxfId="662" priority="37" stopIfTrue="1">
      <formula>COUNTIF($V$11:$Z$64,$AD37)=0</formula>
    </cfRule>
  </conditionalFormatting>
  <conditionalFormatting sqref="AI39:AI40">
    <cfRule type="expression" dxfId="661" priority="36">
      <formula>$AI39&gt;5</formula>
    </cfRule>
  </conditionalFormatting>
  <conditionalFormatting sqref="AD39:AH39">
    <cfRule type="expression" dxfId="660" priority="35">
      <formula>COUNTIF($V$11:$Z$64,$AD39)=0</formula>
    </cfRule>
  </conditionalFormatting>
  <conditionalFormatting sqref="AK39:AK40">
    <cfRule type="expression" dxfId="659" priority="34" stopIfTrue="1">
      <formula>COUNTIF($V$11:$Z$64,$AD39)=0</formula>
    </cfRule>
  </conditionalFormatting>
  <conditionalFormatting sqref="AI41:AI42">
    <cfRule type="expression" dxfId="658" priority="33">
      <formula>$AI41&gt;5</formula>
    </cfRule>
  </conditionalFormatting>
  <conditionalFormatting sqref="AD41:AH41">
    <cfRule type="expression" dxfId="657" priority="32">
      <formula>COUNTIF($V$11:$Z$64,$AD41)=0</formula>
    </cfRule>
  </conditionalFormatting>
  <conditionalFormatting sqref="AK41:AK42">
    <cfRule type="expression" dxfId="656" priority="31" stopIfTrue="1">
      <formula>COUNTIF($V$11:$Z$64,$AD41)=0</formula>
    </cfRule>
  </conditionalFormatting>
  <conditionalFormatting sqref="AI43:AI44">
    <cfRule type="expression" dxfId="655" priority="30">
      <formula>$AI43&gt;5</formula>
    </cfRule>
  </conditionalFormatting>
  <conditionalFormatting sqref="AD43:AH43">
    <cfRule type="expression" dxfId="654" priority="29">
      <formula>COUNTIF($V$11:$Z$64,$AD43)=0</formula>
    </cfRule>
  </conditionalFormatting>
  <conditionalFormatting sqref="AK43:AK44">
    <cfRule type="expression" dxfId="653" priority="28" stopIfTrue="1">
      <formula>COUNTIF($V$11:$Z$64,$AD43)=0</formula>
    </cfRule>
  </conditionalFormatting>
  <conditionalFormatting sqref="AI45:AI46">
    <cfRule type="expression" dxfId="652" priority="27">
      <formula>$AI45&gt;5</formula>
    </cfRule>
  </conditionalFormatting>
  <conditionalFormatting sqref="AD45:AH45">
    <cfRule type="expression" dxfId="651" priority="26">
      <formula>COUNTIF($V$11:$Z$64,$AD45)=0</formula>
    </cfRule>
  </conditionalFormatting>
  <conditionalFormatting sqref="AK45:AK46">
    <cfRule type="expression" dxfId="650" priority="25" stopIfTrue="1">
      <formula>COUNTIF($V$11:$Z$64,$AD45)=0</formula>
    </cfRule>
  </conditionalFormatting>
  <conditionalFormatting sqref="AI47:AI48">
    <cfRule type="expression" dxfId="649" priority="24">
      <formula>$AI47&gt;5</formula>
    </cfRule>
  </conditionalFormatting>
  <conditionalFormatting sqref="AD47:AH47">
    <cfRule type="expression" dxfId="648" priority="23">
      <formula>COUNTIF($V$11:$Z$64,$AD47)=0</formula>
    </cfRule>
  </conditionalFormatting>
  <conditionalFormatting sqref="AK47:AK48">
    <cfRule type="expression" dxfId="647" priority="22" stopIfTrue="1">
      <formula>COUNTIF($V$11:$Z$64,$AD47)=0</formula>
    </cfRule>
  </conditionalFormatting>
  <conditionalFormatting sqref="AI49:AI50">
    <cfRule type="expression" dxfId="646" priority="21">
      <formula>$AI49&gt;5</formula>
    </cfRule>
  </conditionalFormatting>
  <conditionalFormatting sqref="AD49:AH49">
    <cfRule type="expression" dxfId="645" priority="20">
      <formula>COUNTIF($V$11:$Z$64,$AD49)=0</formula>
    </cfRule>
  </conditionalFormatting>
  <conditionalFormatting sqref="AK49:AK50">
    <cfRule type="expression" dxfId="644" priority="19" stopIfTrue="1">
      <formula>COUNTIF($V$11:$Z$64,$AD49)=0</formula>
    </cfRule>
  </conditionalFormatting>
  <conditionalFormatting sqref="AI51:AI52">
    <cfRule type="expression" dxfId="643" priority="18">
      <formula>$AI51&gt;5</formula>
    </cfRule>
  </conditionalFormatting>
  <conditionalFormatting sqref="AD51:AH51">
    <cfRule type="expression" dxfId="642" priority="17">
      <formula>COUNTIF($V$11:$Z$64,$AD51)=0</formula>
    </cfRule>
  </conditionalFormatting>
  <conditionalFormatting sqref="AK51:AK52">
    <cfRule type="expression" dxfId="641" priority="16" stopIfTrue="1">
      <formula>COUNTIF($V$11:$Z$64,$AD51)=0</formula>
    </cfRule>
  </conditionalFormatting>
  <conditionalFormatting sqref="AI53:AI54">
    <cfRule type="expression" dxfId="640" priority="15">
      <formula>$AI53&gt;5</formula>
    </cfRule>
  </conditionalFormatting>
  <conditionalFormatting sqref="AD53:AH53">
    <cfRule type="expression" dxfId="639" priority="14">
      <formula>COUNTIF($V$11:$Z$64,$AD53)=0</formula>
    </cfRule>
  </conditionalFormatting>
  <conditionalFormatting sqref="AK53:AK54">
    <cfRule type="expression" dxfId="638" priority="13" stopIfTrue="1">
      <formula>COUNTIF($V$11:$Z$64,$AD53)=0</formula>
    </cfRule>
  </conditionalFormatting>
  <conditionalFormatting sqref="AI55:AI56">
    <cfRule type="expression" dxfId="637" priority="12">
      <formula>$AI55&gt;5</formula>
    </cfRule>
  </conditionalFormatting>
  <conditionalFormatting sqref="AD55:AH55">
    <cfRule type="expression" dxfId="636" priority="11">
      <formula>COUNTIF($V$11:$Z$64,$AD55)=0</formula>
    </cfRule>
  </conditionalFormatting>
  <conditionalFormatting sqref="AK55:AK56">
    <cfRule type="expression" dxfId="635" priority="10" stopIfTrue="1">
      <formula>COUNTIF($V$11:$Z$64,$AD55)=0</formula>
    </cfRule>
  </conditionalFormatting>
  <conditionalFormatting sqref="AI57:AI58">
    <cfRule type="expression" dxfId="634" priority="9">
      <formula>$AI57&gt;5</formula>
    </cfRule>
  </conditionalFormatting>
  <conditionalFormatting sqref="AD57:AH57">
    <cfRule type="expression" dxfId="633" priority="8">
      <formula>COUNTIF($V$11:$Z$64,$AD57)=0</formula>
    </cfRule>
  </conditionalFormatting>
  <conditionalFormatting sqref="AK57:AK58">
    <cfRule type="expression" dxfId="632" priority="7" stopIfTrue="1">
      <formula>COUNTIF($V$11:$Z$64,$AD57)=0</formula>
    </cfRule>
  </conditionalFormatting>
  <conditionalFormatting sqref="AI59:AI60">
    <cfRule type="expression" dxfId="631" priority="6">
      <formula>$AI59&gt;5</formula>
    </cfRule>
  </conditionalFormatting>
  <conditionalFormatting sqref="AD59:AH59">
    <cfRule type="expression" dxfId="630" priority="5">
      <formula>COUNTIF($V$11:$Z$64,$AD59)=0</formula>
    </cfRule>
  </conditionalFormatting>
  <conditionalFormatting sqref="AK59:AK60">
    <cfRule type="expression" dxfId="629" priority="4" stopIfTrue="1">
      <formula>COUNTIF($V$11:$Z$64,$AD59)=0</formula>
    </cfRule>
  </conditionalFormatting>
  <conditionalFormatting sqref="AI61:AI62">
    <cfRule type="expression" dxfId="628" priority="3">
      <formula>$AI61&gt;5</formula>
    </cfRule>
  </conditionalFormatting>
  <conditionalFormatting sqref="AD61:AH61">
    <cfRule type="expression" dxfId="627" priority="2">
      <formula>COUNTIF($V$11:$Z$64,$AD61)=0</formula>
    </cfRule>
  </conditionalFormatting>
  <conditionalFormatting sqref="AK61:AK62">
    <cfRule type="expression" dxfId="62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G11" sqref="G11:G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2755" t="s">
        <v>9024</v>
      </c>
      <c r="AM1" s="2007"/>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2007"/>
      <c r="AM2" s="2007"/>
    </row>
    <row r="3" spans="1:39" ht="12" customHeight="1" thickBot="1" x14ac:dyDescent="0.25">
      <c r="A3" s="31"/>
      <c r="B3" s="542"/>
      <c r="C3" s="4824"/>
      <c r="D3" s="4825"/>
      <c r="E3" s="4825"/>
      <c r="F3" s="4825"/>
      <c r="G3" s="4825"/>
      <c r="H3" s="4825"/>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2007"/>
      <c r="AM3" s="2007"/>
    </row>
    <row r="4" spans="1:39" ht="12" customHeight="1" thickBot="1" x14ac:dyDescent="0.25">
      <c r="A4" s="31"/>
      <c r="B4" s="542"/>
      <c r="C4" s="4826"/>
      <c r="D4" s="3023"/>
      <c r="E4" s="3023"/>
      <c r="F4" s="3023"/>
      <c r="G4" s="3023"/>
      <c r="H4" s="3023"/>
      <c r="I4" s="10"/>
      <c r="J4" s="3024" t="s">
        <v>1331</v>
      </c>
      <c r="K4" s="3024"/>
      <c r="L4" s="3025" t="str">
        <f>IF(OR(General!$F$22="",General!$F$22=0),"",General!$F$22)</f>
        <v/>
      </c>
      <c r="M4" s="3025"/>
      <c r="N4" s="3025"/>
      <c r="O4" s="3025"/>
      <c r="P4" s="3025"/>
      <c r="Q4" s="1064"/>
      <c r="R4" s="1064"/>
      <c r="S4" s="1064"/>
      <c r="T4" s="1064"/>
      <c r="U4" s="1064"/>
      <c r="V4" s="1064"/>
      <c r="W4" s="1064"/>
      <c r="X4" s="1064"/>
      <c r="Y4" s="1064"/>
      <c r="Z4" s="1064"/>
      <c r="AA4" s="1064"/>
      <c r="AB4" s="1064"/>
      <c r="AC4" s="1064"/>
      <c r="AD4" s="1064"/>
      <c r="AE4" s="1064"/>
      <c r="AF4" s="1064"/>
      <c r="AG4" s="1064"/>
      <c r="AH4" s="1064"/>
      <c r="AI4" s="1069"/>
      <c r="AJ4" s="838"/>
      <c r="AK4" s="649"/>
      <c r="AL4" s="2007"/>
      <c r="AM4" s="2007"/>
    </row>
    <row r="5" spans="1:39" ht="12" customHeight="1" thickBot="1" x14ac:dyDescent="0.25">
      <c r="A5" s="31"/>
      <c r="B5" s="542"/>
      <c r="C5" s="4826"/>
      <c r="D5" s="3023"/>
      <c r="E5" s="3023"/>
      <c r="F5" s="3023"/>
      <c r="G5" s="3023"/>
      <c r="H5" s="3023"/>
      <c r="I5" s="10"/>
      <c r="J5" s="3017" t="s">
        <v>1332</v>
      </c>
      <c r="K5" s="3017"/>
      <c r="L5" s="2838" t="str">
        <f>PDs!$J$8</f>
        <v>Novel</v>
      </c>
      <c r="M5" s="2838"/>
      <c r="N5" s="2838"/>
      <c r="O5" s="2605" t="s">
        <v>1333</v>
      </c>
      <c r="P5" s="2593" t="str">
        <f>Principal!$O$6</f>
        <v>1</v>
      </c>
      <c r="Q5" s="1063"/>
      <c r="R5" s="1063"/>
      <c r="S5" s="1063"/>
      <c r="T5" s="1063"/>
      <c r="U5" s="1063"/>
      <c r="V5" s="1063"/>
      <c r="W5" s="1063"/>
      <c r="X5" s="1063"/>
      <c r="Y5" s="1063"/>
      <c r="Z5" s="1063"/>
      <c r="AA5" s="1063"/>
      <c r="AB5" s="1063"/>
      <c r="AC5" s="1063"/>
      <c r="AD5" s="1063"/>
      <c r="AE5" s="1063"/>
      <c r="AF5" s="1063"/>
      <c r="AG5" s="1063"/>
      <c r="AH5" s="1063"/>
      <c r="AI5" s="1065"/>
      <c r="AJ5" s="838"/>
      <c r="AK5" s="649"/>
      <c r="AL5" s="2007"/>
      <c r="AM5" s="2007"/>
    </row>
    <row r="6" spans="1:39" ht="12" customHeight="1" thickBot="1" x14ac:dyDescent="0.25">
      <c r="A6" s="31"/>
      <c r="B6" s="542"/>
      <c r="C6" s="4826"/>
      <c r="D6" s="3023"/>
      <c r="E6" s="3023"/>
      <c r="F6" s="3023"/>
      <c r="G6" s="3023"/>
      <c r="H6" s="3023"/>
      <c r="I6" s="10"/>
      <c r="J6" s="3018" t="s">
        <v>1829</v>
      </c>
      <c r="K6" s="3018"/>
      <c r="L6" s="3018"/>
      <c r="M6" s="3018"/>
      <c r="N6" s="3018"/>
      <c r="O6" s="3018"/>
      <c r="P6" s="3018"/>
      <c r="Q6" s="1063"/>
      <c r="R6" s="1063"/>
      <c r="S6" s="1063"/>
      <c r="T6" s="1063"/>
      <c r="U6" s="1063"/>
      <c r="V6" s="1063"/>
      <c r="W6" s="1063"/>
      <c r="X6" s="1063"/>
      <c r="Y6" s="1063"/>
      <c r="Z6" s="1063"/>
      <c r="AA6" s="1063"/>
      <c r="AB6" s="1063"/>
      <c r="AC6" s="1063"/>
      <c r="AD6" s="1063"/>
      <c r="AE6" s="1063"/>
      <c r="AF6" s="1063"/>
      <c r="AG6" s="1063"/>
      <c r="AH6" s="1063"/>
      <c r="AI6" s="1065"/>
      <c r="AJ6" s="838"/>
      <c r="AK6" s="649"/>
      <c r="AL6" s="2007"/>
      <c r="AM6" s="2007"/>
    </row>
    <row r="7" spans="1:39" ht="12" customHeight="1" thickBot="1" x14ac:dyDescent="0.25">
      <c r="A7" s="31"/>
      <c r="B7" s="542"/>
      <c r="C7" s="4826"/>
      <c r="D7" s="3023"/>
      <c r="E7" s="3023"/>
      <c r="F7" s="3023"/>
      <c r="G7" s="3023"/>
      <c r="H7" s="3023"/>
      <c r="I7" s="10"/>
      <c r="J7" s="3018"/>
      <c r="K7" s="3018"/>
      <c r="L7" s="3018"/>
      <c r="M7" s="3018"/>
      <c r="N7" s="3018"/>
      <c r="O7" s="3018"/>
      <c r="P7" s="3018"/>
      <c r="Q7" s="1063"/>
      <c r="R7" s="1063"/>
      <c r="S7" s="1063"/>
      <c r="T7" s="1063"/>
      <c r="U7" s="1063"/>
      <c r="V7" s="1063"/>
      <c r="W7" s="1063"/>
      <c r="X7" s="1063"/>
      <c r="Y7" s="1063"/>
      <c r="Z7" s="1063"/>
      <c r="AA7" s="1063"/>
      <c r="AB7" s="1063"/>
      <c r="AC7" s="1063"/>
      <c r="AD7" s="1063"/>
      <c r="AE7" s="1063"/>
      <c r="AF7" s="1063"/>
      <c r="AG7" s="1063"/>
      <c r="AH7" s="1063"/>
      <c r="AI7" s="1065"/>
      <c r="AJ7" s="838"/>
      <c r="AK7" s="649"/>
      <c r="AL7" s="2007"/>
      <c r="AM7" s="2007"/>
    </row>
    <row r="8" spans="1:39" ht="12" customHeight="1" thickBot="1" x14ac:dyDescent="0.25">
      <c r="A8" s="31"/>
      <c r="B8" s="542"/>
      <c r="C8" s="4827"/>
      <c r="D8" s="4828"/>
      <c r="E8" s="4828"/>
      <c r="F8" s="4828"/>
      <c r="G8" s="4828"/>
      <c r="H8" s="4828"/>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2007" t="s">
        <v>7562</v>
      </c>
      <c r="AM8" s="2007" t="s">
        <v>7563</v>
      </c>
    </row>
    <row r="9" spans="1:39" ht="12" customHeight="1" thickBot="1" x14ac:dyDescent="0.25">
      <c r="A9" s="31"/>
      <c r="B9" s="542"/>
      <c r="R9" s="23"/>
      <c r="U9" s="23"/>
      <c r="AJ9" s="838"/>
      <c r="AK9" s="649"/>
      <c r="AL9" s="2007" t="str">
        <f>IF(ISNUMBER(MATCH($C$11,Lista_LuzyOscuridad,0)),$C$11,"ElanPersonalizado")</f>
        <v>Zemial</v>
      </c>
      <c r="AM9" s="2007" t="str">
        <f>IF(ISNUMBER(MATCH($U$11,Lista_LuzyOscuridad,0)),$U$11,"ElanPersonalizado")</f>
        <v>ElanPersonalizado</v>
      </c>
    </row>
    <row r="10" spans="1:39" ht="12" customHeight="1" thickBot="1" x14ac:dyDescent="0.25">
      <c r="A10" s="31"/>
      <c r="B10" s="542"/>
      <c r="C10" s="4978" t="s">
        <v>1829</v>
      </c>
      <c r="D10" s="4979"/>
      <c r="E10" s="4979"/>
      <c r="F10" s="4979"/>
      <c r="G10" s="4980"/>
      <c r="I10" s="2944" t="str">
        <f>"Modificadores Elan: "&amp;C11</f>
        <v>Modificadores Elan: Zemial</v>
      </c>
      <c r="J10" s="2945"/>
      <c r="K10" s="2945"/>
      <c r="L10" s="2945"/>
      <c r="M10" s="2945"/>
      <c r="N10" s="2945"/>
      <c r="O10" s="2945"/>
      <c r="P10" s="2945"/>
      <c r="Q10" s="2946"/>
      <c r="R10" s="23"/>
      <c r="S10" s="1245"/>
      <c r="U10" s="4978" t="s">
        <v>1829</v>
      </c>
      <c r="V10" s="4979"/>
      <c r="W10" s="4979"/>
      <c r="X10" s="4979"/>
      <c r="Y10" s="4980"/>
      <c r="AA10" s="3026" t="str">
        <f>"Modificadores Elan: "&amp;U11</f>
        <v xml:space="preserve">Modificadores Elan: </v>
      </c>
      <c r="AB10" s="3027"/>
      <c r="AC10" s="3027"/>
      <c r="AD10" s="3027"/>
      <c r="AE10" s="3027"/>
      <c r="AF10" s="3027"/>
      <c r="AG10" s="3027"/>
      <c r="AH10" s="3027"/>
      <c r="AI10" s="3028"/>
      <c r="AJ10" s="838"/>
      <c r="AK10" s="649"/>
      <c r="AL10" s="2007"/>
      <c r="AM10" s="2007"/>
    </row>
    <row r="11" spans="1:39" ht="12" customHeight="1" thickBot="1" x14ac:dyDescent="0.25">
      <c r="A11" s="31"/>
      <c r="B11" s="542"/>
      <c r="C11" s="4993" t="s">
        <v>6560</v>
      </c>
      <c r="D11" s="4994"/>
      <c r="E11" s="4994"/>
      <c r="F11" s="4994"/>
      <c r="G11" s="4995">
        <v>20</v>
      </c>
      <c r="I11" s="4989" t="s">
        <v>6761</v>
      </c>
      <c r="J11" s="4990"/>
      <c r="K11" s="4990"/>
      <c r="L11" s="4990"/>
      <c r="M11" s="4990"/>
      <c r="N11" s="4991"/>
      <c r="O11" s="4992" t="s">
        <v>6763</v>
      </c>
      <c r="P11" s="4990"/>
      <c r="Q11" s="4473"/>
      <c r="R11" s="23"/>
      <c r="S11" s="1245"/>
      <c r="U11" s="4981"/>
      <c r="V11" s="4982"/>
      <c r="W11" s="4982"/>
      <c r="X11" s="4983"/>
      <c r="Y11" s="4987"/>
      <c r="AA11" s="4989" t="s">
        <v>6761</v>
      </c>
      <c r="AB11" s="4990"/>
      <c r="AC11" s="4990"/>
      <c r="AD11" s="4990"/>
      <c r="AE11" s="4990"/>
      <c r="AF11" s="4991"/>
      <c r="AG11" s="4992" t="s">
        <v>6763</v>
      </c>
      <c r="AH11" s="4990"/>
      <c r="AI11" s="4473"/>
      <c r="AJ11" s="838"/>
      <c r="AK11" s="649"/>
      <c r="AL11" s="2007" t="s">
        <v>8568</v>
      </c>
      <c r="AM11" s="2007"/>
    </row>
    <row r="12" spans="1:39" ht="12" customHeight="1" x14ac:dyDescent="0.2">
      <c r="A12" s="31"/>
      <c r="B12" s="542"/>
      <c r="C12" s="4993"/>
      <c r="D12" s="4994"/>
      <c r="E12" s="4994"/>
      <c r="F12" s="4994"/>
      <c r="G12" s="4995"/>
      <c r="I12" s="4996" t="str">
        <f>IF(C$11="","",INDEX(Tabla_ModElan,MATCH(C$11,INDEX(Tabla_ModElan,,1),0)+Tablas!$A1,1))</f>
        <v>Matar a una persona sin razón alguna</v>
      </c>
      <c r="J12" s="4997"/>
      <c r="K12" s="4997"/>
      <c r="L12" s="4997"/>
      <c r="M12" s="4998"/>
      <c r="N12" s="1080">
        <f t="shared" ref="N12:N18" si="0">IF(I12="","",INDEX(Tabla_ModElan,MATCH(I12,INDEX(Tabla_ModElan,,1),0),2))</f>
        <v>1</v>
      </c>
      <c r="O12" s="4999" t="str">
        <f>IF(C$11="","",INDEX(Tabla_ModElan,MATCH(C$11,INDEX(Tabla_ModElan,,1),0)+Tablas!$A1,5))</f>
        <v>Salvar una vida conscientemente</v>
      </c>
      <c r="P12" s="5000"/>
      <c r="Q12" s="5004">
        <f>IF(O12="","",INDEX(Tabla_ModElan,MATCH(O12,INDEX(Tabla_ModElan,,5),0),6))</f>
        <v>-3</v>
      </c>
      <c r="R12" s="23"/>
      <c r="S12" s="1245"/>
      <c r="U12" s="4984"/>
      <c r="V12" s="4985"/>
      <c r="W12" s="4985"/>
      <c r="X12" s="4986"/>
      <c r="Y12" s="4988"/>
      <c r="AA12" s="4996" t="str">
        <f>IF(U$11="","",INDEX(Tabla_ModElan,MATCH(U$11,INDEX(Tabla_ModElan,,1),0)+Tablas!$A1,1))</f>
        <v/>
      </c>
      <c r="AB12" s="4997"/>
      <c r="AC12" s="4997"/>
      <c r="AD12" s="4997"/>
      <c r="AE12" s="4998"/>
      <c r="AF12" s="1080" t="str">
        <f t="shared" ref="AF12:AF18" si="1">IF(AA12="","",INDEX(Tabla_ModElan,MATCH(AA12,INDEX(Tabla_ModElan,,1),0),2))</f>
        <v/>
      </c>
      <c r="AG12" s="4999" t="str">
        <f>IF(U$11="","",INDEX(Tabla_ModElan,MATCH(U$11,INDEX(Tabla_ModElan,,1),0)+Tablas!$A1,5))</f>
        <v/>
      </c>
      <c r="AH12" s="5000"/>
      <c r="AI12" s="5004" t="str">
        <f>IF(AG12="","",INDEX(Tabla_ModElan,MATCH(AG12,INDEX(Tabla_ModElan,,5),0),6))</f>
        <v/>
      </c>
      <c r="AJ12" s="838"/>
      <c r="AK12" s="649"/>
      <c r="AL12" s="2007" t="s">
        <v>7565</v>
      </c>
      <c r="AM12" s="2007" t="s">
        <v>7566</v>
      </c>
    </row>
    <row r="13" spans="1:39" ht="12" customHeight="1" x14ac:dyDescent="0.2">
      <c r="A13" s="31"/>
      <c r="B13" s="542"/>
      <c r="C13" s="4528"/>
      <c r="D13" s="4529"/>
      <c r="E13" s="4529"/>
      <c r="F13" s="4529"/>
      <c r="G13" s="866" t="str">
        <f t="shared" ref="G13:G25" si="2">IF(C13="","",VLOOKUP(C13,Tabla_Elan,5,FALSE))</f>
        <v/>
      </c>
      <c r="I13" s="5008" t="str">
        <f>IF(C$11="","",INDEX(Tabla_ModElan,MATCH(C$11,INDEX(Tabla_ModElan,,1),0)+Tablas!$A2,1))</f>
        <v xml:space="preserve">Matar a una gran multitud sin razón </v>
      </c>
      <c r="J13" s="3527"/>
      <c r="K13" s="3527"/>
      <c r="L13" s="3527"/>
      <c r="M13" s="5009"/>
      <c r="N13" s="1081">
        <f t="shared" si="0"/>
        <v>5</v>
      </c>
      <c r="O13" s="5001"/>
      <c r="P13" s="5002"/>
      <c r="Q13" s="5005"/>
      <c r="R13" s="23"/>
      <c r="S13" s="1245"/>
      <c r="U13" s="4528"/>
      <c r="V13" s="4529"/>
      <c r="W13" s="4529"/>
      <c r="X13" s="4529"/>
      <c r="Y13" s="866" t="str">
        <f t="shared" ref="Y13:Y25" si="3">IF(U13="","",VLOOKUP(U13,Tabla_Elan,5,FALSE))</f>
        <v/>
      </c>
      <c r="AA13" s="5008" t="str">
        <f>IF(U$11="","",INDEX(Tabla_ModElan,MATCH(U$11,INDEX(Tabla_ModElan,,1),0)+Tablas!$A2,1))</f>
        <v/>
      </c>
      <c r="AB13" s="3527"/>
      <c r="AC13" s="3527"/>
      <c r="AD13" s="3527"/>
      <c r="AE13" s="5009"/>
      <c r="AF13" s="1081" t="str">
        <f t="shared" si="1"/>
        <v/>
      </c>
      <c r="AG13" s="5001"/>
      <c r="AH13" s="5002"/>
      <c r="AI13" s="5005"/>
      <c r="AJ13" s="838"/>
      <c r="AK13" s="649"/>
      <c r="AL13" s="2007" t="b">
        <f>IF(OR($G$11="",Elan!C13=""),FALSE,$G$11&lt;VLOOKUP(C13,Tabla_Elan,3,FALSE))</f>
        <v>0</v>
      </c>
      <c r="AM13" s="2007" t="b">
        <f>IF(OR($Y$11="",Elan!U13=""),FALSE,$Y$11&lt;VLOOKUP(U13,Tabla_Elan,3,FALSE))</f>
        <v>0</v>
      </c>
    </row>
    <row r="14" spans="1:39" ht="12" customHeight="1" x14ac:dyDescent="0.2">
      <c r="A14" s="31"/>
      <c r="B14" s="542"/>
      <c r="C14" s="5010"/>
      <c r="D14" s="5011"/>
      <c r="E14" s="5011"/>
      <c r="F14" s="5011"/>
      <c r="G14" s="867" t="str">
        <f t="shared" si="2"/>
        <v/>
      </c>
      <c r="H14" s="1203" t="s">
        <v>2701</v>
      </c>
      <c r="I14" s="5008" t="str">
        <f>IF(C$11="","",INDEX(Tabla_ModElan,MATCH(C$11,INDEX(Tabla_ModElan,,1),0)+Tablas!$A3,1))</f>
        <v>Incitar a la gente a matar sin motivo</v>
      </c>
      <c r="J14" s="3527"/>
      <c r="K14" s="3527"/>
      <c r="L14" s="3527"/>
      <c r="M14" s="5009"/>
      <c r="N14" s="1081">
        <f t="shared" si="0"/>
        <v>2</v>
      </c>
      <c r="O14" s="5003"/>
      <c r="P14" s="3029"/>
      <c r="Q14" s="5006"/>
      <c r="R14" s="23"/>
      <c r="S14" s="1245"/>
      <c r="U14" s="5010"/>
      <c r="V14" s="5011"/>
      <c r="W14" s="5011"/>
      <c r="X14" s="5011"/>
      <c r="Y14" s="867" t="str">
        <f t="shared" si="3"/>
        <v/>
      </c>
      <c r="Z14" s="1203" t="s">
        <v>2701</v>
      </c>
      <c r="AA14" s="5008" t="str">
        <f>IF(U$11="","",INDEX(Tabla_ModElan,MATCH(U$11,INDEX(Tabla_ModElan,,1),0)+Tablas!$A3,1))</f>
        <v/>
      </c>
      <c r="AB14" s="3527"/>
      <c r="AC14" s="3527"/>
      <c r="AD14" s="3527"/>
      <c r="AE14" s="5009"/>
      <c r="AF14" s="1081" t="str">
        <f t="shared" si="1"/>
        <v/>
      </c>
      <c r="AG14" s="5007"/>
      <c r="AH14" s="3029"/>
      <c r="AI14" s="5006"/>
      <c r="AJ14" s="838"/>
      <c r="AK14" s="649"/>
      <c r="AL14" s="2007" t="b">
        <f>IF(OR($G$11="",Elan!C14=""),FALSE,$G$11&lt;VLOOKUP(C14,Tabla_Elan,3,FALSE))</f>
        <v>0</v>
      </c>
      <c r="AM14" s="2007" t="b">
        <f>IF(OR($Y$11="",Elan!U14=""),FALSE,$Y$11&lt;VLOOKUP(U14,Tabla_Elan,3,FALSE))</f>
        <v>0</v>
      </c>
    </row>
    <row r="15" spans="1:39" ht="12" customHeight="1" x14ac:dyDescent="0.2">
      <c r="A15" s="31"/>
      <c r="B15" s="542"/>
      <c r="C15" s="4486"/>
      <c r="D15" s="4487"/>
      <c r="E15" s="4487"/>
      <c r="F15" s="4487"/>
      <c r="G15" s="868" t="str">
        <f t="shared" si="2"/>
        <v/>
      </c>
      <c r="H15" s="1203" t="s">
        <v>2699</v>
      </c>
      <c r="I15" s="5008" t="str">
        <f>IF(C$11="","",INDEX(Tabla_ModElan,MATCH(C$11,INDEX(Tabla_ModElan,,1),0)+Tablas!$A4,1))</f>
        <v>Perder la cordura (si Elan &gt; 10)</v>
      </c>
      <c r="J15" s="3527"/>
      <c r="K15" s="3527"/>
      <c r="L15" s="3527"/>
      <c r="M15" s="5009"/>
      <c r="N15" s="1081">
        <f t="shared" si="0"/>
        <v>5</v>
      </c>
      <c r="O15" s="4999" t="str">
        <f>IF(C$11="","",INDEX(Tabla_ModElan,MATCH(C$11,INDEX(Tabla_ModElan,,1),0)+Tablas!$A2,5))</f>
        <v>Detener una masacre</v>
      </c>
      <c r="P15" s="5000"/>
      <c r="Q15" s="5004">
        <f>IF(O15="","",INDEX(Tabla_ModElan,MATCH(O15,INDEX(Tabla_ModElan,,5),0),6))</f>
        <v>-5</v>
      </c>
      <c r="R15" s="23"/>
      <c r="S15" s="1245"/>
      <c r="U15" s="4486"/>
      <c r="V15" s="4487"/>
      <c r="W15" s="4487"/>
      <c r="X15" s="4487"/>
      <c r="Y15" s="868" t="str">
        <f t="shared" si="3"/>
        <v/>
      </c>
      <c r="Z15" s="1203" t="s">
        <v>2699</v>
      </c>
      <c r="AA15" s="5008" t="str">
        <f>IF(U$11="","",INDEX(Tabla_ModElan,MATCH(U$11,INDEX(Tabla_ModElan,,1),0)+Tablas!$A4,1))</f>
        <v/>
      </c>
      <c r="AB15" s="3527"/>
      <c r="AC15" s="3527"/>
      <c r="AD15" s="3527"/>
      <c r="AE15" s="5009"/>
      <c r="AF15" s="1081" t="str">
        <f t="shared" si="1"/>
        <v/>
      </c>
      <c r="AG15" s="4999" t="str">
        <f>IF(U$11="","",INDEX(Tabla_ModElan,MATCH(U$11,INDEX(Tabla_ModElan,,1),0)+Tablas!$A2,5))</f>
        <v/>
      </c>
      <c r="AH15" s="5000"/>
      <c r="AI15" s="5004" t="str">
        <f>IF(AG15="","",INDEX(Tabla_ModElan,MATCH(AG15,INDEX(Tabla_ModElan,,5),0),6))</f>
        <v/>
      </c>
      <c r="AJ15" s="838"/>
      <c r="AK15" s="649"/>
      <c r="AL15" s="2007" t="b">
        <f>IF(OR($G$11="",Elan!C15=""),FALSE,$G$11&lt;VLOOKUP(C15,Tabla_Elan,3,FALSE))</f>
        <v>0</v>
      </c>
      <c r="AM15" s="2007" t="b">
        <f>IF(OR($Y$11="",Elan!U15=""),FALSE,$Y$11&lt;VLOOKUP(U15,Tabla_Elan,3,FALSE))</f>
        <v>0</v>
      </c>
    </row>
    <row r="16" spans="1:39" ht="12" customHeight="1" x14ac:dyDescent="0.2">
      <c r="A16" s="31"/>
      <c r="B16" s="542"/>
      <c r="C16" s="5010"/>
      <c r="D16" s="5011"/>
      <c r="E16" s="5011"/>
      <c r="F16" s="5011"/>
      <c r="G16" s="867" t="str">
        <f t="shared" si="2"/>
        <v/>
      </c>
      <c r="I16" s="5008" t="str">
        <f>IF(C$11="","",INDEX(Tabla_ModElan,MATCH(C$11,INDEX(Tabla_ModElan,,1),0)+Tablas!$A5,1))</f>
        <v>Volver a alguien loco</v>
      </c>
      <c r="J16" s="3527"/>
      <c r="K16" s="3527"/>
      <c r="L16" s="3527"/>
      <c r="M16" s="5009"/>
      <c r="N16" s="1081">
        <f t="shared" si="0"/>
        <v>1</v>
      </c>
      <c r="O16" s="5001"/>
      <c r="P16" s="5002"/>
      <c r="Q16" s="5005"/>
      <c r="R16" s="23"/>
      <c r="S16" s="1245"/>
      <c r="U16" s="5010"/>
      <c r="V16" s="5011"/>
      <c r="W16" s="5011"/>
      <c r="X16" s="5011"/>
      <c r="Y16" s="867" t="str">
        <f t="shared" si="3"/>
        <v/>
      </c>
      <c r="AA16" s="5008" t="str">
        <f>IF(U$11="","",INDEX(Tabla_ModElan,MATCH(U$11,INDEX(Tabla_ModElan,,1),0)+Tablas!$A5,1))</f>
        <v/>
      </c>
      <c r="AB16" s="3527"/>
      <c r="AC16" s="3527"/>
      <c r="AD16" s="3527"/>
      <c r="AE16" s="5009"/>
      <c r="AF16" s="1081" t="str">
        <f t="shared" si="1"/>
        <v/>
      </c>
      <c r="AG16" s="5001"/>
      <c r="AH16" s="5002"/>
      <c r="AI16" s="5005"/>
      <c r="AJ16" s="838"/>
      <c r="AK16" s="649"/>
      <c r="AL16" s="2007" t="b">
        <f>IF(OR($G$11="",Elan!C16=""),FALSE,$G$11&lt;VLOOKUP(C16,Tabla_Elan,3,FALSE))</f>
        <v>0</v>
      </c>
      <c r="AM16" s="2007" t="b">
        <f>IF(OR($Y$11="",Elan!U16=""),FALSE,$Y$11&lt;VLOOKUP(U16,Tabla_Elan,3,FALSE))</f>
        <v>0</v>
      </c>
    </row>
    <row r="17" spans="1:39" ht="12" customHeight="1" x14ac:dyDescent="0.2">
      <c r="A17" s="31"/>
      <c r="B17" s="542"/>
      <c r="C17" s="4486"/>
      <c r="D17" s="4487"/>
      <c r="E17" s="4487"/>
      <c r="F17" s="4487"/>
      <c r="G17" s="868" t="str">
        <f t="shared" si="2"/>
        <v/>
      </c>
      <c r="I17" s="5008" t="str">
        <f>IF(C$11="","",INDEX(Tabla_ModElan,MATCH(C$11,INDEX(Tabla_ModElan,,1),0)+Tablas!$A6,1))</f>
        <v>Actuar de un modo autodestructivo</v>
      </c>
      <c r="J17" s="3527"/>
      <c r="K17" s="3527"/>
      <c r="L17" s="3527"/>
      <c r="M17" s="5009"/>
      <c r="N17" s="1081">
        <f t="shared" si="0"/>
        <v>2</v>
      </c>
      <c r="O17" s="5003"/>
      <c r="P17" s="3029"/>
      <c r="Q17" s="5006"/>
      <c r="R17" s="23"/>
      <c r="S17" s="1245"/>
      <c r="U17" s="4486"/>
      <c r="V17" s="4487"/>
      <c r="W17" s="4487"/>
      <c r="X17" s="4487"/>
      <c r="Y17" s="868" t="str">
        <f t="shared" si="3"/>
        <v/>
      </c>
      <c r="AA17" s="5008" t="str">
        <f>IF(U$11="","",INDEX(Tabla_ModElan,MATCH(U$11,INDEX(Tabla_ModElan,,1),0)+Tablas!$A6,1))</f>
        <v/>
      </c>
      <c r="AB17" s="3527"/>
      <c r="AC17" s="3527"/>
      <c r="AD17" s="3527"/>
      <c r="AE17" s="5009"/>
      <c r="AF17" s="1081" t="str">
        <f t="shared" si="1"/>
        <v/>
      </c>
      <c r="AG17" s="5003"/>
      <c r="AH17" s="3029"/>
      <c r="AI17" s="5006"/>
      <c r="AJ17" s="838"/>
      <c r="AK17" s="649"/>
      <c r="AL17" s="2007" t="b">
        <f>IF(OR($G$11="",Elan!C17=""),FALSE,$G$11&lt;VLOOKUP(C17,Tabla_Elan,3,FALSE))</f>
        <v>0</v>
      </c>
      <c r="AM17" s="2007" t="b">
        <f>IF(OR($Y$11="",Elan!U17=""),FALSE,$Y$11&lt;VLOOKUP(U17,Tabla_Elan,3,FALSE))</f>
        <v>0</v>
      </c>
    </row>
    <row r="18" spans="1:39" ht="12" customHeight="1" x14ac:dyDescent="0.2">
      <c r="A18" s="31"/>
      <c r="B18" s="542"/>
      <c r="C18" s="5010"/>
      <c r="D18" s="5011"/>
      <c r="E18" s="5011"/>
      <c r="F18" s="5011"/>
      <c r="G18" s="867" t="str">
        <f t="shared" si="2"/>
        <v/>
      </c>
      <c r="I18" s="5015">
        <f>IF(C$11="","",INDEX(Tabla_ModElan,MATCH(C$11,INDEX(Tabla_ModElan,,1),0)+Tablas!$A7,1))</f>
        <v>0</v>
      </c>
      <c r="J18" s="5016"/>
      <c r="K18" s="5016"/>
      <c r="L18" s="5016"/>
      <c r="M18" s="5017"/>
      <c r="N18" s="1081">
        <f t="shared" si="0"/>
        <v>0</v>
      </c>
      <c r="O18" s="4999" t="str">
        <f>IF(C$11="","",INDEX(Tabla_ModElan,MATCH(C$11,INDEX(Tabla_ModElan,,1),0)+Tablas!$A3,5))</f>
        <v>Mostrar preocupación por el bienestar propio</v>
      </c>
      <c r="P18" s="5000"/>
      <c r="Q18" s="5004">
        <f>IF(O18="","",INDEX(Tabla_ModElan,MATCH(O18,INDEX(Tabla_ModElan,,5),0),6))</f>
        <v>-2</v>
      </c>
      <c r="R18" s="23"/>
      <c r="S18" s="1245"/>
      <c r="U18" s="5010"/>
      <c r="V18" s="5011"/>
      <c r="W18" s="5011"/>
      <c r="X18" s="5011"/>
      <c r="Y18" s="867" t="str">
        <f t="shared" si="3"/>
        <v/>
      </c>
      <c r="AA18" s="5015" t="str">
        <f>IF(U$11="","",INDEX(Tabla_ModElan,MATCH(U$11,INDEX(Tabla_ModElan,,1),0)+Tablas!$A7,1))</f>
        <v/>
      </c>
      <c r="AB18" s="5016"/>
      <c r="AC18" s="5016"/>
      <c r="AD18" s="5016"/>
      <c r="AE18" s="5017"/>
      <c r="AF18" s="1081" t="str">
        <f t="shared" si="1"/>
        <v/>
      </c>
      <c r="AG18" s="4999" t="str">
        <f>IF(U$11="","",INDEX(Tabla_ModElan,MATCH(U$11,INDEX(Tabla_ModElan,,1),0)+Tablas!$A3,5))</f>
        <v/>
      </c>
      <c r="AH18" s="5000"/>
      <c r="AI18" s="5004" t="str">
        <f>IF(AG18="","",INDEX(Tabla_ModElan,MATCH(AG18,INDEX(Tabla_ModElan,,5),0),6))</f>
        <v/>
      </c>
      <c r="AJ18" s="838"/>
      <c r="AK18" s="649"/>
      <c r="AL18" s="2007" t="b">
        <f>IF(OR($G$11="",Elan!C18=""),FALSE,$G$11&lt;VLOOKUP(C18,Tabla_Elan,3,FALSE))</f>
        <v>0</v>
      </c>
      <c r="AM18" s="2007" t="b">
        <f>IF(OR($Y$11="",Elan!U18=""),FALSE,$Y$11&lt;VLOOKUP(U18,Tabla_Elan,3,FALSE))</f>
        <v>0</v>
      </c>
    </row>
    <row r="19" spans="1:39" ht="12" customHeight="1" x14ac:dyDescent="0.2">
      <c r="A19" s="31"/>
      <c r="B19" s="542"/>
      <c r="C19" s="4486"/>
      <c r="D19" s="4487"/>
      <c r="E19" s="4487"/>
      <c r="F19" s="4487"/>
      <c r="G19" s="868" t="str">
        <f t="shared" si="2"/>
        <v/>
      </c>
      <c r="I19" s="5012" t="s">
        <v>6762</v>
      </c>
      <c r="J19" s="5013"/>
      <c r="K19" s="5013"/>
      <c r="L19" s="5013"/>
      <c r="M19" s="5013"/>
      <c r="N19" s="5014"/>
      <c r="O19" s="5001"/>
      <c r="P19" s="5002"/>
      <c r="Q19" s="5005"/>
      <c r="R19" s="23"/>
      <c r="S19" s="1245"/>
      <c r="U19" s="4486"/>
      <c r="V19" s="4487"/>
      <c r="W19" s="4487"/>
      <c r="X19" s="4487"/>
      <c r="Y19" s="868" t="str">
        <f t="shared" si="3"/>
        <v/>
      </c>
      <c r="AA19" s="5012" t="s">
        <v>6762</v>
      </c>
      <c r="AB19" s="5013"/>
      <c r="AC19" s="5013"/>
      <c r="AD19" s="5013"/>
      <c r="AE19" s="5013"/>
      <c r="AF19" s="5014"/>
      <c r="AG19" s="5001"/>
      <c r="AH19" s="5002"/>
      <c r="AI19" s="5005"/>
      <c r="AJ19" s="838"/>
      <c r="AK19" s="649"/>
      <c r="AL19" s="2007" t="b">
        <f>IF(OR($G$11="",Elan!C19=""),FALSE,$G$11&lt;VLOOKUP(C19,Tabla_Elan,3,FALSE))</f>
        <v>0</v>
      </c>
      <c r="AM19" s="2007" t="b">
        <f>IF(OR($Y$11="",Elan!U19=""),FALSE,$Y$11&lt;VLOOKUP(U19,Tabla_Elan,3,FALSE))</f>
        <v>0</v>
      </c>
    </row>
    <row r="20" spans="1:39" ht="12" customHeight="1" x14ac:dyDescent="0.2">
      <c r="A20" s="31"/>
      <c r="B20" s="542"/>
      <c r="C20" s="5010"/>
      <c r="D20" s="5011"/>
      <c r="E20" s="5011"/>
      <c r="F20" s="5011"/>
      <c r="G20" s="869" t="str">
        <f t="shared" si="2"/>
        <v/>
      </c>
      <c r="I20" s="4996" t="str">
        <f>IF(C$11="","",INDEX(Tabla_ModElan,MATCH(C$11,INDEX(Tabla_ModElan,,1),0)+Tablas!$A1,3))</f>
        <v>Exterminar una raza</v>
      </c>
      <c r="J20" s="4997"/>
      <c r="K20" s="4997"/>
      <c r="L20" s="4997"/>
      <c r="M20" s="4998"/>
      <c r="N20" s="1080">
        <f t="shared" ref="N20:N26" si="4">IFERROR(INDEX(Tabla_ModElan,MATCH(I20,INDEX(Tabla_ModElan,,3),0),4),"")</f>
        <v>5</v>
      </c>
      <c r="O20" s="5003"/>
      <c r="P20" s="3029"/>
      <c r="Q20" s="5006"/>
      <c r="R20" s="23"/>
      <c r="S20" s="1245"/>
      <c r="U20" s="5010"/>
      <c r="V20" s="5011"/>
      <c r="W20" s="5011"/>
      <c r="X20" s="5011"/>
      <c r="Y20" s="869" t="str">
        <f t="shared" si="3"/>
        <v/>
      </c>
      <c r="AA20" s="4996" t="str">
        <f>IF(U$11="","",INDEX(Tabla_ModElan,MATCH(U$11,INDEX(Tabla_ModElan,,1),0)+Tablas!$A1,3))</f>
        <v/>
      </c>
      <c r="AB20" s="4997"/>
      <c r="AC20" s="4997"/>
      <c r="AD20" s="4997"/>
      <c r="AE20" s="4998"/>
      <c r="AF20" s="1080" t="str">
        <f t="shared" ref="AF20:AF26" si="5">IFERROR(INDEX(Tabla_ModElan,MATCH(AA20,INDEX(Tabla_ModElan,,3),0),4),"")</f>
        <v/>
      </c>
      <c r="AG20" s="5003"/>
      <c r="AH20" s="3029"/>
      <c r="AI20" s="5006"/>
      <c r="AJ20" s="838"/>
      <c r="AK20" s="649"/>
      <c r="AL20" s="2007" t="b">
        <f>IF(OR($G$11="",Elan!C20=""),FALSE,$G$11&lt;VLOOKUP(C20,Tabla_Elan,3,FALSE))</f>
        <v>0</v>
      </c>
      <c r="AM20" s="2007" t="b">
        <f>IF(OR($Y$11="",Elan!U20=""),FALSE,$Y$11&lt;VLOOKUP(U20,Tabla_Elan,3,FALSE))</f>
        <v>0</v>
      </c>
    </row>
    <row r="21" spans="1:39" ht="12" customHeight="1" x14ac:dyDescent="0.2">
      <c r="A21" s="31"/>
      <c r="B21" s="542"/>
      <c r="C21" s="4486"/>
      <c r="D21" s="4487"/>
      <c r="E21" s="4487"/>
      <c r="F21" s="4487"/>
      <c r="G21" s="868" t="str">
        <f t="shared" si="2"/>
        <v/>
      </c>
      <c r="I21" s="5008" t="str">
        <f>IF(C$11="","",INDEX(Tabla_ModElan,MATCH(C$11,INDEX(Tabla_ModElan,,1),0)+Tablas!$A2,3))</f>
        <v>Provocar una gran masacre sin motivo</v>
      </c>
      <c r="J21" s="3527"/>
      <c r="K21" s="3527"/>
      <c r="L21" s="3527"/>
      <c r="M21" s="3527"/>
      <c r="N21" s="1081">
        <f t="shared" si="4"/>
        <v>2</v>
      </c>
      <c r="O21" s="4999">
        <f>IF(C$11="","",INDEX(Tabla_ModElan,MATCH(C$11,INDEX(Tabla_ModElan,,1),0)+Tablas!$A4,5))</f>
        <v>0</v>
      </c>
      <c r="P21" s="5000"/>
      <c r="Q21" s="5004">
        <f>IF(O21="","",INDEX(Tabla_ModElan,MATCH(O21,INDEX(Tabla_ModElan,,5),0),6))</f>
        <v>0</v>
      </c>
      <c r="R21" s="23"/>
      <c r="S21" s="1245"/>
      <c r="U21" s="4486"/>
      <c r="V21" s="4487"/>
      <c r="W21" s="4487"/>
      <c r="X21" s="4487"/>
      <c r="Y21" s="868" t="str">
        <f t="shared" si="3"/>
        <v/>
      </c>
      <c r="AA21" s="5008" t="str">
        <f>IF(U$11="","",INDEX(Tabla_ModElan,MATCH(U$11,INDEX(Tabla_ModElan,,1),0)+Tablas!$A2,3))</f>
        <v/>
      </c>
      <c r="AB21" s="3527"/>
      <c r="AC21" s="3527"/>
      <c r="AD21" s="3527"/>
      <c r="AE21" s="3527"/>
      <c r="AF21" s="1081" t="str">
        <f t="shared" si="5"/>
        <v/>
      </c>
      <c r="AG21" s="4999" t="str">
        <f>IF(U$11="","",INDEX(Tabla_ModElan,MATCH(U$11,INDEX(Tabla_ModElan,,1),0)+Tablas!$A4,5))</f>
        <v/>
      </c>
      <c r="AH21" s="5000"/>
      <c r="AI21" s="5004" t="str">
        <f>IF(AG21="","",INDEX(Tabla_ModElan,MATCH(AG21,INDEX(Tabla_ModElan,,5),0),6))</f>
        <v/>
      </c>
      <c r="AJ21" s="838"/>
      <c r="AK21" s="649"/>
      <c r="AL21" s="2007" t="b">
        <f>IF(OR($G$11="",Elan!C21=""),FALSE,$G$11&lt;VLOOKUP(C21,Tabla_Elan,3,FALSE))</f>
        <v>0</v>
      </c>
      <c r="AM21" s="2007" t="b">
        <f>IF(OR($Y$11="",Elan!U21=""),FALSE,$Y$11&lt;VLOOKUP(U21,Tabla_Elan,3,FALSE))</f>
        <v>0</v>
      </c>
    </row>
    <row r="22" spans="1:39" ht="12" customHeight="1" x14ac:dyDescent="0.2">
      <c r="A22" s="31"/>
      <c r="B22" s="542"/>
      <c r="C22" s="5010"/>
      <c r="D22" s="5011"/>
      <c r="E22" s="5011"/>
      <c r="F22" s="5011"/>
      <c r="G22" s="869" t="str">
        <f t="shared" si="2"/>
        <v/>
      </c>
      <c r="I22" s="5008" t="str">
        <f>IF(C$11="","",INDEX(Tabla_ModElan,MATCH(C$11,INDEX(Tabla_ModElan,,1),0)+Tablas!$A3,3))</f>
        <v>Destruir una nación o principado</v>
      </c>
      <c r="J22" s="3527"/>
      <c r="K22" s="3527"/>
      <c r="L22" s="3527"/>
      <c r="M22" s="3527"/>
      <c r="N22" s="1081">
        <f t="shared" si="4"/>
        <v>3</v>
      </c>
      <c r="O22" s="5001"/>
      <c r="P22" s="5002"/>
      <c r="Q22" s="5005"/>
      <c r="R22" s="23"/>
      <c r="S22" s="1245"/>
      <c r="U22" s="5010"/>
      <c r="V22" s="5011"/>
      <c r="W22" s="5011"/>
      <c r="X22" s="5011"/>
      <c r="Y22" s="869" t="str">
        <f t="shared" si="3"/>
        <v/>
      </c>
      <c r="AA22" s="5008" t="str">
        <f>IF(U$11="","",INDEX(Tabla_ModElan,MATCH(U$11,INDEX(Tabla_ModElan,,1),0)+Tablas!$A3,3))</f>
        <v/>
      </c>
      <c r="AB22" s="3527"/>
      <c r="AC22" s="3527"/>
      <c r="AD22" s="3527"/>
      <c r="AE22" s="3527"/>
      <c r="AF22" s="1081" t="str">
        <f t="shared" si="5"/>
        <v/>
      </c>
      <c r="AG22" s="5001"/>
      <c r="AH22" s="5002"/>
      <c r="AI22" s="5005"/>
      <c r="AJ22" s="838"/>
      <c r="AK22" s="649"/>
      <c r="AL22" s="2007" t="b">
        <f>IF(OR($G$11="",Elan!C22=""),FALSE,$G$11&lt;VLOOKUP(C22,Tabla_Elan,3,FALSE))</f>
        <v>0</v>
      </c>
      <c r="AM22" s="2007" t="b">
        <f>IF(OR($Y$11="",Elan!U22=""),FALSE,$Y$11&lt;VLOOKUP(U22,Tabla_Elan,3,FALSE))</f>
        <v>0</v>
      </c>
    </row>
    <row r="23" spans="1:39" ht="12" customHeight="1" x14ac:dyDescent="0.2">
      <c r="A23" s="31"/>
      <c r="B23" s="542"/>
      <c r="C23" s="4486"/>
      <c r="D23" s="4487"/>
      <c r="E23" s="4487"/>
      <c r="F23" s="4487"/>
      <c r="G23" s="868" t="str">
        <f t="shared" si="2"/>
        <v/>
      </c>
      <c r="I23" s="5008" t="str">
        <f>IF(C$11="","",INDEX(Tabla_ModElan,MATCH(C$11,INDEX(Tabla_ModElan,,1),0)+Tablas!$A4,3))</f>
        <v>Buscar la muerte</v>
      </c>
      <c r="J23" s="3527"/>
      <c r="K23" s="3527"/>
      <c r="L23" s="3527"/>
      <c r="M23" s="3527"/>
      <c r="N23" s="1081">
        <f t="shared" si="4"/>
        <v>1</v>
      </c>
      <c r="O23" s="5003"/>
      <c r="P23" s="3029"/>
      <c r="Q23" s="5006"/>
      <c r="R23" s="23"/>
      <c r="S23" s="1245"/>
      <c r="U23" s="4486"/>
      <c r="V23" s="4487"/>
      <c r="W23" s="4487"/>
      <c r="X23" s="4487"/>
      <c r="Y23" s="868" t="str">
        <f t="shared" si="3"/>
        <v/>
      </c>
      <c r="AA23" s="5008" t="str">
        <f>IF(U$11="","",INDEX(Tabla_ModElan,MATCH(U$11,INDEX(Tabla_ModElan,,1),0)+Tablas!$A4,3))</f>
        <v/>
      </c>
      <c r="AB23" s="3527"/>
      <c r="AC23" s="3527"/>
      <c r="AD23" s="3527"/>
      <c r="AE23" s="3527"/>
      <c r="AF23" s="1081" t="str">
        <f t="shared" si="5"/>
        <v/>
      </c>
      <c r="AG23" s="5003"/>
      <c r="AH23" s="3029"/>
      <c r="AI23" s="5006"/>
      <c r="AJ23" s="838"/>
      <c r="AK23" s="649"/>
      <c r="AL23" s="2007" t="b">
        <f>IF(OR($G$11="",Elan!C23=""),FALSE,$G$11&lt;VLOOKUP(C23,Tabla_Elan,3,FALSE))</f>
        <v>0</v>
      </c>
      <c r="AM23" s="2007" t="b">
        <f>IF(OR($Y$11="",Elan!U23=""),FALSE,$Y$11&lt;VLOOKUP(U23,Tabla_Elan,3,FALSE))</f>
        <v>0</v>
      </c>
    </row>
    <row r="24" spans="1:39" ht="12" customHeight="1" x14ac:dyDescent="0.2">
      <c r="A24" s="31"/>
      <c r="B24" s="542"/>
      <c r="C24" s="5010"/>
      <c r="D24" s="5011"/>
      <c r="E24" s="5011"/>
      <c r="F24" s="5011"/>
      <c r="G24" s="869" t="str">
        <f t="shared" si="2"/>
        <v/>
      </c>
      <c r="I24" s="5008">
        <f>IF(C$11="","",INDEX(Tabla_ModElan,MATCH(C$11,INDEX(Tabla_ModElan,,1),0)+Tablas!$A5,3))</f>
        <v>0</v>
      </c>
      <c r="J24" s="3527"/>
      <c r="K24" s="3527"/>
      <c r="L24" s="3527"/>
      <c r="M24" s="3527"/>
      <c r="N24" s="1081">
        <f t="shared" si="4"/>
        <v>0</v>
      </c>
      <c r="O24" s="4999">
        <f>IF(C$11="","",INDEX(Tabla_ModElan,MATCH(C$11,INDEX(Tabla_ModElan,,1),0)+Tablas!$A5,5))</f>
        <v>0</v>
      </c>
      <c r="P24" s="5000"/>
      <c r="Q24" s="5004">
        <f>IF(O24="","",INDEX(Tabla_ModElan,MATCH(O24,INDEX(Tabla_ModElan,,5),0),6))</f>
        <v>0</v>
      </c>
      <c r="R24" s="23"/>
      <c r="S24" s="1245"/>
      <c r="U24" s="5010"/>
      <c r="V24" s="5011"/>
      <c r="W24" s="5011"/>
      <c r="X24" s="5011"/>
      <c r="Y24" s="869" t="str">
        <f t="shared" si="3"/>
        <v/>
      </c>
      <c r="AA24" s="5008" t="str">
        <f>IF(U$11="","",INDEX(Tabla_ModElan,MATCH(U$11,INDEX(Tabla_ModElan,,1),0)+Tablas!$A5,3))</f>
        <v/>
      </c>
      <c r="AB24" s="3527"/>
      <c r="AC24" s="3527"/>
      <c r="AD24" s="3527"/>
      <c r="AE24" s="3527"/>
      <c r="AF24" s="1081" t="str">
        <f t="shared" si="5"/>
        <v/>
      </c>
      <c r="AG24" s="4999" t="str">
        <f>IF(U$11="","",INDEX(Tabla_ModElan,MATCH(U$11,INDEX(Tabla_ModElan,,1),0)+Tablas!$A5,5))</f>
        <v/>
      </c>
      <c r="AH24" s="5000"/>
      <c r="AI24" s="5004" t="str">
        <f>IF(AG24="","",INDEX(Tabla_ModElan,MATCH(AG24,INDEX(Tabla_ModElan,,5),0),6))</f>
        <v/>
      </c>
      <c r="AJ24" s="838"/>
      <c r="AK24" s="649"/>
      <c r="AL24" s="2007" t="b">
        <f>IF(OR($G$11="",Elan!C24=""),FALSE,$G$11&lt;VLOOKUP(C24,Tabla_Elan,3,FALSE))</f>
        <v>0</v>
      </c>
      <c r="AM24" s="2007" t="b">
        <f>IF(OR($Y$11="",Elan!U24=""),FALSE,$Y$11&lt;VLOOKUP(U24,Tabla_Elan,3,FALSE))</f>
        <v>0</v>
      </c>
    </row>
    <row r="25" spans="1:39" ht="12" customHeight="1" x14ac:dyDescent="0.2">
      <c r="A25" s="31"/>
      <c r="B25" s="542"/>
      <c r="C25" s="4486"/>
      <c r="D25" s="4487"/>
      <c r="E25" s="4487"/>
      <c r="F25" s="4487"/>
      <c r="G25" s="868" t="str">
        <f t="shared" si="2"/>
        <v/>
      </c>
      <c r="I25" s="5008">
        <f>IF(C$11="","",INDEX(Tabla_ModElan,MATCH(C$11,INDEX(Tabla_ModElan,,1),0)+Tablas!$A6,3))</f>
        <v>0</v>
      </c>
      <c r="J25" s="3527"/>
      <c r="K25" s="3527"/>
      <c r="L25" s="3527"/>
      <c r="M25" s="3527"/>
      <c r="N25" s="1081">
        <f t="shared" si="4"/>
        <v>0</v>
      </c>
      <c r="O25" s="5001"/>
      <c r="P25" s="5002"/>
      <c r="Q25" s="5005"/>
      <c r="R25" s="23"/>
      <c r="S25" s="1245"/>
      <c r="U25" s="4486"/>
      <c r="V25" s="4487"/>
      <c r="W25" s="4487"/>
      <c r="X25" s="4487"/>
      <c r="Y25" s="868" t="str">
        <f t="shared" si="3"/>
        <v/>
      </c>
      <c r="AA25" s="5008" t="s">
        <v>2843</v>
      </c>
      <c r="AB25" s="3527"/>
      <c r="AC25" s="3527"/>
      <c r="AD25" s="3527"/>
      <c r="AE25" s="3527"/>
      <c r="AF25" s="1081" t="str">
        <f t="shared" si="5"/>
        <v/>
      </c>
      <c r="AG25" s="5001"/>
      <c r="AH25" s="5002"/>
      <c r="AI25" s="5005"/>
      <c r="AJ25" s="838"/>
      <c r="AK25" s="649"/>
      <c r="AL25" s="2007" t="b">
        <f>IF(OR($G$11="",Elan!C25=""),FALSE,$G$11&lt;VLOOKUP(C25,Tabla_Elan,3,FALSE))</f>
        <v>0</v>
      </c>
      <c r="AM25" s="2007" t="b">
        <f>IF(OR($Y$11="",Elan!U25=""),FALSE,$Y$11&lt;VLOOKUP(U25,Tabla_Elan,3,FALSE))</f>
        <v>0</v>
      </c>
    </row>
    <row r="26" spans="1:39" ht="12" customHeight="1" thickBot="1" x14ac:dyDescent="0.25">
      <c r="A26" s="31"/>
      <c r="B26" s="542"/>
      <c r="C26" s="5018" t="str">
        <f>IF(SUM(G13:G25)&gt;G11,"Exceso de Elán utilizado","")</f>
        <v/>
      </c>
      <c r="D26" s="5019"/>
      <c r="E26" s="5019"/>
      <c r="F26" s="5019"/>
      <c r="G26" s="5020"/>
      <c r="I26" s="5021">
        <f>IF(C$11="","",INDEX(Tabla_ModElan,MATCH(C$11,INDEX(Tabla_ModElan,,1),0)+Tablas!$A7,3))</f>
        <v>0</v>
      </c>
      <c r="J26" s="3045"/>
      <c r="K26" s="3045"/>
      <c r="L26" s="3045"/>
      <c r="M26" s="3045"/>
      <c r="N26" s="1082">
        <f t="shared" si="4"/>
        <v>0</v>
      </c>
      <c r="O26" s="5022"/>
      <c r="P26" s="5023"/>
      <c r="Q26" s="5024"/>
      <c r="R26" s="23"/>
      <c r="S26" s="1245"/>
      <c r="U26" s="5018" t="str">
        <f>IF(SUM(Y13:Y25)&gt;Y11,"Exceso de Elán utilizado","")</f>
        <v/>
      </c>
      <c r="V26" s="5019"/>
      <c r="W26" s="5019"/>
      <c r="X26" s="5019"/>
      <c r="Y26" s="5020"/>
      <c r="AA26" s="5021" t="str">
        <f>IF(U$11="","",INDEX(Tabla_ModElan,MATCH(U$11,INDEX(Tabla_ModElan,,1),0)+Tablas!$A7,3))</f>
        <v/>
      </c>
      <c r="AB26" s="3045"/>
      <c r="AC26" s="3045"/>
      <c r="AD26" s="3045"/>
      <c r="AE26" s="3045"/>
      <c r="AF26" s="1082" t="str">
        <f t="shared" si="5"/>
        <v/>
      </c>
      <c r="AG26" s="5022"/>
      <c r="AH26" s="5023"/>
      <c r="AI26" s="5024"/>
      <c r="AJ26" s="838"/>
      <c r="AK26" s="649"/>
      <c r="AL26" s="2007"/>
      <c r="AM26" s="2007"/>
    </row>
    <row r="27" spans="1:39" ht="12" customHeight="1" thickBot="1" x14ac:dyDescent="0.25">
      <c r="A27" s="31"/>
      <c r="B27" s="542"/>
      <c r="R27" s="23"/>
      <c r="S27" s="23"/>
      <c r="T27" s="23"/>
      <c r="U27" s="23"/>
      <c r="AJ27" s="838"/>
      <c r="AK27" s="649"/>
      <c r="AL27" s="2007"/>
      <c r="AM27" s="2007"/>
    </row>
    <row r="28" spans="1:39" ht="12" customHeight="1" thickBot="1" x14ac:dyDescent="0.25">
      <c r="A28" s="31"/>
      <c r="B28" s="542"/>
      <c r="C28" s="3026" t="s">
        <v>7089</v>
      </c>
      <c r="D28" s="3027"/>
      <c r="E28" s="3027"/>
      <c r="F28" s="3028"/>
      <c r="G28" s="5025" t="s">
        <v>1558</v>
      </c>
      <c r="H28" s="5025"/>
      <c r="I28" s="5025"/>
      <c r="J28" s="5025"/>
      <c r="K28" s="5025"/>
      <c r="L28" s="5025"/>
      <c r="M28" s="5025"/>
      <c r="N28" s="5025"/>
      <c r="O28" s="5025"/>
      <c r="P28" s="5025"/>
      <c r="Q28" s="5025"/>
      <c r="R28" s="5025"/>
      <c r="S28" s="5025"/>
      <c r="T28" s="5025"/>
      <c r="U28" s="5025"/>
      <c r="V28" s="5025"/>
      <c r="W28" s="5025"/>
      <c r="X28" s="5025"/>
      <c r="Y28" s="5025"/>
      <c r="Z28" s="5025"/>
      <c r="AA28" s="5025"/>
      <c r="AB28" s="5025"/>
      <c r="AC28" s="5025"/>
      <c r="AD28" s="5025"/>
      <c r="AE28" s="5025"/>
      <c r="AF28" s="5025"/>
      <c r="AG28" s="5025"/>
      <c r="AH28" s="5025"/>
      <c r="AI28" s="3530"/>
      <c r="AJ28" s="838"/>
      <c r="AK28" s="649"/>
      <c r="AL28" s="2007"/>
      <c r="AM28" s="2007"/>
    </row>
    <row r="29" spans="1:39" ht="12" customHeight="1" x14ac:dyDescent="0.2">
      <c r="A29" s="31"/>
      <c r="B29" s="542"/>
      <c r="C29" s="792"/>
      <c r="D29" s="169"/>
      <c r="E29" s="169"/>
      <c r="F29" s="791" t="str">
        <f>IF(ISNA(MATCH(Tablas!$A1,INDEX(Tabla_Elan,,14),0)),"",INDEX(INDEX(Tabla_Elan,,1),MATCH(Tablas!$A1,INDEX(Tabla_Elan,,14),0)))</f>
        <v/>
      </c>
      <c r="G29" s="3834" t="str">
        <f t="shared" ref="G29:G49" si="6">IF(F29="","",VLOOKUP(F29,Tabla_Elan,8,FALSE))</f>
        <v/>
      </c>
      <c r="H29" s="3243"/>
      <c r="I29" s="3243"/>
      <c r="J29" s="3243"/>
      <c r="K29" s="3243"/>
      <c r="L29" s="3243"/>
      <c r="M29" s="3243"/>
      <c r="N29" s="3243"/>
      <c r="O29" s="3243"/>
      <c r="P29" s="3243"/>
      <c r="Q29" s="3243"/>
      <c r="R29" s="3243"/>
      <c r="S29" s="3243"/>
      <c r="T29" s="3243"/>
      <c r="U29" s="3243"/>
      <c r="V29" s="3243"/>
      <c r="W29" s="3243"/>
      <c r="X29" s="3243"/>
      <c r="Y29" s="3243"/>
      <c r="Z29" s="3243"/>
      <c r="AA29" s="3243"/>
      <c r="AB29" s="3243"/>
      <c r="AC29" s="3243"/>
      <c r="AD29" s="3243"/>
      <c r="AE29" s="3243"/>
      <c r="AF29" s="3243"/>
      <c r="AG29" s="3243"/>
      <c r="AH29" s="3243"/>
      <c r="AI29" s="3835"/>
      <c r="AJ29" s="838"/>
      <c r="AK29" s="649"/>
      <c r="AL29" s="2007"/>
      <c r="AM29" s="2007"/>
    </row>
    <row r="30" spans="1:39" ht="12" customHeight="1" x14ac:dyDescent="0.2">
      <c r="A30" s="31"/>
      <c r="B30" s="542"/>
      <c r="C30" s="792"/>
      <c r="D30" s="169"/>
      <c r="E30" s="169"/>
      <c r="F30" s="791" t="str">
        <f>IF(ISNA(MATCH(Tablas!$A2,INDEX(Tabla_Elan,,14),0)),"",INDEX(INDEX(Tabla_Elan,,1),MATCH(Tablas!$A2,INDEX(Tabla_Elan,,14),0)))</f>
        <v/>
      </c>
      <c r="G30" s="3834" t="str">
        <f t="shared" si="6"/>
        <v/>
      </c>
      <c r="H30" s="3243"/>
      <c r="I30" s="3243"/>
      <c r="J30" s="3243"/>
      <c r="K30" s="3243"/>
      <c r="L30" s="3243"/>
      <c r="M30" s="3243"/>
      <c r="N30" s="3243"/>
      <c r="O30" s="3243"/>
      <c r="P30" s="3243"/>
      <c r="Q30" s="3243"/>
      <c r="R30" s="3243"/>
      <c r="S30" s="3243"/>
      <c r="T30" s="3243"/>
      <c r="U30" s="3243"/>
      <c r="V30" s="3243"/>
      <c r="W30" s="3243"/>
      <c r="X30" s="3243"/>
      <c r="Y30" s="3243"/>
      <c r="Z30" s="3243"/>
      <c r="AA30" s="3243"/>
      <c r="AB30" s="3243"/>
      <c r="AC30" s="3243"/>
      <c r="AD30" s="3243"/>
      <c r="AE30" s="3243"/>
      <c r="AF30" s="3243"/>
      <c r="AG30" s="3243"/>
      <c r="AH30" s="3243"/>
      <c r="AI30" s="3835"/>
      <c r="AJ30" s="838"/>
      <c r="AK30" s="649"/>
      <c r="AL30" s="2007"/>
      <c r="AM30" s="2007"/>
    </row>
    <row r="31" spans="1:39" ht="12" customHeight="1" x14ac:dyDescent="0.2">
      <c r="A31" s="31"/>
      <c r="B31" s="542"/>
      <c r="C31" s="792"/>
      <c r="D31" s="169"/>
      <c r="E31" s="169"/>
      <c r="F31" s="791" t="str">
        <f>IF(ISNA(MATCH(Tablas!$A3,INDEX(Tabla_Elan,,14),0)),"",INDEX(INDEX(Tabla_Elan,,1),MATCH(Tablas!$A3,INDEX(Tabla_Elan,,14),0)))</f>
        <v/>
      </c>
      <c r="G31" s="3834" t="str">
        <f t="shared" si="6"/>
        <v/>
      </c>
      <c r="H31" s="3243"/>
      <c r="I31" s="3243"/>
      <c r="J31" s="3243"/>
      <c r="K31" s="3243"/>
      <c r="L31" s="3243"/>
      <c r="M31" s="3243"/>
      <c r="N31" s="3243"/>
      <c r="O31" s="3243"/>
      <c r="P31" s="3243"/>
      <c r="Q31" s="3243"/>
      <c r="R31" s="3243"/>
      <c r="S31" s="3243"/>
      <c r="T31" s="3243"/>
      <c r="U31" s="3243"/>
      <c r="V31" s="3243"/>
      <c r="W31" s="3243"/>
      <c r="X31" s="3243"/>
      <c r="Y31" s="3243"/>
      <c r="Z31" s="3243"/>
      <c r="AA31" s="3243"/>
      <c r="AB31" s="3243"/>
      <c r="AC31" s="3243"/>
      <c r="AD31" s="3243"/>
      <c r="AE31" s="3243"/>
      <c r="AF31" s="3243"/>
      <c r="AG31" s="3243"/>
      <c r="AH31" s="3243"/>
      <c r="AI31" s="3835"/>
      <c r="AJ31" s="838"/>
      <c r="AK31" s="649"/>
      <c r="AL31" s="2007"/>
      <c r="AM31" s="2007"/>
    </row>
    <row r="32" spans="1:39" ht="12" customHeight="1" x14ac:dyDescent="0.2">
      <c r="A32" s="31"/>
      <c r="B32" s="542"/>
      <c r="C32" s="792"/>
      <c r="D32" s="169"/>
      <c r="E32" s="169"/>
      <c r="F32" s="791" t="str">
        <f>IF(ISNA(MATCH(Tablas!$A4,INDEX(Tabla_Elan,,14),0)),"",INDEX(INDEX(Tabla_Elan,,1),MATCH(Tablas!$A4,INDEX(Tabla_Elan,,14),0)))</f>
        <v/>
      </c>
      <c r="G32" s="3834" t="str">
        <f t="shared" si="6"/>
        <v/>
      </c>
      <c r="H32" s="3243"/>
      <c r="I32" s="3243"/>
      <c r="J32" s="3243"/>
      <c r="K32" s="3243"/>
      <c r="L32" s="3243"/>
      <c r="M32" s="3243"/>
      <c r="N32" s="3243"/>
      <c r="O32" s="3243"/>
      <c r="P32" s="3243"/>
      <c r="Q32" s="3243"/>
      <c r="R32" s="3243"/>
      <c r="S32" s="3243"/>
      <c r="T32" s="3243"/>
      <c r="U32" s="3243"/>
      <c r="V32" s="3243"/>
      <c r="W32" s="3243"/>
      <c r="X32" s="3243"/>
      <c r="Y32" s="3243"/>
      <c r="Z32" s="3243"/>
      <c r="AA32" s="3243"/>
      <c r="AB32" s="3243"/>
      <c r="AC32" s="3243"/>
      <c r="AD32" s="3243"/>
      <c r="AE32" s="3243"/>
      <c r="AF32" s="3243"/>
      <c r="AG32" s="3243"/>
      <c r="AH32" s="3243"/>
      <c r="AI32" s="3835"/>
      <c r="AJ32" s="838"/>
      <c r="AK32" s="649"/>
      <c r="AL32" s="2007"/>
      <c r="AM32" s="2007"/>
    </row>
    <row r="33" spans="1:39" ht="12" customHeight="1" x14ac:dyDescent="0.2">
      <c r="A33" s="31"/>
      <c r="B33" s="542"/>
      <c r="C33" s="792"/>
      <c r="D33" s="169"/>
      <c r="E33" s="169"/>
      <c r="F33" s="791" t="str">
        <f>IF(ISNA(MATCH(Tablas!$A5,INDEX(Tabla_Elan,,14),0)),"",INDEX(INDEX(Tabla_Elan,,1),MATCH(Tablas!$A5,INDEX(Tabla_Elan,,14),0)))</f>
        <v/>
      </c>
      <c r="G33" s="3834" t="str">
        <f t="shared" si="6"/>
        <v/>
      </c>
      <c r="H33" s="3243"/>
      <c r="I33" s="3243"/>
      <c r="J33" s="3243"/>
      <c r="K33" s="3243"/>
      <c r="L33" s="3243"/>
      <c r="M33" s="3243"/>
      <c r="N33" s="3243"/>
      <c r="O33" s="3243"/>
      <c r="P33" s="3243"/>
      <c r="Q33" s="3243"/>
      <c r="R33" s="3243"/>
      <c r="S33" s="3243"/>
      <c r="T33" s="3243"/>
      <c r="U33" s="3243"/>
      <c r="V33" s="3243"/>
      <c r="W33" s="3243"/>
      <c r="X33" s="3243"/>
      <c r="Y33" s="3243"/>
      <c r="Z33" s="3243"/>
      <c r="AA33" s="3243"/>
      <c r="AB33" s="3243"/>
      <c r="AC33" s="3243"/>
      <c r="AD33" s="3243"/>
      <c r="AE33" s="3243"/>
      <c r="AF33" s="3243"/>
      <c r="AG33" s="3243"/>
      <c r="AH33" s="3243"/>
      <c r="AI33" s="3835"/>
      <c r="AJ33" s="838"/>
      <c r="AK33" s="649"/>
      <c r="AL33" s="2007"/>
      <c r="AM33" s="2007"/>
    </row>
    <row r="34" spans="1:39" ht="12" customHeight="1" x14ac:dyDescent="0.2">
      <c r="A34" s="31"/>
      <c r="B34" s="542"/>
      <c r="C34" s="792"/>
      <c r="D34" s="169"/>
      <c r="E34" s="169"/>
      <c r="F34" s="791" t="str">
        <f>IF(ISNA(MATCH(Tablas!$A6,INDEX(Tabla_Elan,,14),0)),"",INDEX(INDEX(Tabla_Elan,,1),MATCH(Tablas!$A6,INDEX(Tabla_Elan,,14),0)))</f>
        <v/>
      </c>
      <c r="G34" s="3834" t="str">
        <f t="shared" si="6"/>
        <v/>
      </c>
      <c r="H34" s="3243"/>
      <c r="I34" s="3243"/>
      <c r="J34" s="3243"/>
      <c r="K34" s="3243"/>
      <c r="L34" s="3243"/>
      <c r="M34" s="3243"/>
      <c r="N34" s="3243"/>
      <c r="O34" s="3243"/>
      <c r="P34" s="3243"/>
      <c r="Q34" s="3243"/>
      <c r="R34" s="3243"/>
      <c r="S34" s="3243"/>
      <c r="T34" s="3243"/>
      <c r="U34" s="3243"/>
      <c r="V34" s="3243"/>
      <c r="W34" s="3243"/>
      <c r="X34" s="3243"/>
      <c r="Y34" s="3243"/>
      <c r="Z34" s="3243"/>
      <c r="AA34" s="3243"/>
      <c r="AB34" s="3243"/>
      <c r="AC34" s="3243"/>
      <c r="AD34" s="3243"/>
      <c r="AE34" s="3243"/>
      <c r="AF34" s="3243"/>
      <c r="AG34" s="3243"/>
      <c r="AH34" s="3243"/>
      <c r="AI34" s="3835"/>
      <c r="AJ34" s="838"/>
      <c r="AK34" s="649"/>
      <c r="AL34" s="2007"/>
      <c r="AM34" s="2007"/>
    </row>
    <row r="35" spans="1:39" ht="12" customHeight="1" x14ac:dyDescent="0.2">
      <c r="A35" s="31"/>
      <c r="B35" s="542"/>
      <c r="C35" s="792"/>
      <c r="D35" s="169"/>
      <c r="E35" s="169"/>
      <c r="F35" s="791" t="str">
        <f>IF(ISNA(MATCH(Tablas!$A7,INDEX(Tabla_Elan,,14),0)),"",INDEX(INDEX(Tabla_Elan,,1),MATCH(Tablas!$A7,INDEX(Tabla_Elan,,14),0)))</f>
        <v/>
      </c>
      <c r="G35" s="3834" t="str">
        <f t="shared" si="6"/>
        <v/>
      </c>
      <c r="H35" s="3243"/>
      <c r="I35" s="3243"/>
      <c r="J35" s="3243"/>
      <c r="K35" s="3243"/>
      <c r="L35" s="3243"/>
      <c r="M35" s="3243"/>
      <c r="N35" s="3243"/>
      <c r="O35" s="3243"/>
      <c r="P35" s="3243"/>
      <c r="Q35" s="3243"/>
      <c r="R35" s="3243"/>
      <c r="S35" s="3243"/>
      <c r="T35" s="3243"/>
      <c r="U35" s="3243"/>
      <c r="V35" s="3243"/>
      <c r="W35" s="3243"/>
      <c r="X35" s="3243"/>
      <c r="Y35" s="3243"/>
      <c r="Z35" s="3243"/>
      <c r="AA35" s="3243"/>
      <c r="AB35" s="3243"/>
      <c r="AC35" s="3243"/>
      <c r="AD35" s="3243"/>
      <c r="AE35" s="3243"/>
      <c r="AF35" s="3243"/>
      <c r="AG35" s="3243"/>
      <c r="AH35" s="3243"/>
      <c r="AI35" s="3835"/>
      <c r="AJ35" s="838"/>
      <c r="AK35" s="649"/>
      <c r="AL35" s="2007"/>
      <c r="AM35" s="2007"/>
    </row>
    <row r="36" spans="1:39" ht="12" customHeight="1" x14ac:dyDescent="0.2">
      <c r="A36" s="31"/>
      <c r="B36" s="542"/>
      <c r="C36" s="792"/>
      <c r="D36" s="169"/>
      <c r="E36" s="169"/>
      <c r="F36" s="791" t="str">
        <f>IF(ISNA(MATCH(Tablas!$A8,INDEX(Tabla_Elan,,14),0)),"",INDEX(INDEX(Tabla_Elan,,1),MATCH(Tablas!$A8,INDEX(Tabla_Elan,,14),0)))</f>
        <v/>
      </c>
      <c r="G36" s="3834" t="str">
        <f t="shared" si="6"/>
        <v/>
      </c>
      <c r="H36" s="3243"/>
      <c r="I36" s="3243"/>
      <c r="J36" s="3243"/>
      <c r="K36" s="3243"/>
      <c r="L36" s="3243"/>
      <c r="M36" s="3243"/>
      <c r="N36" s="3243"/>
      <c r="O36" s="3243"/>
      <c r="P36" s="3243"/>
      <c r="Q36" s="3243"/>
      <c r="R36" s="3243"/>
      <c r="S36" s="3243"/>
      <c r="T36" s="3243"/>
      <c r="U36" s="3243"/>
      <c r="V36" s="3243"/>
      <c r="W36" s="3243"/>
      <c r="X36" s="3243"/>
      <c r="Y36" s="3243"/>
      <c r="Z36" s="3243"/>
      <c r="AA36" s="3243"/>
      <c r="AB36" s="3243"/>
      <c r="AC36" s="3243"/>
      <c r="AD36" s="3243"/>
      <c r="AE36" s="3243"/>
      <c r="AF36" s="3243"/>
      <c r="AG36" s="3243"/>
      <c r="AH36" s="3243"/>
      <c r="AI36" s="3835"/>
      <c r="AJ36" s="838"/>
      <c r="AK36" s="649"/>
      <c r="AL36" s="2007"/>
      <c r="AM36" s="2007"/>
    </row>
    <row r="37" spans="1:39" ht="12" customHeight="1" x14ac:dyDescent="0.2">
      <c r="A37" s="31"/>
      <c r="B37" s="542"/>
      <c r="C37" s="792"/>
      <c r="D37" s="169"/>
      <c r="E37" s="169"/>
      <c r="F37" s="791" t="str">
        <f>IF(ISNA(MATCH(Tablas!$A9,INDEX(Tabla_Elan,,14),0)),"",INDEX(INDEX(Tabla_Elan,,1),MATCH(Tablas!$A9,INDEX(Tabla_Elan,,14),0)))</f>
        <v/>
      </c>
      <c r="G37" s="3834" t="str">
        <f t="shared" si="6"/>
        <v/>
      </c>
      <c r="H37" s="3243"/>
      <c r="I37" s="3243"/>
      <c r="J37" s="3243"/>
      <c r="K37" s="3243"/>
      <c r="L37" s="3243"/>
      <c r="M37" s="3243"/>
      <c r="N37" s="3243"/>
      <c r="O37" s="3243"/>
      <c r="P37" s="3243"/>
      <c r="Q37" s="3243"/>
      <c r="R37" s="3243"/>
      <c r="S37" s="3243"/>
      <c r="T37" s="3243"/>
      <c r="U37" s="3243"/>
      <c r="V37" s="3243"/>
      <c r="W37" s="3243"/>
      <c r="X37" s="3243"/>
      <c r="Y37" s="3243"/>
      <c r="Z37" s="3243"/>
      <c r="AA37" s="3243"/>
      <c r="AB37" s="3243"/>
      <c r="AC37" s="3243"/>
      <c r="AD37" s="3243"/>
      <c r="AE37" s="3243"/>
      <c r="AF37" s="3243"/>
      <c r="AG37" s="3243"/>
      <c r="AH37" s="3243"/>
      <c r="AI37" s="3835"/>
      <c r="AJ37" s="838"/>
      <c r="AK37" s="649"/>
      <c r="AL37" s="2007"/>
      <c r="AM37" s="2007"/>
    </row>
    <row r="38" spans="1:39" ht="12" customHeight="1" x14ac:dyDescent="0.2">
      <c r="A38" s="31"/>
      <c r="B38" s="542"/>
      <c r="C38" s="792"/>
      <c r="D38" s="169"/>
      <c r="E38" s="169"/>
      <c r="F38" s="791" t="str">
        <f>IF(ISNA(MATCH(Tablas!$A10,INDEX(Tabla_Elan,,14),0)),"",INDEX(INDEX(Tabla_Elan,,1),MATCH(Tablas!$A10,INDEX(Tabla_Elan,,14),0)))</f>
        <v/>
      </c>
      <c r="G38" s="3834" t="str">
        <f t="shared" si="6"/>
        <v/>
      </c>
      <c r="H38" s="3243"/>
      <c r="I38" s="3243"/>
      <c r="J38" s="3243"/>
      <c r="K38" s="3243"/>
      <c r="L38" s="3243"/>
      <c r="M38" s="3243"/>
      <c r="N38" s="3243"/>
      <c r="O38" s="3243"/>
      <c r="P38" s="3243"/>
      <c r="Q38" s="3243"/>
      <c r="R38" s="3243"/>
      <c r="S38" s="3243"/>
      <c r="T38" s="3243"/>
      <c r="U38" s="3243"/>
      <c r="V38" s="3243"/>
      <c r="W38" s="3243"/>
      <c r="X38" s="3243"/>
      <c r="Y38" s="3243"/>
      <c r="Z38" s="3243"/>
      <c r="AA38" s="3243"/>
      <c r="AB38" s="3243"/>
      <c r="AC38" s="3243"/>
      <c r="AD38" s="3243"/>
      <c r="AE38" s="3243"/>
      <c r="AF38" s="3243"/>
      <c r="AG38" s="3243"/>
      <c r="AH38" s="3243"/>
      <c r="AI38" s="3835"/>
      <c r="AJ38" s="838"/>
      <c r="AK38" s="649"/>
      <c r="AL38" s="2007"/>
      <c r="AM38" s="2007"/>
    </row>
    <row r="39" spans="1:39" ht="12" customHeight="1" x14ac:dyDescent="0.2">
      <c r="A39" s="31"/>
      <c r="B39" s="542"/>
      <c r="C39" s="792"/>
      <c r="D39" s="169"/>
      <c r="E39" s="169"/>
      <c r="F39" s="791" t="str">
        <f>IF(ISNA(MATCH(Tablas!$A11,INDEX(Tabla_Elan,,14),0)),"",INDEX(INDEX(Tabla_Elan,,1),MATCH(Tablas!$A11,INDEX(Tabla_Elan,,14),0)))</f>
        <v/>
      </c>
      <c r="G39" s="3834" t="str">
        <f t="shared" si="6"/>
        <v/>
      </c>
      <c r="H39" s="3243"/>
      <c r="I39" s="3243"/>
      <c r="J39" s="3243"/>
      <c r="K39" s="3243"/>
      <c r="L39" s="3243"/>
      <c r="M39" s="3243"/>
      <c r="N39" s="3243"/>
      <c r="O39" s="3243"/>
      <c r="P39" s="3243"/>
      <c r="Q39" s="3243"/>
      <c r="R39" s="3243"/>
      <c r="S39" s="3243"/>
      <c r="T39" s="3243"/>
      <c r="U39" s="3243"/>
      <c r="V39" s="3243"/>
      <c r="W39" s="3243"/>
      <c r="X39" s="3243"/>
      <c r="Y39" s="3243"/>
      <c r="Z39" s="3243"/>
      <c r="AA39" s="3243"/>
      <c r="AB39" s="3243"/>
      <c r="AC39" s="3243"/>
      <c r="AD39" s="3243"/>
      <c r="AE39" s="3243"/>
      <c r="AF39" s="3243"/>
      <c r="AG39" s="3243"/>
      <c r="AH39" s="3243"/>
      <c r="AI39" s="3835"/>
      <c r="AJ39" s="838"/>
      <c r="AK39" s="649"/>
      <c r="AL39" s="2007"/>
      <c r="AM39" s="2007"/>
    </row>
    <row r="40" spans="1:39" ht="12" customHeight="1" x14ac:dyDescent="0.2">
      <c r="A40" s="31"/>
      <c r="B40" s="542"/>
      <c r="C40" s="792"/>
      <c r="D40" s="169"/>
      <c r="E40" s="169"/>
      <c r="F40" s="791" t="str">
        <f>IF(ISNA(MATCH(Tablas!$A12,INDEX(Tabla_Elan,,14),0)),"",INDEX(INDEX(Tabla_Elan,,1),MATCH(Tablas!$A12,INDEX(Tabla_Elan,,14),0)))</f>
        <v/>
      </c>
      <c r="G40" s="3834" t="str">
        <f t="shared" si="6"/>
        <v/>
      </c>
      <c r="H40" s="3243"/>
      <c r="I40" s="3243"/>
      <c r="J40" s="3243"/>
      <c r="K40" s="3243"/>
      <c r="L40" s="3243"/>
      <c r="M40" s="3243"/>
      <c r="N40" s="3243"/>
      <c r="O40" s="3243"/>
      <c r="P40" s="3243"/>
      <c r="Q40" s="3243"/>
      <c r="R40" s="3243"/>
      <c r="S40" s="3243"/>
      <c r="T40" s="3243"/>
      <c r="U40" s="3243"/>
      <c r="V40" s="3243"/>
      <c r="W40" s="3243"/>
      <c r="X40" s="3243"/>
      <c r="Y40" s="3243"/>
      <c r="Z40" s="3243"/>
      <c r="AA40" s="3243"/>
      <c r="AB40" s="3243"/>
      <c r="AC40" s="3243"/>
      <c r="AD40" s="3243"/>
      <c r="AE40" s="3243"/>
      <c r="AF40" s="3243"/>
      <c r="AG40" s="3243"/>
      <c r="AH40" s="3243"/>
      <c r="AI40" s="3835"/>
      <c r="AJ40" s="838"/>
      <c r="AK40" s="649"/>
      <c r="AL40" s="2007"/>
      <c r="AM40" s="2007"/>
    </row>
    <row r="41" spans="1:39" ht="12" customHeight="1" x14ac:dyDescent="0.2">
      <c r="A41" s="31"/>
      <c r="B41" s="542"/>
      <c r="C41" s="792"/>
      <c r="D41" s="169"/>
      <c r="E41" s="169"/>
      <c r="F41" s="791" t="str">
        <f>IF(ISNA(MATCH(Tablas!$A13,INDEX(Tabla_Elan,,14),0)),"",INDEX(INDEX(Tabla_Elan,,1),MATCH(Tablas!$A13,INDEX(Tabla_Elan,,14),0)))</f>
        <v/>
      </c>
      <c r="G41" s="3834" t="str">
        <f t="shared" si="6"/>
        <v/>
      </c>
      <c r="H41" s="3243"/>
      <c r="I41" s="3243"/>
      <c r="J41" s="3243"/>
      <c r="K41" s="3243"/>
      <c r="L41" s="3243"/>
      <c r="M41" s="3243"/>
      <c r="N41" s="3243"/>
      <c r="O41" s="3243"/>
      <c r="P41" s="3243"/>
      <c r="Q41" s="3243"/>
      <c r="R41" s="3243"/>
      <c r="S41" s="3243"/>
      <c r="T41" s="3243"/>
      <c r="U41" s="3243"/>
      <c r="V41" s="3243"/>
      <c r="W41" s="3243"/>
      <c r="X41" s="3243"/>
      <c r="Y41" s="3243"/>
      <c r="Z41" s="3243"/>
      <c r="AA41" s="3243"/>
      <c r="AB41" s="3243"/>
      <c r="AC41" s="3243"/>
      <c r="AD41" s="3243"/>
      <c r="AE41" s="3243"/>
      <c r="AF41" s="3243"/>
      <c r="AG41" s="3243"/>
      <c r="AH41" s="3243"/>
      <c r="AI41" s="3835"/>
      <c r="AJ41" s="838"/>
      <c r="AK41" s="649"/>
      <c r="AL41" s="2007"/>
      <c r="AM41" s="2007"/>
    </row>
    <row r="42" spans="1:39" ht="12" customHeight="1" x14ac:dyDescent="0.2">
      <c r="A42" s="31"/>
      <c r="B42" s="542"/>
      <c r="C42" s="792"/>
      <c r="D42" s="169"/>
      <c r="E42" s="169"/>
      <c r="F42" s="791" t="str">
        <f>IF(ISNA(MATCH(Tablas!$A14,INDEX(Tabla_Elan,,14),0)),"",INDEX(INDEX(Tabla_Elan,,1),MATCH(Tablas!$A14,INDEX(Tabla_Elan,,14),0)))</f>
        <v/>
      </c>
      <c r="G42" s="3834" t="str">
        <f t="shared" si="6"/>
        <v/>
      </c>
      <c r="H42" s="3243"/>
      <c r="I42" s="3243"/>
      <c r="J42" s="3243"/>
      <c r="K42" s="3243"/>
      <c r="L42" s="3243"/>
      <c r="M42" s="3243"/>
      <c r="N42" s="3243"/>
      <c r="O42" s="3243"/>
      <c r="P42" s="3243"/>
      <c r="Q42" s="3243"/>
      <c r="R42" s="3243"/>
      <c r="S42" s="3243"/>
      <c r="T42" s="3243"/>
      <c r="U42" s="3243"/>
      <c r="V42" s="3243"/>
      <c r="W42" s="3243"/>
      <c r="X42" s="3243"/>
      <c r="Y42" s="3243"/>
      <c r="Z42" s="3243"/>
      <c r="AA42" s="3243"/>
      <c r="AB42" s="3243"/>
      <c r="AC42" s="3243"/>
      <c r="AD42" s="3243"/>
      <c r="AE42" s="3243"/>
      <c r="AF42" s="3243"/>
      <c r="AG42" s="3243"/>
      <c r="AH42" s="3243"/>
      <c r="AI42" s="3835"/>
      <c r="AJ42" s="838"/>
      <c r="AK42" s="649"/>
      <c r="AL42" s="2007"/>
      <c r="AM42" s="2007"/>
    </row>
    <row r="43" spans="1:39" ht="12" customHeight="1" x14ac:dyDescent="0.2">
      <c r="A43" s="31"/>
      <c r="B43" s="542"/>
      <c r="C43" s="792"/>
      <c r="D43" s="169"/>
      <c r="E43" s="169"/>
      <c r="F43" s="791" t="str">
        <f>IF(ISNA(MATCH(Tablas!$A15,INDEX(Tabla_Elan,,14),0)),"",INDEX(INDEX(Tabla_Elan,,1),MATCH(Tablas!$A15,INDEX(Tabla_Elan,,14),0)))</f>
        <v/>
      </c>
      <c r="G43" s="3834" t="str">
        <f t="shared" si="6"/>
        <v/>
      </c>
      <c r="H43" s="3243"/>
      <c r="I43" s="3243"/>
      <c r="J43" s="3243"/>
      <c r="K43" s="3243"/>
      <c r="L43" s="3243"/>
      <c r="M43" s="3243"/>
      <c r="N43" s="3243"/>
      <c r="O43" s="3243"/>
      <c r="P43" s="3243"/>
      <c r="Q43" s="3243"/>
      <c r="R43" s="3243"/>
      <c r="S43" s="3243"/>
      <c r="T43" s="3243"/>
      <c r="U43" s="3243"/>
      <c r="V43" s="3243"/>
      <c r="W43" s="3243"/>
      <c r="X43" s="3243"/>
      <c r="Y43" s="3243"/>
      <c r="Z43" s="3243"/>
      <c r="AA43" s="3243"/>
      <c r="AB43" s="3243"/>
      <c r="AC43" s="3243"/>
      <c r="AD43" s="3243"/>
      <c r="AE43" s="3243"/>
      <c r="AF43" s="3243"/>
      <c r="AG43" s="3243"/>
      <c r="AH43" s="3243"/>
      <c r="AI43" s="3835"/>
      <c r="AJ43" s="838"/>
      <c r="AK43" s="649"/>
      <c r="AL43" s="2007"/>
      <c r="AM43" s="2007"/>
    </row>
    <row r="44" spans="1:39" ht="12" customHeight="1" x14ac:dyDescent="0.2">
      <c r="A44" s="31"/>
      <c r="B44" s="542"/>
      <c r="C44" s="792"/>
      <c r="D44" s="169"/>
      <c r="E44" s="169"/>
      <c r="F44" s="791" t="str">
        <f>IF(ISNA(MATCH(Tablas!$A16,INDEX(Tabla_Elan,,14),0)),"",INDEX(INDEX(Tabla_Elan,,1),MATCH(Tablas!$A16,INDEX(Tabla_Elan,,14),0)))</f>
        <v/>
      </c>
      <c r="G44" s="3834" t="str">
        <f t="shared" si="6"/>
        <v/>
      </c>
      <c r="H44" s="3243"/>
      <c r="I44" s="3243"/>
      <c r="J44" s="3243"/>
      <c r="K44" s="3243"/>
      <c r="L44" s="3243"/>
      <c r="M44" s="3243"/>
      <c r="N44" s="3243"/>
      <c r="O44" s="3243"/>
      <c r="P44" s="3243"/>
      <c r="Q44" s="3243"/>
      <c r="R44" s="3243"/>
      <c r="S44" s="3243"/>
      <c r="T44" s="3243"/>
      <c r="U44" s="3243"/>
      <c r="V44" s="3243"/>
      <c r="W44" s="3243"/>
      <c r="X44" s="3243"/>
      <c r="Y44" s="3243"/>
      <c r="Z44" s="3243"/>
      <c r="AA44" s="3243"/>
      <c r="AB44" s="3243"/>
      <c r="AC44" s="3243"/>
      <c r="AD44" s="3243"/>
      <c r="AE44" s="3243"/>
      <c r="AF44" s="3243"/>
      <c r="AG44" s="3243"/>
      <c r="AH44" s="3243"/>
      <c r="AI44" s="3835"/>
      <c r="AJ44" s="838"/>
      <c r="AK44" s="649"/>
      <c r="AL44" s="2007"/>
      <c r="AM44" s="2007"/>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2007"/>
      <c r="AM45" s="2007"/>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2007"/>
      <c r="AM46" s="2007"/>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2007"/>
      <c r="AM47" s="2007"/>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2007"/>
      <c r="AM48" s="2007"/>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2007"/>
      <c r="AM49" s="2007"/>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2007"/>
      <c r="AM50" s="2007"/>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2758"/>
      <c r="AM51" s="200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25" priority="11" operator="equal">
      <formula>0</formula>
    </cfRule>
  </conditionalFormatting>
  <conditionalFormatting sqref="C13:F25">
    <cfRule type="expression" dxfId="624" priority="9">
      <formula>$AL13</formula>
    </cfRule>
  </conditionalFormatting>
  <conditionalFormatting sqref="AA10:AI26">
    <cfRule type="cellIs" dxfId="623" priority="5" operator="equal">
      <formula>0</formula>
    </cfRule>
  </conditionalFormatting>
  <conditionalFormatting sqref="U13:X25">
    <cfRule type="expression" dxfId="622" priority="2">
      <formula>$AL13</formula>
    </cfRule>
  </conditionalFormatting>
  <conditionalFormatting sqref="N20:N26">
    <cfRule type="cellIs" dxfId="62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AJ80" sqref="AJ80"/>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2"/>
      <c r="B1" s="953"/>
      <c r="C1" s="31"/>
      <c r="D1" s="31"/>
      <c r="E1" s="31"/>
      <c r="F1" s="31"/>
      <c r="G1" s="31"/>
      <c r="H1" s="31"/>
      <c r="I1" s="31"/>
      <c r="J1" s="31"/>
      <c r="K1" s="31"/>
      <c r="L1" s="31"/>
      <c r="M1" s="31"/>
      <c r="N1" s="31"/>
      <c r="O1" s="31"/>
      <c r="P1" s="31"/>
      <c r="Q1" s="31"/>
      <c r="R1" s="31"/>
      <c r="S1" s="2441"/>
      <c r="T1" s="2442"/>
      <c r="U1" s="953"/>
      <c r="V1" s="31"/>
      <c r="W1" s="31"/>
      <c r="X1" s="31"/>
      <c r="Y1" s="31"/>
      <c r="Z1" s="31"/>
      <c r="AA1" s="31"/>
      <c r="AB1" s="31"/>
      <c r="AC1" s="31"/>
      <c r="AD1" s="31"/>
      <c r="AE1" s="31"/>
      <c r="AF1" s="31"/>
      <c r="AG1" s="31"/>
      <c r="AH1" s="31"/>
      <c r="AI1" s="31"/>
      <c r="AJ1" s="31"/>
      <c r="AK1" s="649"/>
      <c r="AL1" s="2456"/>
      <c r="AM1" s="2755" t="s">
        <v>9024</v>
      </c>
      <c r="AN1" s="1986"/>
      <c r="AO1" s="1986"/>
      <c r="AP1" s="1986"/>
      <c r="AQ1" s="1986"/>
      <c r="AR1" s="1986"/>
      <c r="AS1" s="1986"/>
      <c r="AT1" s="1986"/>
      <c r="AU1" s="1986"/>
      <c r="AV1" s="1986"/>
      <c r="AW1" s="1986"/>
      <c r="AX1" s="1986"/>
      <c r="AY1" s="1986"/>
      <c r="AZ1" s="1986"/>
      <c r="BA1" s="1986"/>
      <c r="BB1" s="1986"/>
      <c r="BC1" s="1986"/>
      <c r="BD1" s="1986"/>
      <c r="BE1" s="1986"/>
    </row>
    <row r="2" spans="1:57" ht="12" customHeight="1" thickBot="1" x14ac:dyDescent="0.25">
      <c r="A2" s="2442"/>
      <c r="B2" s="1095"/>
      <c r="C2" s="760"/>
      <c r="D2" s="760"/>
      <c r="E2" s="760"/>
      <c r="F2" s="760"/>
      <c r="G2" s="760"/>
      <c r="H2" s="760"/>
      <c r="I2" s="760"/>
      <c r="J2" s="760"/>
      <c r="K2" s="760"/>
      <c r="L2" s="760"/>
      <c r="M2" s="760"/>
      <c r="N2" s="760"/>
      <c r="O2" s="760"/>
      <c r="P2" s="760"/>
      <c r="Q2" s="760"/>
      <c r="R2" s="761"/>
      <c r="S2" s="2441"/>
      <c r="T2" s="2443"/>
      <c r="U2" s="1095"/>
      <c r="V2" s="760"/>
      <c r="W2" s="760"/>
      <c r="X2" s="760"/>
      <c r="Y2" s="760"/>
      <c r="Z2" s="760"/>
      <c r="AA2" s="760"/>
      <c r="AB2" s="760"/>
      <c r="AC2" s="760"/>
      <c r="AD2" s="760"/>
      <c r="AE2" s="760"/>
      <c r="AF2" s="760"/>
      <c r="AG2" s="760"/>
      <c r="AH2" s="760"/>
      <c r="AI2" s="760"/>
      <c r="AJ2" s="760"/>
      <c r="AK2" s="837"/>
      <c r="AL2" s="2456"/>
      <c r="AM2" s="1986"/>
      <c r="AN2" s="1986"/>
      <c r="AO2" s="1986"/>
      <c r="AP2" s="1986"/>
      <c r="AQ2" s="1986"/>
      <c r="AR2" s="1986"/>
      <c r="AS2" s="1986"/>
      <c r="AT2" s="1986"/>
      <c r="AU2" s="1986"/>
      <c r="AV2" s="1986"/>
      <c r="AW2" s="1986"/>
      <c r="AX2" s="1986"/>
      <c r="AY2" s="1986"/>
      <c r="AZ2" s="1986"/>
      <c r="BA2" s="1986"/>
      <c r="BB2" s="1986"/>
      <c r="BC2" s="1986"/>
      <c r="BD2" s="1986"/>
      <c r="BE2" s="1986"/>
    </row>
    <row r="3" spans="1:57" ht="12" customHeight="1" x14ac:dyDescent="0.2">
      <c r="A3" s="2442"/>
      <c r="B3" s="1096"/>
      <c r="C3" s="5036" t="s">
        <v>8753</v>
      </c>
      <c r="D3" s="5037"/>
      <c r="E3" s="5037"/>
      <c r="F3" s="5037"/>
      <c r="G3" s="5037"/>
      <c r="H3" s="5037"/>
      <c r="I3" s="5037"/>
      <c r="J3" s="5037"/>
      <c r="K3" s="5037"/>
      <c r="L3" s="5037"/>
      <c r="M3" s="5037"/>
      <c r="N3" s="5037"/>
      <c r="O3" s="5037"/>
      <c r="P3" s="5037"/>
      <c r="Q3" s="5038"/>
      <c r="R3" s="652"/>
      <c r="S3" s="2441"/>
      <c r="T3" s="2442"/>
      <c r="U3" s="1096"/>
      <c r="V3" s="5036" t="s">
        <v>7368</v>
      </c>
      <c r="W3" s="5037"/>
      <c r="X3" s="5037"/>
      <c r="Y3" s="5037"/>
      <c r="Z3" s="5037"/>
      <c r="AA3" s="5037"/>
      <c r="AB3" s="5037"/>
      <c r="AC3" s="5037"/>
      <c r="AD3" s="5037"/>
      <c r="AE3" s="5037"/>
      <c r="AF3" s="5037"/>
      <c r="AG3" s="5037"/>
      <c r="AH3" s="5037"/>
      <c r="AI3" s="5037"/>
      <c r="AJ3" s="5038"/>
      <c r="AK3" s="838"/>
      <c r="AL3" s="2456"/>
      <c r="AM3" s="1986" t="s">
        <v>8904</v>
      </c>
      <c r="AN3" s="1986" t="str">
        <f>Tablas!AB745</f>
        <v>Tablas!$AB$632:$AB$731</v>
      </c>
      <c r="AO3" s="1986"/>
      <c r="AP3" s="1986"/>
      <c r="AQ3" s="1986"/>
      <c r="AR3" s="1986" t="s">
        <v>1401</v>
      </c>
      <c r="AS3" s="1986" t="str">
        <f>IF(AO91="","",", "&amp;AO91)&amp;IF(AO107="","",", "&amp;AO107)&amp;IF(AO123="","",", "&amp;AO123)</f>
        <v/>
      </c>
      <c r="AT3" s="1986" t="str">
        <f>IFERROR(RIGHT(AS3,LEN(AS3)-2),"")</f>
        <v/>
      </c>
      <c r="AU3" s="1986"/>
      <c r="AV3" s="1986"/>
      <c r="AW3" s="1986"/>
      <c r="AX3" s="1986"/>
      <c r="AY3" s="1986"/>
      <c r="AZ3" s="1986"/>
      <c r="BA3" s="1986"/>
      <c r="BB3" s="1986"/>
      <c r="BC3" s="1986"/>
      <c r="BD3" s="1986"/>
      <c r="BE3" s="1986"/>
    </row>
    <row r="4" spans="1:57" ht="12" customHeight="1" thickBot="1" x14ac:dyDescent="0.25">
      <c r="A4" s="2442"/>
      <c r="B4" s="1096"/>
      <c r="C4" s="3806"/>
      <c r="D4" s="3807"/>
      <c r="E4" s="3807"/>
      <c r="F4" s="3807"/>
      <c r="G4" s="3807"/>
      <c r="H4" s="3807"/>
      <c r="I4" s="3807"/>
      <c r="J4" s="3807"/>
      <c r="K4" s="3807"/>
      <c r="L4" s="3807"/>
      <c r="M4" s="3807"/>
      <c r="N4" s="3807"/>
      <c r="O4" s="3807"/>
      <c r="P4" s="3807"/>
      <c r="Q4" s="3808"/>
      <c r="R4" s="652"/>
      <c r="S4" s="2441"/>
      <c r="T4" s="2442"/>
      <c r="U4" s="1096"/>
      <c r="V4" s="3806"/>
      <c r="W4" s="3807"/>
      <c r="X4" s="3807"/>
      <c r="Y4" s="3807"/>
      <c r="Z4" s="3807"/>
      <c r="AA4" s="3807"/>
      <c r="AB4" s="3807"/>
      <c r="AC4" s="3807"/>
      <c r="AD4" s="3807"/>
      <c r="AE4" s="3807"/>
      <c r="AF4" s="3807"/>
      <c r="AG4" s="3807"/>
      <c r="AH4" s="3807"/>
      <c r="AI4" s="3807"/>
      <c r="AJ4" s="3808"/>
      <c r="AK4" s="838"/>
      <c r="AL4" s="2456"/>
      <c r="AM4" s="1986" t="s">
        <v>8832</v>
      </c>
      <c r="AN4" s="1986" t="str">
        <f>Tablas!AD745</f>
        <v>Tablas!$AD$635:$AD$645</v>
      </c>
      <c r="AO4" s="1986"/>
      <c r="AP4" s="1986"/>
      <c r="AQ4" s="1986"/>
      <c r="AR4" s="1986" t="s">
        <v>7483</v>
      </c>
      <c r="AS4" s="1986" t="str">
        <f>IF(AP91="","",", "&amp;AP91)&amp;IF(AP107="","",", "&amp;AP107)&amp;IF(AP123="","",", "&amp;AP123)</f>
        <v/>
      </c>
      <c r="AT4" s="1986" t="str">
        <f>IFERROR(RIGHT(AS4,LEN(AS4)-2),"")</f>
        <v/>
      </c>
      <c r="AU4" s="1986"/>
      <c r="AV4" s="1986"/>
      <c r="AW4" s="1986"/>
      <c r="AX4" s="1986"/>
      <c r="AY4" s="1986"/>
      <c r="AZ4" s="1986"/>
      <c r="BA4" s="1986"/>
      <c r="BB4" s="1986"/>
      <c r="BC4" s="1986"/>
      <c r="BD4" s="1986"/>
      <c r="BE4" s="1986"/>
    </row>
    <row r="5" spans="1:57" ht="12" customHeight="1" thickBot="1" x14ac:dyDescent="0.25">
      <c r="A5" s="2442"/>
      <c r="B5" s="1096"/>
      <c r="R5" s="652"/>
      <c r="S5" s="2441"/>
      <c r="T5" s="2442"/>
      <c r="U5" s="1096"/>
      <c r="AK5" s="838"/>
      <c r="AL5" s="2456"/>
      <c r="AM5" s="1986" t="s">
        <v>1588</v>
      </c>
      <c r="AN5" s="1986" t="str">
        <f>Tablas!AC745</f>
        <v>Tablas!$AC$632:$AC$672</v>
      </c>
      <c r="AO5" s="1986"/>
      <c r="AP5" s="1986"/>
      <c r="AQ5" s="1986"/>
      <c r="AR5" s="1986" t="s">
        <v>8606</v>
      </c>
      <c r="AS5" s="1986" t="str">
        <f>IF(AQ91="","",", "&amp;AQ91)&amp;IF(AQ107="","",", "&amp;AQ107)&amp;IF(AQ123="","",", "&amp;AQ123)</f>
        <v/>
      </c>
      <c r="AT5" s="1986" t="str">
        <f t="shared" ref="AT5:AT6" si="0">IFERROR(RIGHT(AS5,LEN(AS5)-2),"")</f>
        <v/>
      </c>
      <c r="AU5" s="1986"/>
      <c r="AV5" s="1986"/>
      <c r="AW5" s="1986"/>
      <c r="AX5" s="1986"/>
      <c r="AY5" s="1986"/>
      <c r="AZ5" s="1986"/>
      <c r="BA5" s="1986"/>
      <c r="BB5" s="1986"/>
      <c r="BC5" s="1986"/>
      <c r="BD5" s="1986"/>
      <c r="BE5" s="1986"/>
    </row>
    <row r="6" spans="1:57" ht="12" customHeight="1" x14ac:dyDescent="0.2">
      <c r="A6" s="2442"/>
      <c r="B6" s="1096"/>
      <c r="C6" s="4136" t="s">
        <v>6750</v>
      </c>
      <c r="D6" s="4137"/>
      <c r="E6" s="4137"/>
      <c r="F6" s="5193" t="s">
        <v>7326</v>
      </c>
      <c r="G6" s="5194"/>
      <c r="I6" s="4136" t="s">
        <v>8950</v>
      </c>
      <c r="J6" s="4137"/>
      <c r="K6" s="4137"/>
      <c r="L6" s="5331"/>
      <c r="M6" s="5331"/>
      <c r="N6" s="5331"/>
      <c r="O6" s="5331"/>
      <c r="P6" s="5331"/>
      <c r="Q6" s="5333"/>
      <c r="R6" s="652"/>
      <c r="S6" s="2441"/>
      <c r="T6" s="2442"/>
      <c r="U6" s="1096"/>
      <c r="V6" s="5357" t="s">
        <v>8611</v>
      </c>
      <c r="W6" s="5338" t="s">
        <v>8612</v>
      </c>
      <c r="X6" s="5338"/>
      <c r="Y6" s="5335" t="s">
        <v>8609</v>
      </c>
      <c r="Z6" s="5335"/>
      <c r="AA6" s="5322" t="s">
        <v>8608</v>
      </c>
      <c r="AB6" s="5322"/>
      <c r="AC6" s="5322" t="s">
        <v>8956</v>
      </c>
      <c r="AD6" s="5322"/>
      <c r="AE6" s="5322" t="s">
        <v>8958</v>
      </c>
      <c r="AF6" s="5322"/>
      <c r="AG6" s="5335" t="s">
        <v>8978</v>
      </c>
      <c r="AH6" s="5421"/>
      <c r="AI6" s="5335" t="s">
        <v>8977</v>
      </c>
      <c r="AJ6" s="5424"/>
      <c r="AK6" s="838"/>
      <c r="AL6" s="2456"/>
      <c r="AM6" s="1986" t="s">
        <v>8905</v>
      </c>
      <c r="AN6" s="1986" t="str">
        <f>Tablas!AE745</f>
        <v>Tablas!$AE$635:$AE$647</v>
      </c>
      <c r="AO6" s="1986"/>
      <c r="AP6" s="1986"/>
      <c r="AQ6" s="1986"/>
      <c r="AR6" s="1986" t="s">
        <v>1575</v>
      </c>
      <c r="AS6" s="1986" t="str">
        <f>IF(AR91="","",", ")&amp;AR91&amp;IF(AR107="","",", "&amp;AR107)&amp;IF(AR123="","",", "&amp;AR123)</f>
        <v/>
      </c>
      <c r="AT6" s="1986" t="str">
        <f t="shared" si="0"/>
        <v/>
      </c>
      <c r="AU6" s="1986"/>
      <c r="AV6" s="1986"/>
      <c r="AW6" s="1986"/>
      <c r="AX6" s="1986"/>
      <c r="AY6" s="1986"/>
      <c r="AZ6" s="1986"/>
      <c r="BA6" s="1986"/>
      <c r="BB6" s="1986"/>
      <c r="BC6" s="1986"/>
      <c r="BD6" s="1986"/>
      <c r="BE6" s="1986"/>
    </row>
    <row r="7" spans="1:57" ht="12" customHeight="1" thickBot="1" x14ac:dyDescent="0.25">
      <c r="A7" s="2442"/>
      <c r="B7" s="1096"/>
      <c r="C7" s="4695"/>
      <c r="D7" s="4696"/>
      <c r="E7" s="4696"/>
      <c r="F7" s="5196"/>
      <c r="G7" s="5197"/>
      <c r="I7" s="4695"/>
      <c r="J7" s="4696"/>
      <c r="K7" s="4696"/>
      <c r="L7" s="5332"/>
      <c r="M7" s="5332"/>
      <c r="N7" s="5332"/>
      <c r="O7" s="5332"/>
      <c r="P7" s="5332"/>
      <c r="Q7" s="5334"/>
      <c r="R7" s="652"/>
      <c r="S7" s="2441"/>
      <c r="T7" s="2442"/>
      <c r="U7" s="1096"/>
      <c r="V7" s="5358"/>
      <c r="W7" s="5286" t="s">
        <v>1401</v>
      </c>
      <c r="X7" s="5287"/>
      <c r="Y7" s="5336"/>
      <c r="Z7" s="5337"/>
      <c r="AA7" s="5323"/>
      <c r="AB7" s="5325"/>
      <c r="AC7" s="5323"/>
      <c r="AD7" s="5324"/>
      <c r="AE7" s="5325"/>
      <c r="AF7" s="5324"/>
      <c r="AG7" s="5292"/>
      <c r="AH7" s="5292"/>
      <c r="AI7" s="5291"/>
      <c r="AJ7" s="5308"/>
      <c r="AK7" s="838"/>
      <c r="AL7" s="2456"/>
      <c r="AM7" s="1986"/>
      <c r="AN7" s="1986"/>
      <c r="AO7" s="1986"/>
      <c r="AP7" s="1986"/>
      <c r="AQ7" s="1986"/>
      <c r="AR7" s="1986"/>
      <c r="AS7" s="1986"/>
      <c r="AT7" s="1986"/>
      <c r="AU7" s="1986"/>
      <c r="AV7" s="1986"/>
      <c r="AW7" s="1986"/>
      <c r="AX7" s="1986"/>
      <c r="AY7" s="1986"/>
      <c r="AZ7" s="1986"/>
      <c r="BA7" s="1986"/>
      <c r="BB7" s="1986"/>
      <c r="BC7" s="1986"/>
      <c r="BD7" s="1986"/>
      <c r="BE7" s="1986"/>
    </row>
    <row r="8" spans="1:57" ht="12" customHeight="1" thickBot="1" x14ac:dyDescent="0.25">
      <c r="A8" s="2442"/>
      <c r="B8" s="1096"/>
      <c r="R8" s="652"/>
      <c r="S8" s="2441"/>
      <c r="T8" s="2442"/>
      <c r="U8" s="1096"/>
      <c r="V8" s="5358"/>
      <c r="W8" s="5286" t="s">
        <v>7483</v>
      </c>
      <c r="X8" s="5287"/>
      <c r="Y8" s="5291"/>
      <c r="Z8" s="5292"/>
      <c r="AA8" s="5309"/>
      <c r="AB8" s="5326"/>
      <c r="AC8" s="5309"/>
      <c r="AD8" s="5326"/>
      <c r="AE8" s="5309"/>
      <c r="AF8" s="5326"/>
      <c r="AG8" s="5309"/>
      <c r="AH8" s="5326"/>
      <c r="AI8" s="5309"/>
      <c r="AJ8" s="5310"/>
      <c r="AK8" s="838"/>
      <c r="AL8" s="2456"/>
      <c r="AM8" s="1986"/>
      <c r="AN8" s="1986"/>
      <c r="AO8" s="1986"/>
      <c r="AP8" s="1986"/>
      <c r="AQ8" s="1986"/>
      <c r="AR8" s="1986"/>
      <c r="AS8" s="1986"/>
      <c r="AT8" s="1986"/>
      <c r="AU8" s="1986"/>
      <c r="AV8" s="1986"/>
      <c r="AW8" s="1986"/>
      <c r="AX8" s="1986"/>
      <c r="AY8" s="1986"/>
      <c r="AZ8" s="1986"/>
      <c r="BA8" s="1986"/>
      <c r="BB8" s="1986"/>
      <c r="BC8" s="1986"/>
      <c r="BD8" s="1986"/>
      <c r="BE8" s="1986"/>
    </row>
    <row r="9" spans="1:57" ht="12" customHeight="1" thickBot="1" x14ac:dyDescent="0.25">
      <c r="A9" s="2442"/>
      <c r="B9" s="1096"/>
      <c r="C9" s="3026" t="s">
        <v>1830</v>
      </c>
      <c r="D9" s="3027"/>
      <c r="E9" s="3027"/>
      <c r="F9" s="3027"/>
      <c r="G9" s="3028"/>
      <c r="I9" s="3851" t="s">
        <v>1831</v>
      </c>
      <c r="J9" s="3852"/>
      <c r="K9" s="3852"/>
      <c r="L9" s="3852"/>
      <c r="M9" s="3852"/>
      <c r="N9" s="3852"/>
      <c r="O9" s="3852"/>
      <c r="P9" s="3852"/>
      <c r="Q9" s="3853"/>
      <c r="R9" s="652"/>
      <c r="S9" s="2441"/>
      <c r="T9" s="2442"/>
      <c r="U9" s="1096"/>
      <c r="V9" s="5358"/>
      <c r="W9" s="5286" t="s">
        <v>8606</v>
      </c>
      <c r="X9" s="5287"/>
      <c r="Y9" s="5309"/>
      <c r="Z9" s="5326"/>
      <c r="AA9" s="5309"/>
      <c r="AB9" s="5326"/>
      <c r="AC9" s="5309"/>
      <c r="AD9" s="5326"/>
      <c r="AE9" s="5309"/>
      <c r="AF9" s="5326"/>
      <c r="AG9" s="5292"/>
      <c r="AH9" s="5292"/>
      <c r="AI9" s="5291"/>
      <c r="AJ9" s="5308"/>
      <c r="AK9" s="838"/>
      <c r="AL9" s="2456"/>
      <c r="AM9" s="2755" t="s">
        <v>6736</v>
      </c>
      <c r="AN9" s="2759" t="b">
        <f>OR(IF(Personalización!E23="",,COUNTIF(RaícesCulturales_Especial1,Personalización!$E$23)=0),IF(Personalización!E24="",,COUNTIF(RaícesCulturales_Especial2,Personalización!$E$24)=0))</f>
        <v>0</v>
      </c>
      <c r="AO9" s="1986"/>
      <c r="AP9" s="1986"/>
      <c r="AQ9" s="1986"/>
      <c r="AR9" s="1986"/>
      <c r="AS9" s="1986"/>
      <c r="AT9" s="1986"/>
      <c r="AU9" s="1986"/>
      <c r="AV9" s="1986"/>
      <c r="AW9" s="1986"/>
      <c r="AX9" s="1986"/>
      <c r="AY9" s="1986"/>
      <c r="AZ9" s="1986"/>
      <c r="BA9" s="1986"/>
      <c r="BB9" s="1986"/>
      <c r="BC9" s="1986"/>
      <c r="BD9" s="1986"/>
      <c r="BE9" s="1986"/>
    </row>
    <row r="10" spans="1:57" ht="12" customHeight="1" x14ac:dyDescent="0.2">
      <c r="A10" s="2442"/>
      <c r="B10" s="1096"/>
      <c r="C10" s="5260" t="s">
        <v>1535</v>
      </c>
      <c r="D10" s="5261"/>
      <c r="E10" s="5261"/>
      <c r="F10" s="5262"/>
      <c r="G10" s="2407" t="s">
        <v>1498</v>
      </c>
      <c r="I10" s="4867" t="s">
        <v>1383</v>
      </c>
      <c r="J10" s="5329"/>
      <c r="K10" s="5329"/>
      <c r="L10" s="5329"/>
      <c r="M10" s="5329"/>
      <c r="N10" s="5329"/>
      <c r="O10" s="5330"/>
      <c r="P10" s="2408" t="s">
        <v>1384</v>
      </c>
      <c r="Q10" s="2409" t="s">
        <v>1385</v>
      </c>
      <c r="R10" s="652"/>
      <c r="S10" s="2441"/>
      <c r="T10" s="2442"/>
      <c r="U10" s="1096"/>
      <c r="V10" s="5358"/>
      <c r="W10" s="5286" t="s">
        <v>1575</v>
      </c>
      <c r="X10" s="5287"/>
      <c r="Y10" s="5291"/>
      <c r="Z10" s="5292"/>
      <c r="AA10" s="5291"/>
      <c r="AB10" s="5292"/>
      <c r="AC10" s="5327"/>
      <c r="AD10" s="5328"/>
      <c r="AE10" s="5292"/>
      <c r="AF10" s="5416"/>
      <c r="AG10" s="5327"/>
      <c r="AH10" s="5328"/>
      <c r="AI10" s="5327"/>
      <c r="AJ10" s="5420"/>
      <c r="AK10" s="838"/>
      <c r="AL10" s="2456"/>
      <c r="AM10" s="1986"/>
      <c r="AN10" s="1986"/>
      <c r="AO10" s="1986"/>
      <c r="AP10" s="1986"/>
      <c r="AQ10" s="1986"/>
      <c r="AR10" s="1986"/>
      <c r="AS10" s="1986"/>
      <c r="AT10" s="1986"/>
      <c r="AU10" s="1986"/>
      <c r="AV10" s="1986"/>
      <c r="AW10" s="1986"/>
      <c r="AX10" s="1986"/>
      <c r="AY10" s="1986"/>
      <c r="AZ10" s="1986"/>
      <c r="BA10" s="1986"/>
      <c r="BB10" s="1986"/>
      <c r="BC10" s="1986"/>
      <c r="BD10" s="1986"/>
      <c r="BE10" s="1986"/>
    </row>
    <row r="11" spans="1:57" ht="12" customHeight="1" x14ac:dyDescent="0.2">
      <c r="A11" s="2442"/>
      <c r="B11" s="1096"/>
      <c r="C11" s="5267"/>
      <c r="D11" s="5268"/>
      <c r="E11" s="5268"/>
      <c r="F11" s="5269"/>
      <c r="G11" s="1901"/>
      <c r="I11" s="5348"/>
      <c r="J11" s="5349"/>
      <c r="K11" s="5349"/>
      <c r="L11" s="5349"/>
      <c r="M11" s="5349"/>
      <c r="N11" s="5349"/>
      <c r="O11" s="5350"/>
      <c r="P11" s="1903"/>
      <c r="Q11" s="1701"/>
      <c r="R11" s="652"/>
      <c r="S11" s="2441"/>
      <c r="T11" s="2442"/>
      <c r="U11" s="1096"/>
      <c r="V11" s="5358"/>
      <c r="W11" s="5415" t="s">
        <v>8612</v>
      </c>
      <c r="X11" s="5415"/>
      <c r="Y11" s="5351"/>
      <c r="Z11" s="5352"/>
      <c r="AA11" s="5319" t="s">
        <v>8610</v>
      </c>
      <c r="AB11" s="5319"/>
      <c r="AC11" s="5319" t="s">
        <v>8957</v>
      </c>
      <c r="AD11" s="5319"/>
      <c r="AE11" s="5319" t="s">
        <v>8959</v>
      </c>
      <c r="AF11" s="5319"/>
      <c r="AG11" s="5319" t="s">
        <v>8975</v>
      </c>
      <c r="AH11" s="5319"/>
      <c r="AI11" s="5319" t="s">
        <v>8976</v>
      </c>
      <c r="AJ11" s="5422"/>
      <c r="AK11" s="838"/>
      <c r="AL11" s="2456"/>
      <c r="AM11" s="2755" t="s">
        <v>6737</v>
      </c>
      <c r="AN11" s="2764" t="str">
        <f>IF(Tablas!L136="","",IF(AND(Region="Elcia",OR(ClaseSocial=Tablas!CK140,ClaseSocial=Tablas!CL140,ClaseSocial=Tablas!CM140)),"Habilidades_Secundarias","RaícesCulturales_Especial1"))</f>
        <v/>
      </c>
      <c r="AO11" s="1986"/>
      <c r="AP11" s="1986"/>
      <c r="AQ11" s="1986"/>
      <c r="AR11" s="1986"/>
      <c r="AS11" s="1986"/>
      <c r="AT11" s="1986"/>
      <c r="AU11" s="1986"/>
      <c r="AV11" s="1986"/>
      <c r="AW11" s="1986"/>
      <c r="AX11" s="1986"/>
      <c r="AY11" s="1986"/>
      <c r="AZ11" s="1986"/>
      <c r="BA11" s="1986"/>
      <c r="BB11" s="1986"/>
      <c r="BC11" s="1986"/>
      <c r="BD11" s="1986"/>
      <c r="BE11" s="1986"/>
    </row>
    <row r="12" spans="1:57" ht="12" customHeight="1" x14ac:dyDescent="0.2">
      <c r="A12" s="2442"/>
      <c r="B12" s="1096"/>
      <c r="C12" s="5265"/>
      <c r="D12" s="4405"/>
      <c r="E12" s="4405"/>
      <c r="F12" s="5266"/>
      <c r="G12" s="1907"/>
      <c r="I12" s="5237"/>
      <c r="J12" s="5238"/>
      <c r="K12" s="5238"/>
      <c r="L12" s="5238"/>
      <c r="M12" s="5238"/>
      <c r="N12" s="5238"/>
      <c r="O12" s="5239"/>
      <c r="P12" s="1909"/>
      <c r="Q12" s="1910"/>
      <c r="R12" s="652"/>
      <c r="S12" s="2441"/>
      <c r="T12" s="2442"/>
      <c r="U12" s="1096"/>
      <c r="V12" s="5358"/>
      <c r="W12" s="5286" t="s">
        <v>1401</v>
      </c>
      <c r="X12" s="5287"/>
      <c r="Y12" s="5353"/>
      <c r="Z12" s="5354"/>
      <c r="AA12" s="5291"/>
      <c r="AB12" s="5292"/>
      <c r="AC12" s="5323"/>
      <c r="AD12" s="5324"/>
      <c r="AE12" s="5292"/>
      <c r="AF12" s="5416"/>
      <c r="AG12" s="5292"/>
      <c r="AH12" s="5292"/>
      <c r="AI12" s="5336"/>
      <c r="AJ12" s="5423"/>
      <c r="AK12" s="838"/>
      <c r="AL12" s="2456"/>
      <c r="AM12" s="2755" t="s">
        <v>6738</v>
      </c>
      <c r="AN12" s="2764" t="str">
        <f>IF(Tablas!N136="","","RaícesCulturales_Especial2")</f>
        <v/>
      </c>
      <c r="AO12" s="1986"/>
      <c r="AP12" s="1986"/>
      <c r="AQ12" s="1986"/>
      <c r="AR12" s="1986"/>
      <c r="AS12" s="1986"/>
      <c r="AT12" s="1986"/>
      <c r="AU12" s="1986"/>
      <c r="AV12" s="1986"/>
      <c r="AW12" s="1986"/>
      <c r="AX12" s="1986"/>
      <c r="AY12" s="1986"/>
      <c r="AZ12" s="1986"/>
      <c r="BA12" s="1986"/>
      <c r="BB12" s="1986"/>
      <c r="BC12" s="1986"/>
      <c r="BD12" s="1986"/>
      <c r="BE12" s="1986"/>
    </row>
    <row r="13" spans="1:57" ht="12" customHeight="1" x14ac:dyDescent="0.2">
      <c r="A13" s="2442"/>
      <c r="B13" s="1096"/>
      <c r="C13" s="5263"/>
      <c r="D13" s="4402"/>
      <c r="E13" s="4402"/>
      <c r="F13" s="5264"/>
      <c r="G13" s="1902"/>
      <c r="I13" s="5234"/>
      <c r="J13" s="5235"/>
      <c r="K13" s="5235"/>
      <c r="L13" s="5235"/>
      <c r="M13" s="5235"/>
      <c r="N13" s="5235"/>
      <c r="O13" s="5236"/>
      <c r="P13" s="1903"/>
      <c r="Q13" s="1701"/>
      <c r="R13" s="652"/>
      <c r="S13" s="2441"/>
      <c r="T13" s="2442"/>
      <c r="U13" s="1096"/>
      <c r="V13" s="5358"/>
      <c r="W13" s="5286" t="s">
        <v>7483</v>
      </c>
      <c r="X13" s="5287"/>
      <c r="Y13" s="5353"/>
      <c r="Z13" s="5354"/>
      <c r="AA13" s="5315"/>
      <c r="AB13" s="5316"/>
      <c r="AC13" s="5309"/>
      <c r="AD13" s="5326"/>
      <c r="AE13" s="5309"/>
      <c r="AF13" s="5326"/>
      <c r="AG13" s="5315"/>
      <c r="AH13" s="5316"/>
      <c r="AI13" s="5291"/>
      <c r="AJ13" s="5308"/>
      <c r="AK13" s="838"/>
      <c r="AL13" s="2456"/>
      <c r="AM13" s="1986"/>
      <c r="AN13" s="1986"/>
      <c r="AO13" s="1986"/>
      <c r="AP13" s="1986"/>
      <c r="AQ13" s="1986"/>
      <c r="AR13" s="1986"/>
      <c r="AS13" s="1986"/>
      <c r="AT13" s="1986"/>
      <c r="AU13" s="1986"/>
      <c r="AV13" s="1986"/>
      <c r="AW13" s="1986"/>
      <c r="AX13" s="1986"/>
      <c r="AY13" s="1986"/>
      <c r="AZ13" s="1986"/>
      <c r="BA13" s="1986"/>
      <c r="BB13" s="1986"/>
      <c r="BC13" s="1986"/>
      <c r="BD13" s="1986"/>
      <c r="BE13" s="1986"/>
    </row>
    <row r="14" spans="1:57" ht="12" customHeight="1" thickBot="1" x14ac:dyDescent="0.25">
      <c r="A14" s="2442"/>
      <c r="B14" s="1096"/>
      <c r="C14" s="5296"/>
      <c r="D14" s="5297"/>
      <c r="E14" s="5297"/>
      <c r="F14" s="5298"/>
      <c r="G14" s="1908"/>
      <c r="I14" s="5237"/>
      <c r="J14" s="5238"/>
      <c r="K14" s="5238"/>
      <c r="L14" s="5238"/>
      <c r="M14" s="5238"/>
      <c r="N14" s="5238"/>
      <c r="O14" s="5239"/>
      <c r="P14" s="1909"/>
      <c r="Q14" s="1910"/>
      <c r="R14" s="652"/>
      <c r="S14" s="2441"/>
      <c r="T14" s="2442"/>
      <c r="U14" s="1096"/>
      <c r="V14" s="5358"/>
      <c r="W14" s="5286" t="s">
        <v>8606</v>
      </c>
      <c r="X14" s="5287"/>
      <c r="Y14" s="5353"/>
      <c r="Z14" s="5354"/>
      <c r="AA14" s="5315"/>
      <c r="AB14" s="5316"/>
      <c r="AC14" s="5360"/>
      <c r="AD14" s="5361"/>
      <c r="AE14" s="5309"/>
      <c r="AF14" s="5326"/>
      <c r="AG14" s="5309"/>
      <c r="AH14" s="5326"/>
      <c r="AI14" s="5309"/>
      <c r="AJ14" s="5310"/>
      <c r="AK14" s="838"/>
      <c r="AL14" s="2456"/>
      <c r="AM14" s="1986" t="s">
        <v>8757</v>
      </c>
      <c r="AN14" s="2804" t="b">
        <f>AND(E40="Cumplido",OR(Raza="Ebudan",Nephilim="Nephilim Ebudan"))</f>
        <v>0</v>
      </c>
      <c r="AO14" s="1986"/>
      <c r="AP14" s="1986"/>
      <c r="AQ14" s="1986"/>
      <c r="AR14" s="1986"/>
      <c r="AS14" s="1986"/>
      <c r="AT14" s="1986"/>
      <c r="AU14" s="1986"/>
      <c r="AV14" s="1986"/>
      <c r="AW14" s="1986"/>
      <c r="AX14" s="1986"/>
      <c r="AY14" s="1986"/>
      <c r="AZ14" s="1986"/>
      <c r="BA14" s="1986"/>
      <c r="BB14" s="1986"/>
      <c r="BC14" s="1986"/>
      <c r="BD14" s="1986"/>
      <c r="BE14" s="1986"/>
    </row>
    <row r="15" spans="1:57" ht="12" customHeight="1" thickBot="1" x14ac:dyDescent="0.25">
      <c r="A15" s="2442"/>
      <c r="B15" s="1096"/>
      <c r="C15" s="5275" t="s">
        <v>9077</v>
      </c>
      <c r="D15" s="5276"/>
      <c r="E15" s="5276"/>
      <c r="F15" s="5276"/>
      <c r="G15" s="2138" t="s">
        <v>1389</v>
      </c>
      <c r="I15" s="5288"/>
      <c r="J15" s="5289"/>
      <c r="K15" s="5289"/>
      <c r="L15" s="5289"/>
      <c r="M15" s="5289"/>
      <c r="N15" s="5289"/>
      <c r="O15" s="5290"/>
      <c r="P15" s="1904"/>
      <c r="Q15" s="1905"/>
      <c r="R15" s="652"/>
      <c r="S15" s="2441"/>
      <c r="T15" s="2442"/>
      <c r="U15" s="1096"/>
      <c r="V15" s="5359"/>
      <c r="W15" s="5320" t="s">
        <v>1575</v>
      </c>
      <c r="X15" s="5321"/>
      <c r="Y15" s="5355"/>
      <c r="Z15" s="5356"/>
      <c r="AA15" s="5317"/>
      <c r="AB15" s="5318"/>
      <c r="AC15" s="5311"/>
      <c r="AD15" s="5285"/>
      <c r="AE15" s="5284"/>
      <c r="AF15" s="5285"/>
      <c r="AG15" s="5284"/>
      <c r="AH15" s="5284"/>
      <c r="AI15" s="5311"/>
      <c r="AJ15" s="5312"/>
      <c r="AK15" s="838"/>
      <c r="AL15" s="2456"/>
      <c r="AM15" s="1986" t="s">
        <v>8748</v>
      </c>
      <c r="AN15" s="2804" t="b">
        <f>AND($AN$14,E42="Si")</f>
        <v>0</v>
      </c>
      <c r="AO15" s="1986"/>
      <c r="AP15" s="1986"/>
      <c r="AQ15" s="1986"/>
      <c r="AR15" s="1986"/>
      <c r="AS15" s="1986"/>
      <c r="AT15" s="1986"/>
      <c r="AU15" s="1986"/>
      <c r="AV15" s="1986"/>
      <c r="AW15" s="1986"/>
      <c r="AX15" s="1986"/>
      <c r="AY15" s="1986"/>
      <c r="AZ15" s="1986"/>
      <c r="BA15" s="1986"/>
      <c r="BB15" s="1986"/>
      <c r="BC15" s="1986"/>
      <c r="BD15" s="1986"/>
      <c r="BE15" s="1986"/>
    </row>
    <row r="16" spans="1:57" ht="12" customHeight="1" thickBot="1" x14ac:dyDescent="0.25">
      <c r="A16" s="2442"/>
      <c r="B16" s="1096"/>
      <c r="R16" s="652"/>
      <c r="S16" s="2441"/>
      <c r="T16" s="2442"/>
      <c r="U16" s="1096"/>
      <c r="AK16" s="838"/>
      <c r="AL16" s="2456"/>
      <c r="AM16" s="1986"/>
      <c r="AN16" s="1986"/>
      <c r="AO16" s="1986"/>
      <c r="AP16" s="1986"/>
      <c r="AQ16" s="1986"/>
      <c r="AR16" s="1986"/>
      <c r="AS16" s="1986"/>
      <c r="AT16" s="1986"/>
      <c r="AU16" s="1986"/>
      <c r="AV16" s="1986"/>
      <c r="AW16" s="1986"/>
      <c r="AX16" s="1986"/>
      <c r="AY16" s="1986"/>
      <c r="AZ16" s="1986"/>
      <c r="BA16" s="1986"/>
      <c r="BB16" s="1986"/>
      <c r="BC16" s="1986"/>
      <c r="BD16" s="1986"/>
      <c r="BE16" s="1986"/>
    </row>
    <row r="17" spans="1:57" ht="12" customHeight="1" thickBot="1" x14ac:dyDescent="0.25">
      <c r="A17" s="2442"/>
      <c r="B17" s="1096"/>
      <c r="C17" s="3026" t="s">
        <v>9619</v>
      </c>
      <c r="D17" s="3027"/>
      <c r="E17" s="3027"/>
      <c r="F17" s="5277" t="s">
        <v>1389</v>
      </c>
      <c r="G17" s="5278"/>
      <c r="I17" s="3851" t="s">
        <v>1833</v>
      </c>
      <c r="J17" s="3852"/>
      <c r="K17" s="3852"/>
      <c r="L17" s="3852"/>
      <c r="M17" s="3852"/>
      <c r="N17" s="3852"/>
      <c r="O17" s="3852"/>
      <c r="P17" s="3852"/>
      <c r="Q17" s="3853"/>
      <c r="R17" s="652"/>
      <c r="S17" s="2441"/>
      <c r="T17" s="2442"/>
      <c r="U17" s="1096"/>
      <c r="V17" s="2944" t="s">
        <v>1834</v>
      </c>
      <c r="W17" s="2945"/>
      <c r="X17" s="2945"/>
      <c r="Y17" s="2945"/>
      <c r="Z17" s="2945"/>
      <c r="AA17" s="2945"/>
      <c r="AB17" s="2993"/>
      <c r="AC17" s="2993"/>
      <c r="AD17" s="2993"/>
      <c r="AE17" s="2993"/>
      <c r="AF17" s="2993"/>
      <c r="AG17" s="2993"/>
      <c r="AH17" s="2993"/>
      <c r="AI17" s="2993"/>
      <c r="AJ17" s="2994"/>
      <c r="AK17" s="838"/>
      <c r="AL17" s="2456"/>
      <c r="AM17" s="1986" t="s">
        <v>7210</v>
      </c>
      <c r="AN17" s="1986"/>
      <c r="AO17" s="1986"/>
      <c r="AP17" s="1986"/>
      <c r="AQ17" s="1986"/>
      <c r="AR17" s="1986"/>
      <c r="AS17" s="1986"/>
      <c r="AT17" s="1986"/>
      <c r="AU17" s="1986"/>
      <c r="AV17" s="1986"/>
      <c r="AW17" s="1986"/>
      <c r="AX17" s="1986"/>
      <c r="AY17" s="1986"/>
      <c r="AZ17" s="1986"/>
      <c r="BA17" s="1986"/>
      <c r="BB17" s="1986"/>
      <c r="BC17" s="1986"/>
      <c r="BD17" s="1986"/>
      <c r="BE17" s="1986"/>
    </row>
    <row r="18" spans="1:57" ht="12" customHeight="1" thickBot="1" x14ac:dyDescent="0.25">
      <c r="A18" s="2442"/>
      <c r="B18" s="1096"/>
      <c r="I18" s="4867" t="s">
        <v>1450</v>
      </c>
      <c r="J18" s="5329"/>
      <c r="K18" s="5329"/>
      <c r="L18" s="5329"/>
      <c r="M18" s="5329"/>
      <c r="N18" s="5329"/>
      <c r="O18" s="5330"/>
      <c r="P18" s="42" t="s">
        <v>1384</v>
      </c>
      <c r="Q18" s="16" t="s">
        <v>1385</v>
      </c>
      <c r="R18" s="652"/>
      <c r="S18" s="2441"/>
      <c r="T18" s="2442"/>
      <c r="U18" s="1096"/>
      <c r="V18" s="3248" t="s">
        <v>1331</v>
      </c>
      <c r="W18" s="5299"/>
      <c r="X18" s="5300"/>
      <c r="Y18" s="5301"/>
      <c r="Z18" s="5301"/>
      <c r="AA18" s="5302"/>
      <c r="AB18" s="2042" t="s">
        <v>8952</v>
      </c>
      <c r="AC18" s="5306"/>
      <c r="AD18" s="5307"/>
      <c r="AE18" s="5307"/>
      <c r="AF18" s="5307"/>
      <c r="AG18" s="5307"/>
      <c r="AH18" s="5307"/>
      <c r="AI18" s="5307"/>
      <c r="AJ18" s="3296"/>
      <c r="AK18" s="838"/>
      <c r="AL18" s="2456"/>
      <c r="AM18" s="1986" t="s">
        <v>7211</v>
      </c>
      <c r="AN18" s="1986" t="s">
        <v>6663</v>
      </c>
      <c r="AO18" s="1986"/>
      <c r="AP18" s="1986"/>
      <c r="AQ18" s="1986"/>
      <c r="AR18" s="1986"/>
      <c r="AS18" s="1986"/>
      <c r="AT18" s="1986"/>
      <c r="AU18" s="1986"/>
      <c r="AV18" s="1986"/>
      <c r="AW18" s="1986"/>
      <c r="AX18" s="1986"/>
      <c r="AY18" s="1986"/>
      <c r="AZ18" s="1986"/>
      <c r="BA18" s="1986"/>
      <c r="BB18" s="1986"/>
      <c r="BC18" s="1986"/>
      <c r="BD18" s="1986"/>
      <c r="BE18" s="1986"/>
    </row>
    <row r="19" spans="1:57" ht="12" customHeight="1" thickBot="1" x14ac:dyDescent="0.25">
      <c r="A19" s="2442"/>
      <c r="B19" s="1096"/>
      <c r="C19" s="3026" t="s">
        <v>6739</v>
      </c>
      <c r="D19" s="3027"/>
      <c r="E19" s="3027"/>
      <c r="F19" s="3027"/>
      <c r="G19" s="3028"/>
      <c r="I19" s="5234"/>
      <c r="J19" s="5235"/>
      <c r="K19" s="5235"/>
      <c r="L19" s="5235"/>
      <c r="M19" s="5235"/>
      <c r="N19" s="5235"/>
      <c r="O19" s="5236"/>
      <c r="P19" s="1906"/>
      <c r="Q19" s="1701"/>
      <c r="R19" s="652"/>
      <c r="S19" s="2441"/>
      <c r="T19" s="2442"/>
      <c r="U19" s="1096"/>
      <c r="V19" s="3248" t="s">
        <v>1835</v>
      </c>
      <c r="W19" s="5299"/>
      <c r="X19" s="1935"/>
      <c r="Y19" s="2410" t="s">
        <v>1401</v>
      </c>
      <c r="Z19" s="2411" t="s">
        <v>1575</v>
      </c>
      <c r="AA19" s="5304" t="s">
        <v>1836</v>
      </c>
      <c r="AB19" s="5305"/>
      <c r="AC19" s="2518"/>
      <c r="AD19" s="2519" t="s">
        <v>1837</v>
      </c>
      <c r="AE19" s="2520"/>
      <c r="AF19" s="2412" t="s">
        <v>1401</v>
      </c>
      <c r="AG19" s="5303" t="str">
        <f>IF(W20="Escudo","Bono de Parada:",IF(W20="Proyectiles","FUE del arma:",""))</f>
        <v/>
      </c>
      <c r="AH19" s="3111"/>
      <c r="AI19" s="3111"/>
      <c r="AJ19" s="1900"/>
      <c r="AK19" s="838"/>
      <c r="AL19" s="2456"/>
      <c r="AM19" s="2805" t="s">
        <v>7212</v>
      </c>
      <c r="AN19" s="2805" t="s">
        <v>2695</v>
      </c>
      <c r="AO19" s="1986"/>
      <c r="AP19" s="1986"/>
      <c r="AQ19" s="1986"/>
      <c r="AR19" s="1986"/>
      <c r="AS19" s="1986"/>
      <c r="AT19" s="1986"/>
      <c r="AU19" s="1986"/>
      <c r="AV19" s="1986"/>
      <c r="AW19" s="1986"/>
      <c r="AX19" s="1986"/>
      <c r="AY19" s="1986"/>
      <c r="AZ19" s="1986"/>
      <c r="BA19" s="1986"/>
      <c r="BB19" s="1986"/>
      <c r="BC19" s="1986"/>
      <c r="BD19" s="1986"/>
      <c r="BE19" s="1986"/>
    </row>
    <row r="20" spans="1:57" ht="12" customHeight="1" thickBot="1" x14ac:dyDescent="0.25">
      <c r="A20" s="2442"/>
      <c r="B20" s="1096"/>
      <c r="C20" s="5313" t="str">
        <f>IF(Tablas!G480&gt;0,"Ventaja elegida","Aplicar bonos:")</f>
        <v>Aplicar bonos:</v>
      </c>
      <c r="D20" s="5314"/>
      <c r="E20" s="5253" t="s">
        <v>1389</v>
      </c>
      <c r="F20" s="5254"/>
      <c r="G20" s="5255"/>
      <c r="I20" s="5237"/>
      <c r="J20" s="5238"/>
      <c r="K20" s="5238"/>
      <c r="L20" s="5238"/>
      <c r="M20" s="5238"/>
      <c r="N20" s="5238"/>
      <c r="O20" s="5239"/>
      <c r="P20" s="2413"/>
      <c r="Q20" s="1910"/>
      <c r="R20" s="652"/>
      <c r="S20" s="2441"/>
      <c r="T20" s="2442"/>
      <c r="U20" s="1096"/>
      <c r="V20" s="1658" t="s">
        <v>1838</v>
      </c>
      <c r="W20" s="5339"/>
      <c r="X20" s="5340"/>
      <c r="Y20" s="5341"/>
      <c r="Z20" s="5341"/>
      <c r="AA20" s="565" t="s">
        <v>1577</v>
      </c>
      <c r="AB20" s="565" t="s">
        <v>1578</v>
      </c>
      <c r="AC20" s="565" t="s">
        <v>1566</v>
      </c>
      <c r="AD20" s="565" t="s">
        <v>1579</v>
      </c>
      <c r="AE20" s="2507" t="s">
        <v>1567</v>
      </c>
      <c r="AF20" s="2414" t="s">
        <v>2642</v>
      </c>
      <c r="AG20" s="5345" t="str">
        <f>IF(W20="Escudo","Bono de Esquiva:",IF(W20="Proyectiles","Turnos de recarga:",""))</f>
        <v/>
      </c>
      <c r="AH20" s="5346"/>
      <c r="AI20" s="5346"/>
      <c r="AJ20" s="1900"/>
      <c r="AK20" s="838"/>
      <c r="AL20" s="2456"/>
      <c r="AM20" s="2805" t="s">
        <v>7213</v>
      </c>
      <c r="AN20" s="2805" t="s">
        <v>2699</v>
      </c>
      <c r="AO20" s="1986"/>
      <c r="AP20" s="1986"/>
      <c r="AQ20" s="1986"/>
      <c r="AR20" s="1986"/>
      <c r="AS20" s="1986"/>
      <c r="AT20" s="1986"/>
      <c r="AU20" s="1986"/>
      <c r="AV20" s="1986"/>
      <c r="AW20" s="1986"/>
      <c r="AX20" s="1986"/>
      <c r="AY20" s="1986"/>
      <c r="AZ20" s="1986"/>
      <c r="BA20" s="1986"/>
      <c r="BB20" s="1986"/>
      <c r="BC20" s="1986"/>
      <c r="BD20" s="1986"/>
      <c r="BE20" s="1986"/>
    </row>
    <row r="21" spans="1:57" ht="12" customHeight="1" thickBot="1" x14ac:dyDescent="0.25">
      <c r="A21" s="2442"/>
      <c r="B21" s="1096"/>
      <c r="C21" s="5293" t="str">
        <f>IF(Region="","Región no definida",Region)</f>
        <v>Región no definida</v>
      </c>
      <c r="D21" s="5294"/>
      <c r="E21" s="5294" t="str">
        <f>IF(OR(Region="",ClaseSocial=""),"Clase social no definida",ClaseSocial)</f>
        <v>Clase social no definida</v>
      </c>
      <c r="F21" s="5294"/>
      <c r="G21" s="5295"/>
      <c r="I21" s="5234"/>
      <c r="J21" s="5235"/>
      <c r="K21" s="5235"/>
      <c r="L21" s="5235"/>
      <c r="M21" s="5235"/>
      <c r="N21" s="5235"/>
      <c r="O21" s="5236"/>
      <c r="P21" s="2415"/>
      <c r="Q21" s="1701"/>
      <c r="R21" s="652"/>
      <c r="S21" s="2441"/>
      <c r="T21" s="2442"/>
      <c r="U21" s="1096"/>
      <c r="V21" s="2505" t="s">
        <v>1839</v>
      </c>
      <c r="W21" s="5343"/>
      <c r="X21" s="5344"/>
      <c r="Y21" s="5342"/>
      <c r="Z21" s="5342"/>
      <c r="AA21" s="1937"/>
      <c r="AB21" s="1794"/>
      <c r="AC21" s="2506"/>
      <c r="AD21" s="1936"/>
      <c r="AE21" s="2504"/>
      <c r="AF21" s="2586"/>
      <c r="AG21" s="5377" t="str">
        <f>IF(W20="Proyectiles","Alcance:","")</f>
        <v/>
      </c>
      <c r="AH21" s="5377"/>
      <c r="AI21" s="5377"/>
      <c r="AJ21" s="1899"/>
      <c r="AK21" s="838"/>
      <c r="AL21" s="2456"/>
      <c r="AM21" s="1986"/>
      <c r="AN21" s="2805" t="s">
        <v>2701</v>
      </c>
      <c r="AO21" s="1986"/>
      <c r="AP21" s="1986"/>
      <c r="AQ21" s="1986"/>
      <c r="AR21" s="1986"/>
      <c r="AS21" s="1986"/>
      <c r="AT21" s="1986"/>
      <c r="AU21" s="1986"/>
      <c r="AV21" s="1986"/>
      <c r="AW21" s="1986"/>
      <c r="AX21" s="1986"/>
      <c r="AY21" s="1986"/>
      <c r="AZ21" s="1986"/>
      <c r="BA21" s="1986"/>
      <c r="BB21" s="1986"/>
      <c r="BC21" s="1986"/>
      <c r="BD21" s="1986"/>
      <c r="BE21" s="1986"/>
    </row>
    <row r="22" spans="1:57" ht="12" customHeight="1" x14ac:dyDescent="0.2">
      <c r="A22" s="2442"/>
      <c r="B22" s="1096"/>
      <c r="C22" s="5293"/>
      <c r="D22" s="5294"/>
      <c r="E22" s="5294"/>
      <c r="F22" s="5294"/>
      <c r="G22" s="5295"/>
      <c r="I22" s="5237"/>
      <c r="J22" s="5238"/>
      <c r="K22" s="5238"/>
      <c r="L22" s="5238"/>
      <c r="M22" s="5238"/>
      <c r="N22" s="5238"/>
      <c r="O22" s="5239"/>
      <c r="P22" s="2413"/>
      <c r="Q22" s="1910"/>
      <c r="R22" s="652"/>
      <c r="S22" s="2441"/>
      <c r="T22" s="2442"/>
      <c r="U22" s="1096"/>
      <c r="V22" s="3248" t="s">
        <v>1331</v>
      </c>
      <c r="W22" s="5299"/>
      <c r="X22" s="5300"/>
      <c r="Y22" s="5301"/>
      <c r="Z22" s="5301"/>
      <c r="AA22" s="5302"/>
      <c r="AB22" s="2545" t="s">
        <v>8952</v>
      </c>
      <c r="AC22" s="5369"/>
      <c r="AD22" s="5370"/>
      <c r="AE22" s="5370"/>
      <c r="AF22" s="5370"/>
      <c r="AG22" s="5370"/>
      <c r="AH22" s="5370"/>
      <c r="AI22" s="5370"/>
      <c r="AJ22" s="5371"/>
      <c r="AK22" s="838"/>
      <c r="AL22" s="2456"/>
      <c r="AM22" s="1986"/>
      <c r="AN22" s="1986"/>
      <c r="AO22" s="1986"/>
      <c r="AP22" s="1986"/>
      <c r="AQ22" s="1986"/>
      <c r="AR22" s="1986"/>
      <c r="AS22" s="1986"/>
      <c r="AT22" s="1986"/>
      <c r="AU22" s="1986"/>
      <c r="AV22" s="1986"/>
      <c r="AW22" s="1986"/>
      <c r="AX22" s="1986"/>
      <c r="AY22" s="1986"/>
      <c r="AZ22" s="1986"/>
      <c r="BA22" s="1986"/>
      <c r="BB22" s="1986"/>
      <c r="BC22" s="1986"/>
      <c r="BD22" s="1986"/>
      <c r="BE22" s="1986"/>
    </row>
    <row r="23" spans="1:57" ht="12" customHeight="1" x14ac:dyDescent="0.2">
      <c r="A23" s="2442"/>
      <c r="B23" s="1096"/>
      <c r="C23" s="5282" t="str">
        <f>IF(Tablas!L136="","","Bono Especial:")</f>
        <v/>
      </c>
      <c r="D23" s="5283"/>
      <c r="E23" s="5279"/>
      <c r="F23" s="5280"/>
      <c r="G23" s="5281"/>
      <c r="I23" s="5234"/>
      <c r="J23" s="5235"/>
      <c r="K23" s="5235"/>
      <c r="L23" s="5235"/>
      <c r="M23" s="5235"/>
      <c r="N23" s="5235"/>
      <c r="O23" s="5236"/>
      <c r="P23" s="2415"/>
      <c r="Q23" s="1701"/>
      <c r="R23" s="652"/>
      <c r="S23" s="2441"/>
      <c r="T23" s="1563"/>
      <c r="U23" s="1096"/>
      <c r="V23" s="3248" t="s">
        <v>1835</v>
      </c>
      <c r="W23" s="5299"/>
      <c r="X23" s="1935"/>
      <c r="Y23" s="2410" t="s">
        <v>1401</v>
      </c>
      <c r="Z23" s="2411" t="s">
        <v>1575</v>
      </c>
      <c r="AA23" s="5304" t="s">
        <v>1836</v>
      </c>
      <c r="AB23" s="5304"/>
      <c r="AC23" s="2518"/>
      <c r="AD23" s="2519" t="s">
        <v>1837</v>
      </c>
      <c r="AE23" s="2520"/>
      <c r="AF23" s="1567" t="s">
        <v>1401</v>
      </c>
      <c r="AG23" s="5365" t="str">
        <f>IF(W24="Escudo","Bono de Parada:",IF(W24="Proyectiles","FUE del arma:",""))</f>
        <v/>
      </c>
      <c r="AH23" s="5366"/>
      <c r="AI23" s="5366"/>
      <c r="AJ23" s="1900"/>
      <c r="AK23" s="838"/>
      <c r="AL23" s="2456"/>
      <c r="AM23" s="1986" t="s">
        <v>9867</v>
      </c>
      <c r="AN23" s="1986"/>
      <c r="AO23" s="1986"/>
      <c r="AP23" s="1986"/>
      <c r="AQ23" s="1986"/>
      <c r="AR23" s="1986"/>
      <c r="AS23" s="1986"/>
      <c r="AT23" s="1986"/>
      <c r="AU23" s="1986"/>
      <c r="AV23" s="1986"/>
      <c r="AW23" s="1986"/>
      <c r="AX23" s="1986"/>
      <c r="AY23" s="1986"/>
      <c r="AZ23" s="1986"/>
      <c r="BA23" s="1986"/>
      <c r="BB23" s="1986"/>
      <c r="BC23" s="1986"/>
      <c r="BD23" s="1986"/>
      <c r="BE23" s="1986"/>
    </row>
    <row r="24" spans="1:57" ht="12" customHeight="1" thickBot="1" x14ac:dyDescent="0.25">
      <c r="A24" s="2442"/>
      <c r="B24" s="1096"/>
      <c r="C24" s="5270" t="str">
        <f>IF(Tablas!N136="","","Bono Especial:")</f>
        <v/>
      </c>
      <c r="D24" s="5271"/>
      <c r="E24" s="5272"/>
      <c r="F24" s="5273"/>
      <c r="G24" s="5274"/>
      <c r="I24" s="5237"/>
      <c r="J24" s="5238"/>
      <c r="K24" s="5238"/>
      <c r="L24" s="5238"/>
      <c r="M24" s="5238"/>
      <c r="N24" s="5238"/>
      <c r="O24" s="5239"/>
      <c r="P24" s="2413"/>
      <c r="Q24" s="1910"/>
      <c r="R24" s="652"/>
      <c r="S24" s="2441"/>
      <c r="T24" s="1563"/>
      <c r="U24" s="1096"/>
      <c r="V24" s="1658" t="s">
        <v>1838</v>
      </c>
      <c r="W24" s="5339"/>
      <c r="X24" s="5340"/>
      <c r="Y24" s="5341"/>
      <c r="Z24" s="5341"/>
      <c r="AA24" s="565" t="s">
        <v>1577</v>
      </c>
      <c r="AB24" s="1939" t="s">
        <v>1578</v>
      </c>
      <c r="AC24" s="1939" t="s">
        <v>1566</v>
      </c>
      <c r="AD24" s="565" t="s">
        <v>1579</v>
      </c>
      <c r="AE24" s="2507" t="s">
        <v>1567</v>
      </c>
      <c r="AF24" s="2414" t="s">
        <v>2642</v>
      </c>
      <c r="AG24" s="5345" t="str">
        <f>IF(W24="Escudo","Bono de Esquiva:",IF(W24="Proyectiles","Turnos de recarga:",""))</f>
        <v/>
      </c>
      <c r="AH24" s="5346"/>
      <c r="AI24" s="5346"/>
      <c r="AJ24" s="1900"/>
      <c r="AK24" s="838"/>
      <c r="AL24" s="2456"/>
      <c r="AM24" s="1986" t="s">
        <v>8910</v>
      </c>
      <c r="AN24" s="1986"/>
      <c r="AO24" s="1986" t="s">
        <v>1938</v>
      </c>
      <c r="AP24" s="1986"/>
      <c r="AQ24" s="1986" t="s">
        <v>8920</v>
      </c>
      <c r="AR24" s="1986"/>
      <c r="AS24" s="1986"/>
      <c r="AT24" s="1986"/>
      <c r="AU24" s="1986"/>
      <c r="AV24" s="1986"/>
      <c r="AW24" s="1986"/>
      <c r="AX24" s="1986"/>
      <c r="AY24" s="1986"/>
      <c r="AZ24" s="1986"/>
      <c r="BA24" s="1986"/>
      <c r="BB24" s="1986"/>
      <c r="BC24" s="1986"/>
      <c r="BD24" s="1986"/>
      <c r="BE24" s="1986"/>
    </row>
    <row r="25" spans="1:57" ht="12" customHeight="1" thickBot="1" x14ac:dyDescent="0.25">
      <c r="A25" s="2442"/>
      <c r="B25" s="1096"/>
      <c r="I25" s="5234"/>
      <c r="J25" s="5235"/>
      <c r="K25" s="5235"/>
      <c r="L25" s="5235"/>
      <c r="M25" s="5235"/>
      <c r="N25" s="5235"/>
      <c r="O25" s="5236"/>
      <c r="P25" s="2415"/>
      <c r="Q25" s="1701"/>
      <c r="R25" s="652"/>
      <c r="S25" s="2441"/>
      <c r="T25" s="2442"/>
      <c r="U25" s="1096"/>
      <c r="V25" s="1659" t="s">
        <v>1839</v>
      </c>
      <c r="W25" s="5367"/>
      <c r="X25" s="5368"/>
      <c r="Y25" s="5341"/>
      <c r="Z25" s="5341"/>
      <c r="AA25" s="1938"/>
      <c r="AB25" s="2508"/>
      <c r="AC25" s="1941"/>
      <c r="AD25" s="1942"/>
      <c r="AE25" s="1940"/>
      <c r="AF25" s="2587"/>
      <c r="AG25" s="5347" t="str">
        <f>IF(W24="Proyectiles","Alcance:","")</f>
        <v/>
      </c>
      <c r="AH25" s="5347"/>
      <c r="AI25" s="5347"/>
      <c r="AJ25" s="1899"/>
      <c r="AK25" s="838"/>
      <c r="AL25" s="2456"/>
      <c r="AM25" s="2805" t="s">
        <v>2687</v>
      </c>
      <c r="AN25" s="1986"/>
      <c r="AO25" s="2805" t="s">
        <v>2693</v>
      </c>
      <c r="AP25" s="1986"/>
      <c r="AQ25" s="1986" t="s">
        <v>8917</v>
      </c>
      <c r="AR25" s="1986"/>
      <c r="AS25" s="1986"/>
      <c r="AT25" s="1986"/>
      <c r="AU25" s="1986"/>
      <c r="AV25" s="1986"/>
      <c r="AW25" s="1986"/>
      <c r="AX25" s="1986"/>
      <c r="AY25" s="1986"/>
      <c r="AZ25" s="1986"/>
      <c r="BA25" s="1986"/>
      <c r="BB25" s="1986"/>
      <c r="BC25" s="1986"/>
      <c r="BD25" s="1986"/>
      <c r="BE25" s="1986"/>
    </row>
    <row r="26" spans="1:57" ht="12" customHeight="1" x14ac:dyDescent="0.2">
      <c r="A26" s="2442"/>
      <c r="B26" s="1096"/>
      <c r="C26" s="4136" t="s">
        <v>1928</v>
      </c>
      <c r="D26" s="4138"/>
      <c r="E26" s="1557" t="s">
        <v>7364</v>
      </c>
      <c r="F26" s="5256"/>
      <c r="G26" s="5257"/>
      <c r="I26" s="5237"/>
      <c r="J26" s="5238"/>
      <c r="K26" s="5238"/>
      <c r="L26" s="5238"/>
      <c r="M26" s="5238"/>
      <c r="N26" s="5238"/>
      <c r="O26" s="5239"/>
      <c r="P26" s="2413"/>
      <c r="Q26" s="1910"/>
      <c r="R26" s="652"/>
      <c r="S26" s="2441"/>
      <c r="T26" s="2442"/>
      <c r="U26" s="1096"/>
      <c r="V26" s="3248" t="s">
        <v>1331</v>
      </c>
      <c r="W26" s="5299"/>
      <c r="X26" s="5362"/>
      <c r="Y26" s="5363"/>
      <c r="Z26" s="5363"/>
      <c r="AA26" s="5364"/>
      <c r="AB26" s="2042" t="s">
        <v>8952</v>
      </c>
      <c r="AC26" s="5372"/>
      <c r="AD26" s="5373"/>
      <c r="AE26" s="5373"/>
      <c r="AF26" s="5373"/>
      <c r="AG26" s="5373"/>
      <c r="AH26" s="5373"/>
      <c r="AI26" s="5373"/>
      <c r="AJ26" s="5374"/>
      <c r="AK26" s="838"/>
      <c r="AL26" s="2456"/>
      <c r="AM26" s="2805" t="s">
        <v>2689</v>
      </c>
      <c r="AN26" s="1986"/>
      <c r="AO26" s="2805" t="s">
        <v>8911</v>
      </c>
      <c r="AP26" s="1986"/>
      <c r="AQ26" s="1986" t="s">
        <v>8919</v>
      </c>
      <c r="AR26" s="1986"/>
      <c r="AS26" s="1986"/>
      <c r="AT26" s="1986"/>
      <c r="AU26" s="1986"/>
      <c r="AV26" s="1986"/>
      <c r="AW26" s="1986"/>
      <c r="AX26" s="1986"/>
      <c r="AY26" s="1986"/>
      <c r="AZ26" s="1986"/>
      <c r="BA26" s="1986"/>
      <c r="BB26" s="1986"/>
      <c r="BC26" s="1986"/>
      <c r="BD26" s="1986"/>
      <c r="BE26" s="1986"/>
    </row>
    <row r="27" spans="1:57" ht="12" customHeight="1" thickBot="1" x14ac:dyDescent="0.25">
      <c r="A27" s="2442"/>
      <c r="B27" s="1096"/>
      <c r="C27" s="4695"/>
      <c r="D27" s="4697"/>
      <c r="E27" s="1913" t="s">
        <v>7365</v>
      </c>
      <c r="F27" s="5258"/>
      <c r="G27" s="5259"/>
      <c r="I27" s="5234"/>
      <c r="J27" s="5235"/>
      <c r="K27" s="5235"/>
      <c r="L27" s="5235"/>
      <c r="M27" s="5235"/>
      <c r="N27" s="5235"/>
      <c r="O27" s="5236"/>
      <c r="P27" s="2415"/>
      <c r="Q27" s="1701"/>
      <c r="R27" s="652"/>
      <c r="S27" s="2441"/>
      <c r="T27" s="2442"/>
      <c r="U27" s="1096"/>
      <c r="V27" s="3248" t="s">
        <v>1835</v>
      </c>
      <c r="W27" s="5299"/>
      <c r="X27" s="1935"/>
      <c r="Y27" s="2410" t="s">
        <v>1401</v>
      </c>
      <c r="Z27" s="2411" t="s">
        <v>1575</v>
      </c>
      <c r="AA27" s="5304" t="s">
        <v>1836</v>
      </c>
      <c r="AB27" s="5304"/>
      <c r="AC27" s="2521"/>
      <c r="AD27" s="2522" t="s">
        <v>1837</v>
      </c>
      <c r="AE27" s="2520"/>
      <c r="AF27" s="1567" t="s">
        <v>1401</v>
      </c>
      <c r="AG27" s="5365" t="str">
        <f>IF(W28="Escudo","Bono de Parada:",IF(W28="Proyectiles","FUE del arma:",""))</f>
        <v/>
      </c>
      <c r="AH27" s="5366"/>
      <c r="AI27" s="5366"/>
      <c r="AJ27" s="1900"/>
      <c r="AK27" s="838"/>
      <c r="AL27" s="2456"/>
      <c r="AM27" s="2805" t="s">
        <v>2691</v>
      </c>
      <c r="AN27" s="1986"/>
      <c r="AO27" s="2805" t="s">
        <v>2691</v>
      </c>
      <c r="AP27" s="1986"/>
      <c r="AQ27" s="1986" t="s">
        <v>8918</v>
      </c>
      <c r="AR27" s="1986"/>
      <c r="AS27" s="1986"/>
      <c r="AT27" s="1986"/>
      <c r="AU27" s="1986"/>
      <c r="AV27" s="1986"/>
      <c r="AW27" s="1986"/>
      <c r="AX27" s="1986"/>
      <c r="AY27" s="1986"/>
      <c r="AZ27" s="1986"/>
      <c r="BA27" s="1986"/>
      <c r="BB27" s="1986"/>
      <c r="BC27" s="1986"/>
      <c r="BD27" s="1986"/>
      <c r="BE27" s="1986"/>
    </row>
    <row r="28" spans="1:57" ht="12" customHeight="1" thickBot="1" x14ac:dyDescent="0.25">
      <c r="A28" s="2442"/>
      <c r="B28" s="1096"/>
      <c r="I28" s="5444"/>
      <c r="J28" s="5445"/>
      <c r="K28" s="5445"/>
      <c r="L28" s="5445"/>
      <c r="M28" s="5445"/>
      <c r="N28" s="5445"/>
      <c r="O28" s="5446"/>
      <c r="P28" s="1912"/>
      <c r="Q28" s="1911"/>
      <c r="R28" s="652"/>
      <c r="S28" s="2441"/>
      <c r="T28" s="2442"/>
      <c r="U28" s="1096"/>
      <c r="V28" s="1658" t="s">
        <v>1838</v>
      </c>
      <c r="W28" s="5339"/>
      <c r="X28" s="5340"/>
      <c r="Y28" s="5341"/>
      <c r="Z28" s="5341"/>
      <c r="AA28" s="565" t="s">
        <v>1577</v>
      </c>
      <c r="AB28" s="565" t="s">
        <v>1578</v>
      </c>
      <c r="AC28" s="565" t="s">
        <v>1566</v>
      </c>
      <c r="AD28" s="565" t="s">
        <v>1579</v>
      </c>
      <c r="AE28" s="2507" t="s">
        <v>1567</v>
      </c>
      <c r="AF28" s="2414" t="s">
        <v>2642</v>
      </c>
      <c r="AG28" s="5345" t="str">
        <f>IF(W28="Escudo","Bono de Esquiva:",IF(W28="Proyectiles","Turnos de recarga:",""))</f>
        <v/>
      </c>
      <c r="AH28" s="5346"/>
      <c r="AI28" s="5346"/>
      <c r="AJ28" s="1900"/>
      <c r="AK28" s="838"/>
      <c r="AL28" s="2456"/>
      <c r="AM28" s="2805" t="s">
        <v>2693</v>
      </c>
      <c r="AN28" s="1986"/>
      <c r="AO28" s="2805" t="s">
        <v>8912</v>
      </c>
      <c r="AP28" s="1986"/>
      <c r="AQ28" s="1986">
        <f>IF(P40="Afín",1,IF(P40="Opuesta",-1,0))</f>
        <v>0</v>
      </c>
      <c r="AR28" s="1986"/>
      <c r="AS28" s="1986"/>
      <c r="AT28" s="1986"/>
      <c r="AU28" s="1986"/>
      <c r="AV28" s="1986"/>
      <c r="AW28" s="1986"/>
      <c r="AX28" s="1986"/>
      <c r="AY28" s="1986"/>
      <c r="AZ28" s="1986"/>
      <c r="BA28" s="1986"/>
      <c r="BB28" s="1986"/>
      <c r="BC28" s="1986"/>
      <c r="BD28" s="1986"/>
      <c r="BE28" s="1986"/>
    </row>
    <row r="29" spans="1:57" ht="12" customHeight="1" thickBot="1" x14ac:dyDescent="0.25">
      <c r="A29" s="2442"/>
      <c r="B29" s="1096"/>
      <c r="C29" s="3026" t="s">
        <v>8925</v>
      </c>
      <c r="D29" s="3027"/>
      <c r="E29" s="3027"/>
      <c r="F29" s="3027"/>
      <c r="G29" s="3028"/>
      <c r="R29" s="652"/>
      <c r="S29" s="2441"/>
      <c r="T29" s="2442"/>
      <c r="U29" s="1096"/>
      <c r="V29" s="2505" t="s">
        <v>1839</v>
      </c>
      <c r="W29" s="5343"/>
      <c r="X29" s="5344"/>
      <c r="Y29" s="5342"/>
      <c r="Z29" s="5342"/>
      <c r="AA29" s="1937"/>
      <c r="AB29" s="1936"/>
      <c r="AC29" s="2506"/>
      <c r="AD29" s="1936"/>
      <c r="AE29" s="2504"/>
      <c r="AF29" s="2586"/>
      <c r="AG29" s="5377" t="str">
        <f>IF(W28="Proyectiles","Alcance:","")</f>
        <v/>
      </c>
      <c r="AH29" s="5377"/>
      <c r="AI29" s="5377"/>
      <c r="AJ29" s="1899"/>
      <c r="AK29" s="838"/>
      <c r="AL29" s="2456"/>
      <c r="AM29" s="2805" t="s">
        <v>2695</v>
      </c>
      <c r="AN29" s="2804"/>
      <c r="AO29" s="2805" t="s">
        <v>2687</v>
      </c>
      <c r="AP29" s="2804"/>
      <c r="AQ29" s="2804"/>
      <c r="AR29" s="2804"/>
      <c r="AS29" s="1986"/>
      <c r="AT29" s="1986"/>
      <c r="AU29" s="1986"/>
      <c r="AV29" s="1986"/>
      <c r="AW29" s="1986"/>
      <c r="AX29" s="1986"/>
      <c r="AY29" s="1986"/>
      <c r="AZ29" s="1986"/>
      <c r="BA29" s="1986"/>
      <c r="BB29" s="1986"/>
      <c r="BC29" s="1986"/>
      <c r="BD29" s="1986"/>
      <c r="BE29" s="1986"/>
    </row>
    <row r="30" spans="1:57" ht="12" customHeight="1" thickBot="1" x14ac:dyDescent="0.25">
      <c r="A30" s="2442"/>
      <c r="B30" s="1096"/>
      <c r="C30" s="5247"/>
      <c r="D30" s="5248"/>
      <c r="E30" s="5248"/>
      <c r="F30" s="5248"/>
      <c r="G30" s="5249"/>
      <c r="I30" s="5081" t="s">
        <v>1534</v>
      </c>
      <c r="J30" s="5425" t="s">
        <v>1535</v>
      </c>
      <c r="K30" s="5425"/>
      <c r="L30" s="5426"/>
      <c r="M30" s="2416" t="s">
        <v>1536</v>
      </c>
      <c r="N30" s="5224" t="s">
        <v>1537</v>
      </c>
      <c r="O30" s="5426"/>
      <c r="P30" s="5224" t="s">
        <v>1538</v>
      </c>
      <c r="Q30" s="5225"/>
      <c r="R30" s="652"/>
      <c r="S30" s="2441"/>
      <c r="T30" s="2442"/>
      <c r="U30" s="1096"/>
      <c r="AJ30" s="2439"/>
      <c r="AK30" s="838"/>
      <c r="AL30" s="2456"/>
      <c r="AM30" s="2805" t="s">
        <v>2697</v>
      </c>
      <c r="AN30" s="2804"/>
      <c r="AO30" s="2805" t="s">
        <v>8913</v>
      </c>
      <c r="AP30" s="2804"/>
      <c r="AQ30" s="2804"/>
      <c r="AR30" s="2804"/>
      <c r="AS30" s="1986"/>
      <c r="AT30" s="1986"/>
      <c r="AU30" s="1986"/>
      <c r="AV30" s="1986"/>
      <c r="AW30" s="1986"/>
      <c r="AX30" s="1986"/>
      <c r="AY30" s="1986"/>
      <c r="AZ30" s="1986"/>
      <c r="BA30" s="1986"/>
      <c r="BB30" s="1986"/>
      <c r="BC30" s="1986"/>
      <c r="BD30" s="1986"/>
      <c r="BE30" s="1986"/>
    </row>
    <row r="31" spans="1:57" ht="12" customHeight="1" x14ac:dyDescent="0.2">
      <c r="A31" s="2442"/>
      <c r="B31" s="1096"/>
      <c r="C31" s="5250"/>
      <c r="D31" s="5251"/>
      <c r="E31" s="5251"/>
      <c r="F31" s="5251"/>
      <c r="G31" s="5252"/>
      <c r="I31" s="5082"/>
      <c r="J31" s="3775" t="s">
        <v>1539</v>
      </c>
      <c r="K31" s="3775"/>
      <c r="L31" s="5211"/>
      <c r="M31" s="2417">
        <f>Tablas!$G$276-IF(N31=0,0,1)-IF(P31=0,0,1)</f>
        <v>0</v>
      </c>
      <c r="N31" s="5231"/>
      <c r="O31" s="3621"/>
      <c r="P31" s="5226"/>
      <c r="Q31" s="5227"/>
      <c r="R31" s="652"/>
      <c r="S31" s="2441"/>
      <c r="T31" s="2442"/>
      <c r="U31" s="1096"/>
      <c r="V31" s="5202" t="s">
        <v>1842</v>
      </c>
      <c r="W31" s="5398" t="s">
        <v>1331</v>
      </c>
      <c r="X31" s="5398"/>
      <c r="Y31" s="5394"/>
      <c r="Z31" s="5395"/>
      <c r="AA31" s="5395"/>
      <c r="AB31" s="5395"/>
      <c r="AC31" s="5395"/>
      <c r="AD31" s="5398" t="s">
        <v>1331</v>
      </c>
      <c r="AE31" s="5398"/>
      <c r="AF31" s="5394"/>
      <c r="AG31" s="5395"/>
      <c r="AH31" s="5395"/>
      <c r="AI31" s="5395"/>
      <c r="AJ31" s="5419"/>
      <c r="AK31" s="838"/>
      <c r="AL31" s="2456"/>
      <c r="AM31" s="2805" t="s">
        <v>2699</v>
      </c>
      <c r="AN31" s="2806"/>
      <c r="AO31" s="2805" t="s">
        <v>2697</v>
      </c>
      <c r="AP31" s="2804"/>
      <c r="AQ31" s="2804"/>
      <c r="AR31" s="2804"/>
      <c r="AS31" s="1986"/>
      <c r="AT31" s="1986"/>
      <c r="AU31" s="1986"/>
      <c r="AV31" s="1986"/>
      <c r="AW31" s="1986"/>
      <c r="AX31" s="1986"/>
      <c r="AY31" s="1986"/>
      <c r="AZ31" s="1986"/>
      <c r="BA31" s="1986"/>
      <c r="BB31" s="1986"/>
      <c r="BC31" s="1986"/>
      <c r="BD31" s="1986"/>
      <c r="BE31" s="1986"/>
    </row>
    <row r="32" spans="1:57" ht="12" customHeight="1" thickBot="1" x14ac:dyDescent="0.25">
      <c r="A32" s="2442"/>
      <c r="B32" s="1096"/>
      <c r="C32" s="5220"/>
      <c r="D32" s="5221"/>
      <c r="E32" s="5221"/>
      <c r="F32" s="5221"/>
      <c r="G32" s="5222"/>
      <c r="I32" s="5082"/>
      <c r="J32" s="3773" t="s">
        <v>1541</v>
      </c>
      <c r="K32" s="3773"/>
      <c r="L32" s="5205"/>
      <c r="M32" s="2418">
        <f>Tablas!$G$277-IF(N32=0,0,1)-IF(P32=0,0,1)</f>
        <v>0</v>
      </c>
      <c r="N32" s="5177"/>
      <c r="O32" s="3624"/>
      <c r="P32" s="5228"/>
      <c r="Q32" s="5229"/>
      <c r="R32" s="652"/>
      <c r="S32" s="2441"/>
      <c r="T32" s="2442"/>
      <c r="U32" s="1096"/>
      <c r="V32" s="5203"/>
      <c r="W32" s="3422" t="s">
        <v>1843</v>
      </c>
      <c r="X32" s="3422"/>
      <c r="Y32" s="5396" t="str">
        <f>IF($Y$38="Cabeza","Pen.Percepción","Pen. Natural")</f>
        <v>Pen. Natural</v>
      </c>
      <c r="Z32" s="5396"/>
      <c r="AA32" s="5397" t="s">
        <v>1844</v>
      </c>
      <c r="AB32" s="5397"/>
      <c r="AC32" s="5397"/>
      <c r="AD32" s="3422" t="s">
        <v>1843</v>
      </c>
      <c r="AE32" s="3422"/>
      <c r="AF32" s="5396" t="str">
        <f>IF($AF$38="Cabeza","Pen.Percepción","Pen. Natural")</f>
        <v>Pen. Natural</v>
      </c>
      <c r="AG32" s="5396"/>
      <c r="AH32" s="5397" t="s">
        <v>1844</v>
      </c>
      <c r="AI32" s="5397"/>
      <c r="AJ32" s="5399"/>
      <c r="AK32" s="838"/>
      <c r="AL32" s="2456"/>
      <c r="AM32" s="2805" t="s">
        <v>2701</v>
      </c>
      <c r="AN32" s="2804"/>
      <c r="AO32" s="2805" t="s">
        <v>8914</v>
      </c>
      <c r="AP32" s="2804"/>
      <c r="AQ32" s="2804"/>
      <c r="AR32" s="2804"/>
      <c r="AS32" s="1986"/>
      <c r="AT32" s="1986"/>
      <c r="AU32" s="1986"/>
      <c r="AV32" s="1986"/>
      <c r="AW32" s="1986"/>
      <c r="AX32" s="1986"/>
      <c r="AY32" s="1986"/>
      <c r="AZ32" s="1986"/>
      <c r="BA32" s="1986"/>
      <c r="BB32" s="1986"/>
      <c r="BC32" s="1986"/>
      <c r="BD32" s="1986"/>
      <c r="BE32" s="1986"/>
    </row>
    <row r="33" spans="1:57" ht="12" customHeight="1" thickBot="1" x14ac:dyDescent="0.25">
      <c r="A33" s="2442"/>
      <c r="B33" s="1096"/>
      <c r="I33" s="5082"/>
      <c r="J33" s="5206" t="s">
        <v>1543</v>
      </c>
      <c r="K33" s="5206"/>
      <c r="L33" s="5207"/>
      <c r="M33" s="1565">
        <f>Tablas!$G$278-IF(N33=0,0,1)-IF(P33=0,0,1)</f>
        <v>0</v>
      </c>
      <c r="N33" s="5208"/>
      <c r="O33" s="5209"/>
      <c r="P33" s="4395"/>
      <c r="Q33" s="5230"/>
      <c r="R33" s="652"/>
      <c r="S33" s="2441"/>
      <c r="T33" s="2442"/>
      <c r="U33" s="1096"/>
      <c r="V33" s="5203"/>
      <c r="W33" s="5417"/>
      <c r="X33" s="5418"/>
      <c r="Y33" s="5412"/>
      <c r="Z33" s="5412"/>
      <c r="AA33" s="5384"/>
      <c r="AB33" s="5384"/>
      <c r="AC33" s="5384"/>
      <c r="AD33" s="5418"/>
      <c r="AE33" s="5418"/>
      <c r="AF33" s="5412"/>
      <c r="AG33" s="5412"/>
      <c r="AH33" s="5384"/>
      <c r="AI33" s="5384"/>
      <c r="AJ33" s="5385"/>
      <c r="AK33" s="838"/>
      <c r="AL33" s="2456"/>
      <c r="AM33" s="1986"/>
      <c r="AN33" s="1986"/>
      <c r="AO33" s="1986"/>
      <c r="AP33" s="1986"/>
      <c r="AQ33" s="1986"/>
      <c r="AR33" s="1986"/>
      <c r="AS33" s="1986"/>
      <c r="AT33" s="1986"/>
      <c r="AU33" s="1986"/>
      <c r="AV33" s="1986"/>
      <c r="AW33" s="1986"/>
      <c r="AX33" s="1986"/>
      <c r="AY33" s="1986"/>
      <c r="AZ33" s="1986"/>
      <c r="BA33" s="1986"/>
      <c r="BB33" s="1986"/>
      <c r="BC33" s="1986"/>
      <c r="BD33" s="1986"/>
      <c r="BE33" s="1986"/>
    </row>
    <row r="34" spans="1:57" ht="12" customHeight="1" thickBot="1" x14ac:dyDescent="0.25">
      <c r="A34" s="2442"/>
      <c r="B34" s="1096"/>
      <c r="C34" s="3026" t="s">
        <v>1937</v>
      </c>
      <c r="D34" s="3027"/>
      <c r="E34" s="3027"/>
      <c r="F34" s="3027"/>
      <c r="G34" s="3028"/>
      <c r="I34" s="5082"/>
      <c r="J34" s="3775" t="s">
        <v>1540</v>
      </c>
      <c r="K34" s="3775"/>
      <c r="L34" s="5211"/>
      <c r="M34" s="2417">
        <f>Tablas!$G$286-IF(N34=0,0,1)-IF(P34=0,0,1)</f>
        <v>0</v>
      </c>
      <c r="N34" s="5231"/>
      <c r="O34" s="3622"/>
      <c r="P34" s="5231"/>
      <c r="Q34" s="4558"/>
      <c r="R34" s="652"/>
      <c r="S34" s="2441"/>
      <c r="T34" s="2442"/>
      <c r="U34" s="1096"/>
      <c r="V34" s="5203"/>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3" t="s">
        <v>1565</v>
      </c>
      <c r="AK34" s="838"/>
      <c r="AL34" s="2456"/>
      <c r="AM34" s="1986" t="s">
        <v>9868</v>
      </c>
      <c r="AN34" s="1986"/>
      <c r="AO34" s="1986" t="s">
        <v>1407</v>
      </c>
      <c r="AP34" s="1986" t="s">
        <v>1378</v>
      </c>
      <c r="AQ34" s="1986"/>
      <c r="AR34" s="1986" t="s">
        <v>9875</v>
      </c>
      <c r="AS34" s="1986"/>
      <c r="AT34" s="1986"/>
      <c r="AU34" s="1986"/>
      <c r="AV34" s="1986"/>
      <c r="AW34" s="1986"/>
      <c r="AX34" s="1986"/>
      <c r="AY34" s="1986"/>
      <c r="AZ34" s="1986"/>
      <c r="BA34" s="1986"/>
      <c r="BB34" s="1986"/>
      <c r="BC34" s="1986"/>
      <c r="BD34" s="1986"/>
      <c r="BE34" s="1986"/>
    </row>
    <row r="35" spans="1:57" ht="12" customHeight="1" x14ac:dyDescent="0.2">
      <c r="A35" s="2442"/>
      <c r="B35" s="1096"/>
      <c r="C35" s="5212" t="s">
        <v>8924</v>
      </c>
      <c r="D35" s="5213"/>
      <c r="E35" s="5213"/>
      <c r="F35" s="5213"/>
      <c r="G35" s="1961"/>
      <c r="I35" s="5082"/>
      <c r="J35" s="3773" t="s">
        <v>1542</v>
      </c>
      <c r="K35" s="3773"/>
      <c r="L35" s="5205"/>
      <c r="M35" s="2418">
        <f>Tablas!$G$287-IF(N35=0,0,1)-IF(P35=0,0,1)</f>
        <v>0</v>
      </c>
      <c r="N35" s="5177"/>
      <c r="O35" s="3625"/>
      <c r="P35" s="5177"/>
      <c r="Q35" s="5229"/>
      <c r="R35" s="652"/>
      <c r="S35" s="2441"/>
      <c r="T35" s="2442"/>
      <c r="U35" s="1096"/>
      <c r="V35" s="5203"/>
      <c r="W35" s="5391"/>
      <c r="X35" s="5392"/>
      <c r="Y35" s="5382"/>
      <c r="Z35" s="5413"/>
      <c r="AA35" s="5392"/>
      <c r="AB35" s="5380"/>
      <c r="AC35" s="5232"/>
      <c r="AD35" s="5408"/>
      <c r="AE35" s="5182"/>
      <c r="AF35" s="5182"/>
      <c r="AG35" s="5182"/>
      <c r="AH35" s="5182"/>
      <c r="AI35" s="5378"/>
      <c r="AJ35" s="5180"/>
      <c r="AK35" s="838"/>
      <c r="AL35" s="2456"/>
      <c r="AM35" s="1986" t="s">
        <v>1381</v>
      </c>
      <c r="AN35" s="2805" t="s">
        <v>7124</v>
      </c>
      <c r="AO35" s="1986" t="s">
        <v>2906</v>
      </c>
      <c r="AP35" s="1986" t="s">
        <v>1240</v>
      </c>
      <c r="AQ35" s="1986"/>
      <c r="AR35" s="1986" t="s">
        <v>1240</v>
      </c>
      <c r="AS35" s="1986"/>
      <c r="AT35" s="1986"/>
      <c r="AU35" s="1986"/>
      <c r="AV35" s="1986"/>
      <c r="AW35" s="1986"/>
      <c r="AX35" s="1986"/>
      <c r="AY35" s="1986"/>
      <c r="AZ35" s="1986"/>
      <c r="BA35" s="1986"/>
      <c r="BB35" s="1986"/>
      <c r="BC35" s="1986"/>
      <c r="BD35" s="1986"/>
      <c r="BE35" s="1986"/>
    </row>
    <row r="36" spans="1:57" ht="12" customHeight="1" thickBot="1" x14ac:dyDescent="0.25">
      <c r="A36" s="2442"/>
      <c r="B36" s="1096"/>
      <c r="C36" s="5214" t="s">
        <v>8922</v>
      </c>
      <c r="D36" s="5215"/>
      <c r="E36" s="5215"/>
      <c r="F36" s="5215"/>
      <c r="G36" s="1962" t="s">
        <v>1389</v>
      </c>
      <c r="I36" s="5083"/>
      <c r="J36" s="5218" t="s">
        <v>1544</v>
      </c>
      <c r="K36" s="5218"/>
      <c r="L36" s="5219"/>
      <c r="M36" s="612">
        <f>Tablas!$G$288-IF(N36=0,0,1)-IF(P36=0,0,1)</f>
        <v>0</v>
      </c>
      <c r="N36" s="5210"/>
      <c r="O36" s="5223"/>
      <c r="P36" s="5210"/>
      <c r="Q36" s="4560"/>
      <c r="R36" s="652"/>
      <c r="S36" s="2441"/>
      <c r="T36" s="2442"/>
      <c r="U36" s="1096"/>
      <c r="V36" s="5203"/>
      <c r="W36" s="5391"/>
      <c r="X36" s="5393"/>
      <c r="Y36" s="5383"/>
      <c r="Z36" s="5414"/>
      <c r="AA36" s="5393"/>
      <c r="AB36" s="5381"/>
      <c r="AC36" s="5233"/>
      <c r="AD36" s="5409"/>
      <c r="AE36" s="5183"/>
      <c r="AF36" s="5183"/>
      <c r="AG36" s="5183"/>
      <c r="AH36" s="5183"/>
      <c r="AI36" s="5379"/>
      <c r="AJ36" s="5181"/>
      <c r="AK36" s="838"/>
      <c r="AL36" s="2456"/>
      <c r="AM36" s="1986" t="s">
        <v>1506</v>
      </c>
      <c r="AN36" s="2805" t="s">
        <v>2956</v>
      </c>
      <c r="AO36" s="1986" t="s">
        <v>2909</v>
      </c>
      <c r="AP36" s="1986" t="s">
        <v>1574</v>
      </c>
      <c r="AQ36" s="1986"/>
      <c r="AR36" s="1986" t="s">
        <v>1574</v>
      </c>
      <c r="AS36" s="1986"/>
      <c r="AT36" s="1986"/>
      <c r="AU36" s="1986"/>
      <c r="AV36" s="1986"/>
      <c r="AW36" s="1986"/>
      <c r="AX36" s="1986"/>
      <c r="AY36" s="1986"/>
      <c r="AZ36" s="1986"/>
      <c r="BA36" s="1986"/>
      <c r="BB36" s="1986"/>
      <c r="BC36" s="1986"/>
      <c r="BD36" s="1986"/>
      <c r="BE36" s="1986"/>
    </row>
    <row r="37" spans="1:57" ht="12" customHeight="1" thickBot="1" x14ac:dyDescent="0.25">
      <c r="A37" s="2442"/>
      <c r="B37" s="1096"/>
      <c r="C37" s="5214" t="s">
        <v>8923</v>
      </c>
      <c r="D37" s="5215"/>
      <c r="E37" s="5215"/>
      <c r="F37" s="5215"/>
      <c r="G37" s="1962" t="s">
        <v>1389</v>
      </c>
      <c r="I37" s="5187" t="str">
        <f>IF(SUM(M31:M33)+SUM(M34:M36)&gt;0,"Selecciona la/s Habilidad/es asociadas a las Ventajas",IF(SUM(M31:M33)+SUM(M34:M36)&lt;0,"Exceso de Habilidad/es seleccionadas",""))</f>
        <v/>
      </c>
      <c r="J37" s="5188"/>
      <c r="K37" s="5188"/>
      <c r="L37" s="5188"/>
      <c r="M37" s="5188"/>
      <c r="N37" s="5188"/>
      <c r="O37" s="5188"/>
      <c r="P37" s="5188"/>
      <c r="Q37" s="5189"/>
      <c r="R37" s="652"/>
      <c r="S37" s="2441"/>
      <c r="T37" s="2442"/>
      <c r="U37" s="1096"/>
      <c r="V37" s="5203"/>
      <c r="W37" s="3107" t="s">
        <v>1845</v>
      </c>
      <c r="X37" s="3107"/>
      <c r="Y37" s="3022"/>
      <c r="Z37" s="5389"/>
      <c r="AA37" s="3107" t="s">
        <v>1846</v>
      </c>
      <c r="AB37" s="3107"/>
      <c r="AC37" s="1943"/>
      <c r="AD37" s="3107" t="s">
        <v>1845</v>
      </c>
      <c r="AE37" s="3107"/>
      <c r="AF37" s="3022"/>
      <c r="AG37" s="5389"/>
      <c r="AH37" s="3107" t="s">
        <v>1846</v>
      </c>
      <c r="AI37" s="3107"/>
      <c r="AJ37" s="2700"/>
      <c r="AK37" s="838"/>
      <c r="AL37" s="2456"/>
      <c r="AM37" s="1986" t="s">
        <v>1386</v>
      </c>
      <c r="AN37" s="2805" t="s">
        <v>2917</v>
      </c>
      <c r="AO37" s="1986"/>
      <c r="AP37" s="1986" t="s">
        <v>2975</v>
      </c>
      <c r="AQ37" s="1986"/>
      <c r="AR37" s="1986" t="s">
        <v>2975</v>
      </c>
      <c r="AS37" s="2804"/>
      <c r="AT37" s="1986"/>
      <c r="AU37" s="1986"/>
      <c r="AV37" s="1986"/>
      <c r="AW37" s="1986"/>
      <c r="AX37" s="1986"/>
      <c r="AY37" s="1986"/>
      <c r="AZ37" s="1986"/>
      <c r="BA37" s="1986"/>
      <c r="BB37" s="1986"/>
      <c r="BC37" s="1986"/>
      <c r="BD37" s="1986"/>
      <c r="BE37" s="1986"/>
    </row>
    <row r="38" spans="1:57" ht="12" customHeight="1" thickBot="1" x14ac:dyDescent="0.25">
      <c r="A38" s="2442"/>
      <c r="B38" s="1096"/>
      <c r="C38" s="5216" t="s">
        <v>8927</v>
      </c>
      <c r="D38" s="5217"/>
      <c r="E38" s="5217"/>
      <c r="F38" s="5217"/>
      <c r="G38" s="1963" t="s">
        <v>1389</v>
      </c>
      <c r="R38" s="652"/>
      <c r="S38" s="2441"/>
      <c r="T38" s="2442"/>
      <c r="U38" s="1096"/>
      <c r="V38" s="5204"/>
      <c r="W38" s="5388" t="s">
        <v>1847</v>
      </c>
      <c r="X38" s="5388"/>
      <c r="Y38" s="5401"/>
      <c r="Z38" s="5402"/>
      <c r="AA38" s="5390" t="s">
        <v>1848</v>
      </c>
      <c r="AB38" s="5390"/>
      <c r="AC38" s="2701"/>
      <c r="AD38" s="5388" t="s">
        <v>1847</v>
      </c>
      <c r="AE38" s="5388"/>
      <c r="AF38" s="5401"/>
      <c r="AG38" s="5402"/>
      <c r="AH38" s="5390" t="s">
        <v>1848</v>
      </c>
      <c r="AI38" s="5390"/>
      <c r="AJ38" s="2434"/>
      <c r="AK38" s="838"/>
      <c r="AL38" s="2456"/>
      <c r="AM38" s="2804" t="s">
        <v>1391</v>
      </c>
      <c r="AN38" s="2805" t="s">
        <v>2918</v>
      </c>
      <c r="AO38" s="1986"/>
      <c r="AP38" s="2804" t="s">
        <v>3221</v>
      </c>
      <c r="AQ38" s="2804"/>
      <c r="AR38" s="2804" t="s">
        <v>3265</v>
      </c>
      <c r="AS38" s="2807"/>
      <c r="AT38" s="1986"/>
      <c r="AU38" s="1986"/>
      <c r="AV38" s="1986"/>
      <c r="AW38" s="1986"/>
      <c r="AX38" s="1986"/>
      <c r="AY38" s="1986"/>
      <c r="AZ38" s="1986"/>
      <c r="BA38" s="1986"/>
      <c r="BB38" s="1986"/>
      <c r="BC38" s="1986"/>
      <c r="BD38" s="1986"/>
      <c r="BE38" s="1986"/>
    </row>
    <row r="39" spans="1:57" ht="12" customHeight="1" thickBot="1" x14ac:dyDescent="0.25">
      <c r="A39" s="2442"/>
      <c r="B39" s="1096"/>
      <c r="I39" s="5200" t="s">
        <v>1938</v>
      </c>
      <c r="J39" s="5199" t="s">
        <v>8921</v>
      </c>
      <c r="K39" s="5199"/>
      <c r="L39" s="5199"/>
      <c r="M39" s="5199"/>
      <c r="N39" s="1914"/>
      <c r="O39" s="1914"/>
      <c r="P39" s="1914"/>
      <c r="Q39" s="1915"/>
      <c r="R39" s="652"/>
      <c r="S39" s="2441"/>
      <c r="T39" s="2442"/>
      <c r="U39" s="1096"/>
      <c r="AJ39" s="2440"/>
      <c r="AK39" s="838"/>
      <c r="AL39" s="2456"/>
      <c r="AM39" s="2804" t="s">
        <v>1399</v>
      </c>
      <c r="AN39" s="2805" t="s">
        <v>3223</v>
      </c>
      <c r="AO39" s="2804"/>
      <c r="AP39" s="2804" t="s">
        <v>1218</v>
      </c>
      <c r="AQ39" s="2804"/>
      <c r="AR39" s="2804"/>
      <c r="AS39" s="2807"/>
      <c r="AT39" s="1986"/>
      <c r="AU39" s="1986"/>
      <c r="AV39" s="1986"/>
      <c r="AW39" s="1986"/>
      <c r="AX39" s="1986"/>
      <c r="AY39" s="1986"/>
      <c r="AZ39" s="1986"/>
      <c r="BA39" s="1986"/>
      <c r="BB39" s="1986"/>
      <c r="BC39" s="1986"/>
      <c r="BD39" s="1986"/>
      <c r="BE39" s="1986"/>
    </row>
    <row r="40" spans="1:57" ht="12" customHeight="1" thickBot="1" x14ac:dyDescent="0.25">
      <c r="A40" s="2442"/>
      <c r="B40" s="1096"/>
      <c r="C40" s="4136" t="s">
        <v>8926</v>
      </c>
      <c r="D40" s="4138"/>
      <c r="E40" s="5192" t="s">
        <v>9618</v>
      </c>
      <c r="F40" s="5193"/>
      <c r="G40" s="5194"/>
      <c r="I40" s="5201"/>
      <c r="J40" s="5198" t="s">
        <v>8916</v>
      </c>
      <c r="K40" s="5198"/>
      <c r="L40" s="1827" t="s">
        <v>1389</v>
      </c>
      <c r="M40" s="5075" t="s">
        <v>8915</v>
      </c>
      <c r="N40" s="5075"/>
      <c r="O40" s="5075"/>
      <c r="P40" s="5190" t="s">
        <v>8919</v>
      </c>
      <c r="Q40" s="5191"/>
      <c r="R40" s="652"/>
      <c r="S40" s="2441"/>
      <c r="T40" s="2442"/>
      <c r="U40" s="1096"/>
      <c r="V40" s="3156" t="s">
        <v>1852</v>
      </c>
      <c r="W40" s="3156"/>
      <c r="X40" s="3156"/>
      <c r="Y40" s="3156"/>
      <c r="Z40" s="3156"/>
      <c r="AA40" s="3156"/>
      <c r="AB40" s="3156"/>
      <c r="AC40" s="3156"/>
      <c r="AD40" s="3156"/>
      <c r="AE40" s="3156"/>
      <c r="AF40" s="3156"/>
      <c r="AG40" s="3156"/>
      <c r="AH40" s="3156"/>
      <c r="AI40" s="3156"/>
      <c r="AJ40" s="5387"/>
      <c r="AK40" s="838"/>
      <c r="AL40" s="2456"/>
      <c r="AM40" s="1986" t="s">
        <v>1400</v>
      </c>
      <c r="AN40" s="2805" t="s">
        <v>7125</v>
      </c>
      <c r="AO40" s="2804"/>
      <c r="AP40" s="2804"/>
      <c r="AQ40" s="1986"/>
      <c r="AR40" s="1986"/>
      <c r="AS40" s="2789"/>
      <c r="AT40" s="1986"/>
      <c r="AU40" s="1986"/>
      <c r="AV40" s="1986"/>
      <c r="AW40" s="1986"/>
      <c r="AX40" s="1986"/>
      <c r="AY40" s="1986"/>
      <c r="AZ40" s="1986"/>
      <c r="BA40" s="1986"/>
      <c r="BB40" s="1986"/>
      <c r="BC40" s="1986"/>
      <c r="BD40" s="1986"/>
      <c r="BE40" s="1986"/>
    </row>
    <row r="41" spans="1:57" ht="12" customHeight="1" thickBot="1" x14ac:dyDescent="0.25">
      <c r="A41" s="2442"/>
      <c r="B41" s="1096"/>
      <c r="C41" s="4695"/>
      <c r="D41" s="4697"/>
      <c r="E41" s="5195"/>
      <c r="F41" s="5196"/>
      <c r="G41" s="5197"/>
      <c r="I41" s="5187" t="str">
        <f>IF(IFERROR(VALUE(LEFT(N39,2)),0)+IFERROR(VALUE(LEFT(O39,2)),0)+IFERROR(VALUE(LEFT(P39,2)),0)+IFERROR(VALUE(LEFT(Q39,2)),0)&gt;3,"Exceso de bonos de transformación",IF($AQ$28=-1,"Sin poderes raciales",""))</f>
        <v/>
      </c>
      <c r="J41" s="5188"/>
      <c r="K41" s="5188"/>
      <c r="L41" s="5188"/>
      <c r="M41" s="5188"/>
      <c r="N41" s="5188"/>
      <c r="O41" s="5188"/>
      <c r="P41" s="5188"/>
      <c r="Q41" s="5189"/>
      <c r="R41" s="652"/>
      <c r="S41" s="2441"/>
      <c r="T41" s="2442"/>
      <c r="U41" s="1096"/>
      <c r="V41" s="5400" t="s">
        <v>1853</v>
      </c>
      <c r="W41" s="5400"/>
      <c r="X41" s="5400"/>
      <c r="Y41" s="5407"/>
      <c r="Z41" s="5407"/>
      <c r="AA41" s="5407"/>
      <c r="AB41" s="5386"/>
      <c r="AC41" s="5386"/>
      <c r="AD41" s="5386"/>
      <c r="AE41" s="5386"/>
      <c r="AF41" s="5386"/>
      <c r="AG41" s="5386"/>
      <c r="AH41" s="5375"/>
      <c r="AI41" s="5375"/>
      <c r="AJ41" s="5376"/>
      <c r="AK41" s="838"/>
      <c r="AL41" s="2456"/>
      <c r="AM41" s="1986"/>
      <c r="AN41" s="1986"/>
      <c r="AO41" s="1986"/>
      <c r="AP41" s="1986"/>
      <c r="AQ41" s="1986"/>
      <c r="AR41" s="1986"/>
      <c r="AS41" s="1986"/>
      <c r="AT41" s="1986"/>
      <c r="AU41" s="1986"/>
      <c r="AV41" s="1986"/>
      <c r="AW41" s="1986"/>
      <c r="AX41" s="1986"/>
      <c r="AY41" s="1986"/>
      <c r="AZ41" s="1986"/>
      <c r="BA41" s="1986"/>
      <c r="BB41" s="1986"/>
      <c r="BC41" s="1986"/>
      <c r="BD41" s="1986"/>
      <c r="BE41" s="1986"/>
    </row>
    <row r="42" spans="1:57" ht="12" customHeight="1" x14ac:dyDescent="0.2">
      <c r="A42" s="2442"/>
      <c r="B42" s="1096"/>
      <c r="C42" s="5176" t="s">
        <v>8748</v>
      </c>
      <c r="D42" s="5176"/>
      <c r="E42" s="5176" t="s">
        <v>1389</v>
      </c>
      <c r="F42" s="5176"/>
      <c r="G42" s="5176"/>
      <c r="R42" s="652"/>
      <c r="S42" s="2441"/>
      <c r="T42" s="2442"/>
      <c r="U42" s="1096"/>
      <c r="V42" s="5400"/>
      <c r="W42" s="5400"/>
      <c r="X42" s="5400"/>
      <c r="Y42" s="5407"/>
      <c r="Z42" s="5407"/>
      <c r="AA42" s="5407"/>
      <c r="AB42" s="5386"/>
      <c r="AC42" s="5386"/>
      <c r="AD42" s="5386"/>
      <c r="AE42" s="5386"/>
      <c r="AF42" s="5386"/>
      <c r="AG42" s="5386"/>
      <c r="AH42" s="5375"/>
      <c r="AI42" s="5375"/>
      <c r="AJ42" s="5376"/>
      <c r="AK42" s="838"/>
      <c r="AL42" s="2456"/>
      <c r="AM42" s="1986"/>
      <c r="AN42" s="1986"/>
      <c r="AO42" s="1986"/>
      <c r="AP42" s="1986"/>
      <c r="AQ42" s="1986"/>
      <c r="AR42" s="1986"/>
      <c r="AS42" s="1986"/>
      <c r="AT42" s="1986"/>
      <c r="AU42" s="1986"/>
      <c r="AV42" s="1986"/>
      <c r="AW42" s="1986"/>
      <c r="AX42" s="1986"/>
      <c r="AY42" s="1986"/>
      <c r="AZ42" s="1986"/>
      <c r="BA42" s="1986"/>
      <c r="BB42" s="1986"/>
      <c r="BC42" s="1986"/>
      <c r="BD42" s="1986"/>
      <c r="BE42" s="1986"/>
    </row>
    <row r="43" spans="1:57" ht="12" customHeight="1" thickBot="1" x14ac:dyDescent="0.25">
      <c r="A43" s="2442"/>
      <c r="B43" s="1096"/>
      <c r="R43" s="652"/>
      <c r="S43" s="2441"/>
      <c r="T43" s="2442"/>
      <c r="U43" s="1096"/>
      <c r="V43" s="3414" t="s">
        <v>1856</v>
      </c>
      <c r="W43" s="3414"/>
      <c r="X43" s="3414"/>
      <c r="Y43" s="5485"/>
      <c r="Z43" s="5485"/>
      <c r="AA43" s="5485"/>
      <c r="AB43" s="5406"/>
      <c r="AC43" s="5406"/>
      <c r="AD43" s="5406"/>
      <c r="AE43" s="5406"/>
      <c r="AF43" s="5406"/>
      <c r="AG43" s="5406"/>
      <c r="AH43" s="5480"/>
      <c r="AI43" s="5480"/>
      <c r="AJ43" s="5481"/>
      <c r="AK43" s="838"/>
      <c r="AL43" s="2456"/>
      <c r="AM43" s="1986"/>
      <c r="AN43" s="1986"/>
      <c r="AO43" s="1986"/>
      <c r="AP43" s="1986"/>
      <c r="AQ43" s="1986"/>
      <c r="AR43" s="1986"/>
      <c r="AS43" s="1986"/>
      <c r="AT43" s="1986"/>
      <c r="AU43" s="1986"/>
      <c r="AV43" s="1986"/>
      <c r="AW43" s="1986"/>
      <c r="AX43" s="1986"/>
      <c r="AY43" s="1986"/>
      <c r="AZ43" s="1986"/>
      <c r="BA43" s="1986"/>
      <c r="BB43" s="1986"/>
      <c r="BC43" s="1986"/>
      <c r="BD43" s="1986"/>
      <c r="BE43" s="1986"/>
    </row>
    <row r="44" spans="1:57" ht="12" customHeight="1" x14ac:dyDescent="0.2">
      <c r="A44" s="2442"/>
      <c r="B44" s="1096"/>
      <c r="C44" s="5036" t="s">
        <v>9861</v>
      </c>
      <c r="D44" s="5037"/>
      <c r="E44" s="5037"/>
      <c r="F44" s="5037"/>
      <c r="G44" s="5037"/>
      <c r="H44" s="5037"/>
      <c r="I44" s="5037"/>
      <c r="J44" s="5037"/>
      <c r="K44" s="5037"/>
      <c r="L44" s="5037"/>
      <c r="M44" s="5037"/>
      <c r="N44" s="5037"/>
      <c r="O44" s="5037"/>
      <c r="P44" s="5037"/>
      <c r="Q44" s="5038"/>
      <c r="R44" s="652"/>
      <c r="S44" s="2441"/>
      <c r="T44" s="2442"/>
      <c r="U44" s="1096"/>
      <c r="V44" s="5410" t="s">
        <v>1857</v>
      </c>
      <c r="W44" s="5410"/>
      <c r="X44" s="5410"/>
      <c r="Y44" s="5411"/>
      <c r="Z44" s="5411"/>
      <c r="AA44" s="5411"/>
      <c r="AB44" s="5430"/>
      <c r="AC44" s="5430"/>
      <c r="AD44" s="5430"/>
      <c r="AE44" s="5430"/>
      <c r="AF44" s="5430"/>
      <c r="AG44" s="5430"/>
      <c r="AH44" s="5178"/>
      <c r="AI44" s="5178"/>
      <c r="AJ44" s="5179"/>
      <c r="AK44" s="838"/>
      <c r="AL44" s="2456"/>
      <c r="AM44" s="1986"/>
      <c r="AN44" s="1986"/>
      <c r="AO44" s="1986"/>
      <c r="AP44" s="1986"/>
      <c r="AQ44" s="1986"/>
      <c r="AR44" s="1986"/>
      <c r="AS44" s="1986"/>
      <c r="AT44" s="1986"/>
      <c r="AU44" s="1986"/>
      <c r="AV44" s="1986"/>
      <c r="AW44" s="1986"/>
      <c r="AX44" s="1986"/>
      <c r="AY44" s="1986"/>
      <c r="AZ44" s="1986"/>
      <c r="BA44" s="1986"/>
      <c r="BB44" s="1986"/>
      <c r="BC44" s="1986"/>
      <c r="BD44" s="1986"/>
      <c r="BE44" s="1986"/>
    </row>
    <row r="45" spans="1:57" ht="12" customHeight="1" thickBot="1" x14ac:dyDescent="0.25">
      <c r="A45" s="2442"/>
      <c r="B45" s="1096"/>
      <c r="C45" s="3806"/>
      <c r="D45" s="3807"/>
      <c r="E45" s="3807"/>
      <c r="F45" s="3807"/>
      <c r="G45" s="3807"/>
      <c r="H45" s="3807"/>
      <c r="I45" s="3807"/>
      <c r="J45" s="3807"/>
      <c r="K45" s="3807"/>
      <c r="L45" s="3807"/>
      <c r="M45" s="3807"/>
      <c r="N45" s="3807"/>
      <c r="O45" s="3807"/>
      <c r="P45" s="3807"/>
      <c r="Q45" s="3808"/>
      <c r="R45" s="652"/>
      <c r="S45" s="2441"/>
      <c r="T45" s="2442"/>
      <c r="U45" s="1096"/>
      <c r="V45" s="5441" t="s">
        <v>1858</v>
      </c>
      <c r="W45" s="5441"/>
      <c r="X45" s="5441"/>
      <c r="Y45" s="5482"/>
      <c r="Z45" s="5482"/>
      <c r="AA45" s="5482"/>
      <c r="AB45" s="5429"/>
      <c r="AC45" s="5429"/>
      <c r="AD45" s="5429"/>
      <c r="AE45" s="5429"/>
      <c r="AF45" s="5429"/>
      <c r="AG45" s="5429"/>
      <c r="AH45" s="5483"/>
      <c r="AI45" s="5483"/>
      <c r="AJ45" s="5484"/>
      <c r="AK45" s="838"/>
      <c r="AL45" s="2456"/>
      <c r="AM45" s="1986"/>
      <c r="AN45" s="1986"/>
      <c r="AO45" s="1986"/>
      <c r="AP45" s="1986"/>
      <c r="AQ45" s="1986"/>
      <c r="AR45" s="1986"/>
      <c r="AS45" s="1986"/>
      <c r="AT45" s="1986"/>
      <c r="AU45" s="2804"/>
      <c r="AV45" s="1986"/>
      <c r="AW45" s="1986"/>
      <c r="AX45" s="1986"/>
      <c r="AY45" s="1986"/>
      <c r="AZ45" s="1986"/>
      <c r="BA45" s="1986"/>
      <c r="BB45" s="1986"/>
      <c r="BC45" s="1986"/>
      <c r="BD45" s="1986"/>
      <c r="BE45" s="1986"/>
    </row>
    <row r="46" spans="1:57" ht="12" customHeight="1" thickBot="1" x14ac:dyDescent="0.25">
      <c r="A46" s="2442"/>
      <c r="B46" s="1096"/>
      <c r="R46" s="652"/>
      <c r="S46" s="2441"/>
      <c r="T46" s="2442"/>
      <c r="U46" s="1096"/>
      <c r="V46" s="5410" t="s">
        <v>1859</v>
      </c>
      <c r="W46" s="5410"/>
      <c r="X46" s="5410"/>
      <c r="Y46" s="5411"/>
      <c r="Z46" s="5411"/>
      <c r="AA46" s="5411"/>
      <c r="AB46" s="5430"/>
      <c r="AC46" s="5430"/>
      <c r="AD46" s="5430"/>
      <c r="AE46" s="5430"/>
      <c r="AF46" s="5430"/>
      <c r="AG46" s="5430"/>
      <c r="AH46" s="5178"/>
      <c r="AI46" s="5178"/>
      <c r="AJ46" s="5179"/>
      <c r="AK46" s="838"/>
      <c r="AL46" s="2456"/>
      <c r="AM46" s="1986"/>
      <c r="AN46" s="1986" t="s">
        <v>9890</v>
      </c>
      <c r="AO46" s="1986"/>
      <c r="AP46" s="1986"/>
      <c r="AQ46" s="1986"/>
      <c r="AR46" s="1986"/>
      <c r="AS46" s="1986"/>
      <c r="AT46" s="1986"/>
      <c r="AU46" s="2804"/>
      <c r="AV46" s="1986"/>
      <c r="AW46" s="1986"/>
      <c r="AX46" s="1986"/>
      <c r="AY46" s="1986"/>
      <c r="AZ46" s="1986"/>
      <c r="BA46" s="1986"/>
      <c r="BB46" s="1986"/>
      <c r="BC46" s="1986"/>
      <c r="BD46" s="1986"/>
      <c r="BE46" s="1986"/>
    </row>
    <row r="47" spans="1:57" ht="12" customHeight="1" thickBot="1" x14ac:dyDescent="0.25">
      <c r="A47" s="2442"/>
      <c r="B47" s="1096"/>
      <c r="C47" s="3026" t="s">
        <v>9865</v>
      </c>
      <c r="D47" s="3027"/>
      <c r="E47" s="3027"/>
      <c r="F47" s="3027"/>
      <c r="G47" s="3027"/>
      <c r="H47" s="3027"/>
      <c r="I47" s="3027"/>
      <c r="J47" s="5077"/>
      <c r="K47" s="2416" t="s">
        <v>9107</v>
      </c>
      <c r="L47" s="2416" t="s">
        <v>1851</v>
      </c>
      <c r="M47" s="2416" t="s">
        <v>1508</v>
      </c>
      <c r="N47" s="2416" t="s">
        <v>9862</v>
      </c>
      <c r="O47" s="2416" t="s">
        <v>2915</v>
      </c>
      <c r="P47" s="2416" t="s">
        <v>2916</v>
      </c>
      <c r="Q47" s="2419" t="s">
        <v>2907</v>
      </c>
      <c r="R47" s="652"/>
      <c r="S47" s="2441"/>
      <c r="T47" s="2442"/>
      <c r="U47" s="1096"/>
      <c r="V47" s="5403" t="s">
        <v>1860</v>
      </c>
      <c r="W47" s="5404"/>
      <c r="X47" s="5405"/>
      <c r="Y47" s="5184"/>
      <c r="Z47" s="5185"/>
      <c r="AA47" s="5431"/>
      <c r="AB47" s="5184"/>
      <c r="AC47" s="5185"/>
      <c r="AD47" s="5431"/>
      <c r="AE47" s="5184"/>
      <c r="AF47" s="5185"/>
      <c r="AG47" s="5431"/>
      <c r="AH47" s="5184"/>
      <c r="AI47" s="5185"/>
      <c r="AJ47" s="5186"/>
      <c r="AK47" s="838"/>
      <c r="AL47" s="2456"/>
      <c r="AM47" s="1986"/>
      <c r="AN47" s="1986" t="s">
        <v>1242</v>
      </c>
      <c r="AO47" s="1986" t="s">
        <v>1407</v>
      </c>
      <c r="AP47" s="1986" t="s">
        <v>1378</v>
      </c>
      <c r="AQ47" s="1986" t="s">
        <v>9886</v>
      </c>
      <c r="AR47" s="1986" t="s">
        <v>9882</v>
      </c>
      <c r="AS47" s="1986" t="s">
        <v>9883</v>
      </c>
      <c r="AT47" s="2804" t="s">
        <v>9884</v>
      </c>
      <c r="AU47" s="1986" t="s">
        <v>9885</v>
      </c>
      <c r="AV47" s="1986" t="s">
        <v>9107</v>
      </c>
      <c r="AW47" s="1986" t="s">
        <v>1851</v>
      </c>
      <c r="AX47" s="1986" t="s">
        <v>1508</v>
      </c>
      <c r="AY47" s="1986" t="s">
        <v>9862</v>
      </c>
      <c r="AZ47" s="1986" t="s">
        <v>2915</v>
      </c>
      <c r="BA47" s="1986" t="s">
        <v>2916</v>
      </c>
      <c r="BB47" s="1986" t="s">
        <v>2907</v>
      </c>
      <c r="BC47" s="1986" t="s">
        <v>9889</v>
      </c>
      <c r="BD47" s="1986" t="s">
        <v>9888</v>
      </c>
      <c r="BE47" s="1986" t="s">
        <v>9887</v>
      </c>
    </row>
    <row r="48" spans="1:57" ht="12" customHeight="1" x14ac:dyDescent="0.2">
      <c r="A48" s="2442"/>
      <c r="B48" s="1096"/>
      <c r="C48" s="2392" t="s">
        <v>9863</v>
      </c>
      <c r="D48" s="5078"/>
      <c r="E48" s="5079"/>
      <c r="F48" s="5079"/>
      <c r="G48" s="5079"/>
      <c r="H48" s="5079"/>
      <c r="I48" s="5079"/>
      <c r="J48" s="5080"/>
      <c r="K48" s="2396"/>
      <c r="L48" s="2397"/>
      <c r="M48" s="2395"/>
      <c r="N48" s="2396"/>
      <c r="O48" s="2397"/>
      <c r="P48" s="2397"/>
      <c r="Q48" s="2398"/>
      <c r="R48" s="652"/>
      <c r="S48" s="2441"/>
      <c r="T48" s="2442"/>
      <c r="U48" s="1096"/>
      <c r="AJ48" s="55"/>
      <c r="AK48" s="838"/>
      <c r="AL48" s="2456"/>
      <c r="AM48" s="1986"/>
      <c r="AN48" s="2007">
        <f>D48</f>
        <v>0</v>
      </c>
      <c r="AO48" s="2007">
        <f>D49</f>
        <v>0</v>
      </c>
      <c r="AP48" s="2007">
        <f>D50</f>
        <v>0</v>
      </c>
      <c r="AQ48" s="2007">
        <f>H49</f>
        <v>0</v>
      </c>
      <c r="AR48" s="2007" t="str">
        <f>J50&amp;" "&amp;K50</f>
        <v xml:space="preserve"> </v>
      </c>
      <c r="AS48" s="2007" t="str">
        <f>L50&amp;" "&amp;M50</f>
        <v xml:space="preserve"> </v>
      </c>
      <c r="AT48" s="2007" t="str">
        <f>N50&amp;" "&amp;O50</f>
        <v xml:space="preserve"> </v>
      </c>
      <c r="AU48" s="2007" t="str">
        <f>P50&amp;" "&amp;Q50</f>
        <v xml:space="preserve"> </v>
      </c>
      <c r="AV48" s="2007">
        <f t="shared" ref="AV48:BB48" si="1">K48</f>
        <v>0</v>
      </c>
      <c r="AW48" s="2007">
        <f t="shared" si="1"/>
        <v>0</v>
      </c>
      <c r="AX48" s="2007">
        <f t="shared" si="1"/>
        <v>0</v>
      </c>
      <c r="AY48" s="2007">
        <f t="shared" si="1"/>
        <v>0</v>
      </c>
      <c r="AZ48" s="2007">
        <f t="shared" si="1"/>
        <v>0</v>
      </c>
      <c r="BA48" s="2007">
        <f t="shared" si="1"/>
        <v>0</v>
      </c>
      <c r="BB48" s="2007">
        <f t="shared" si="1"/>
        <v>0</v>
      </c>
      <c r="BC48" s="2007">
        <f>L49</f>
        <v>0</v>
      </c>
      <c r="BD48" s="2007">
        <f>N49</f>
        <v>0</v>
      </c>
      <c r="BE48" s="2007">
        <f>P49</f>
        <v>0</v>
      </c>
    </row>
    <row r="49" spans="1:57" ht="12" customHeight="1" thickBot="1" x14ac:dyDescent="0.25">
      <c r="A49" s="2442"/>
      <c r="B49" s="1096"/>
      <c r="C49" s="2391" t="s">
        <v>1845</v>
      </c>
      <c r="D49" s="5026"/>
      <c r="E49" s="5027"/>
      <c r="F49" s="5028" t="s">
        <v>9864</v>
      </c>
      <c r="G49" s="5029"/>
      <c r="H49" s="2395"/>
      <c r="I49" s="2394"/>
      <c r="J49" s="2394"/>
      <c r="K49" s="2393" t="s">
        <v>9097</v>
      </c>
      <c r="L49" s="5030"/>
      <c r="M49" s="5031"/>
      <c r="N49" s="5030"/>
      <c r="O49" s="5031"/>
      <c r="P49" s="5030"/>
      <c r="Q49" s="5071"/>
      <c r="R49" s="652"/>
      <c r="S49" s="2441"/>
      <c r="T49" s="2442"/>
      <c r="U49" s="1096"/>
      <c r="AK49" s="838"/>
      <c r="AL49" s="2456"/>
      <c r="AM49" s="1986"/>
      <c r="AN49" s="2007">
        <f>D52</f>
        <v>0</v>
      </c>
      <c r="AO49" s="2007">
        <f>D53</f>
        <v>0</v>
      </c>
      <c r="AP49" s="2007">
        <f>D54</f>
        <v>0</v>
      </c>
      <c r="AQ49" s="2007">
        <f>H53</f>
        <v>0</v>
      </c>
      <c r="AR49" s="2007" t="str">
        <f>J54&amp;" "&amp;K54</f>
        <v xml:space="preserve"> </v>
      </c>
      <c r="AS49" s="2007" t="str">
        <f>L54&amp;" "&amp;M54</f>
        <v xml:space="preserve"> </v>
      </c>
      <c r="AT49" s="2007" t="str">
        <f>N54&amp;" "&amp;O54</f>
        <v xml:space="preserve"> </v>
      </c>
      <c r="AU49" s="2007" t="str">
        <f>P54&amp;" "&amp;Q54</f>
        <v xml:space="preserve"> </v>
      </c>
      <c r="AV49" s="2007">
        <f t="shared" ref="AV49:BB49" si="2">K52</f>
        <v>0</v>
      </c>
      <c r="AW49" s="2007">
        <f t="shared" si="2"/>
        <v>0</v>
      </c>
      <c r="AX49" s="2007">
        <f t="shared" si="2"/>
        <v>0</v>
      </c>
      <c r="AY49" s="2007">
        <f t="shared" si="2"/>
        <v>0</v>
      </c>
      <c r="AZ49" s="2007">
        <f t="shared" si="2"/>
        <v>0</v>
      </c>
      <c r="BA49" s="2007">
        <f t="shared" si="2"/>
        <v>0</v>
      </c>
      <c r="BB49" s="2007">
        <f t="shared" si="2"/>
        <v>0</v>
      </c>
      <c r="BC49" s="2007">
        <f>L53</f>
        <v>0</v>
      </c>
      <c r="BD49" s="2007">
        <f>N53</f>
        <v>0</v>
      </c>
      <c r="BE49" s="2007">
        <f>P53</f>
        <v>0</v>
      </c>
    </row>
    <row r="50" spans="1:57" ht="12" customHeight="1" thickBot="1" x14ac:dyDescent="0.25">
      <c r="A50" s="2442"/>
      <c r="B50" s="1096"/>
      <c r="C50" s="2390" t="s">
        <v>1371</v>
      </c>
      <c r="D50" s="5072"/>
      <c r="E50" s="5073"/>
      <c r="F50" s="5074" t="s">
        <v>9866</v>
      </c>
      <c r="G50" s="5075"/>
      <c r="H50" s="5075"/>
      <c r="I50" s="5076"/>
      <c r="J50" s="2399"/>
      <c r="K50" s="2471"/>
      <c r="L50" s="2399"/>
      <c r="M50" s="2471"/>
      <c r="N50" s="2399"/>
      <c r="O50" s="2399"/>
      <c r="P50" s="2399"/>
      <c r="Q50" s="2400"/>
      <c r="R50" s="652"/>
      <c r="S50" s="2441"/>
      <c r="T50" s="2442"/>
      <c r="U50" s="1096"/>
      <c r="V50" s="5036" t="s">
        <v>7369</v>
      </c>
      <c r="W50" s="5037"/>
      <c r="X50" s="5037"/>
      <c r="Y50" s="5037"/>
      <c r="Z50" s="5037"/>
      <c r="AA50" s="5037"/>
      <c r="AB50" s="5037"/>
      <c r="AC50" s="5037"/>
      <c r="AD50" s="5037"/>
      <c r="AE50" s="5037"/>
      <c r="AF50" s="5037"/>
      <c r="AG50" s="5037"/>
      <c r="AH50" s="5037"/>
      <c r="AI50" s="5037"/>
      <c r="AJ50" s="5038"/>
      <c r="AK50" s="838"/>
      <c r="AL50" s="2456"/>
      <c r="AM50" s="1986"/>
      <c r="AN50" s="2007">
        <f>D56</f>
        <v>0</v>
      </c>
      <c r="AO50" s="2007">
        <f>D57</f>
        <v>0</v>
      </c>
      <c r="AP50" s="2007">
        <f>D58</f>
        <v>0</v>
      </c>
      <c r="AQ50" s="2007">
        <f>H57</f>
        <v>0</v>
      </c>
      <c r="AR50" s="2007" t="str">
        <f>J58&amp;" "&amp;K58</f>
        <v xml:space="preserve"> </v>
      </c>
      <c r="AS50" s="2007" t="str">
        <f>L58&amp;" "&amp;M58</f>
        <v xml:space="preserve"> </v>
      </c>
      <c r="AT50" s="2007" t="str">
        <f>N58&amp;" "&amp;O58</f>
        <v xml:space="preserve"> </v>
      </c>
      <c r="AU50" s="2007" t="str">
        <f>P58&amp;" "&amp;Q58</f>
        <v xml:space="preserve"> </v>
      </c>
      <c r="AV50" s="2007">
        <f t="shared" ref="AV50:BB50" si="3">K56</f>
        <v>0</v>
      </c>
      <c r="AW50" s="2007">
        <f t="shared" si="3"/>
        <v>0</v>
      </c>
      <c r="AX50" s="2007">
        <f t="shared" si="3"/>
        <v>0</v>
      </c>
      <c r="AY50" s="2007">
        <f t="shared" si="3"/>
        <v>0</v>
      </c>
      <c r="AZ50" s="2007">
        <f t="shared" si="3"/>
        <v>0</v>
      </c>
      <c r="BA50" s="2007">
        <f t="shared" si="3"/>
        <v>0</v>
      </c>
      <c r="BB50" s="2007">
        <f t="shared" si="3"/>
        <v>0</v>
      </c>
      <c r="BC50" s="2007">
        <f>L57</f>
        <v>0</v>
      </c>
      <c r="BD50" s="2007">
        <f>N57</f>
        <v>0</v>
      </c>
      <c r="BE50" s="2007">
        <f>P57</f>
        <v>0</v>
      </c>
    </row>
    <row r="51" spans="1:57" ht="12" customHeight="1" thickBot="1" x14ac:dyDescent="0.25">
      <c r="A51" s="2442"/>
      <c r="B51" s="1096"/>
      <c r="C51" s="3026" t="s">
        <v>9869</v>
      </c>
      <c r="D51" s="3027"/>
      <c r="E51" s="3027"/>
      <c r="F51" s="3027"/>
      <c r="G51" s="3027"/>
      <c r="H51" s="3027"/>
      <c r="I51" s="3027"/>
      <c r="J51" s="5077"/>
      <c r="K51" s="2416" t="s">
        <v>9107</v>
      </c>
      <c r="L51" s="2416" t="s">
        <v>1851</v>
      </c>
      <c r="M51" s="2416" t="s">
        <v>1508</v>
      </c>
      <c r="N51" s="2416" t="s">
        <v>9862</v>
      </c>
      <c r="O51" s="2416" t="s">
        <v>2915</v>
      </c>
      <c r="P51" s="2416" t="s">
        <v>2916</v>
      </c>
      <c r="Q51" s="2419" t="s">
        <v>2907</v>
      </c>
      <c r="R51" s="652"/>
      <c r="S51" s="2441"/>
      <c r="T51" s="2442"/>
      <c r="U51" s="1096"/>
      <c r="V51" s="3806"/>
      <c r="W51" s="3807"/>
      <c r="X51" s="3807"/>
      <c r="Y51" s="3807"/>
      <c r="Z51" s="3807"/>
      <c r="AA51" s="3807"/>
      <c r="AB51" s="3807"/>
      <c r="AC51" s="3807"/>
      <c r="AD51" s="3807"/>
      <c r="AE51" s="3807"/>
      <c r="AF51" s="3807"/>
      <c r="AG51" s="3807"/>
      <c r="AH51" s="3807"/>
      <c r="AI51" s="3807"/>
      <c r="AJ51" s="3808"/>
      <c r="AK51" s="838"/>
      <c r="AL51" s="2456"/>
      <c r="AM51" s="1986"/>
      <c r="AN51" s="2007">
        <f>D60</f>
        <v>0</v>
      </c>
      <c r="AO51" s="2007">
        <f>D61</f>
        <v>0</v>
      </c>
      <c r="AP51" s="2007">
        <f>D62</f>
        <v>0</v>
      </c>
      <c r="AQ51" s="2007">
        <f>H61</f>
        <v>0</v>
      </c>
      <c r="AR51" s="2007" t="str">
        <f>J62&amp;" "&amp;K62</f>
        <v xml:space="preserve"> </v>
      </c>
      <c r="AS51" s="2007" t="str">
        <f>L62&amp;" "&amp;M62</f>
        <v xml:space="preserve"> </v>
      </c>
      <c r="AT51" s="2007" t="str">
        <f>N62&amp;" "&amp;O62</f>
        <v xml:space="preserve"> </v>
      </c>
      <c r="AU51" s="2007" t="str">
        <f>P62&amp;" "&amp;Q62</f>
        <v xml:space="preserve"> </v>
      </c>
      <c r="AV51" s="2007">
        <f t="shared" ref="AV51:BB51" si="4">K60</f>
        <v>0</v>
      </c>
      <c r="AW51" s="2007">
        <f t="shared" si="4"/>
        <v>0</v>
      </c>
      <c r="AX51" s="2007">
        <f t="shared" si="4"/>
        <v>0</v>
      </c>
      <c r="AY51" s="2007">
        <f t="shared" si="4"/>
        <v>0</v>
      </c>
      <c r="AZ51" s="2007">
        <f t="shared" si="4"/>
        <v>0</v>
      </c>
      <c r="BA51" s="2007">
        <f t="shared" si="4"/>
        <v>0</v>
      </c>
      <c r="BB51" s="2007">
        <f t="shared" si="4"/>
        <v>0</v>
      </c>
      <c r="BC51" s="2007">
        <f>L61</f>
        <v>0</v>
      </c>
      <c r="BD51" s="2007">
        <f>N61</f>
        <v>0</v>
      </c>
      <c r="BE51" s="2007">
        <f>P61</f>
        <v>0</v>
      </c>
    </row>
    <row r="52" spans="1:57" ht="12" customHeight="1" thickBot="1" x14ac:dyDescent="0.25">
      <c r="A52" s="2442"/>
      <c r="B52" s="1096"/>
      <c r="C52" s="2392" t="s">
        <v>9863</v>
      </c>
      <c r="D52" s="5078"/>
      <c r="E52" s="5079"/>
      <c r="F52" s="5079"/>
      <c r="G52" s="5079"/>
      <c r="H52" s="5079"/>
      <c r="I52" s="5079"/>
      <c r="J52" s="5080"/>
      <c r="K52" s="2396"/>
      <c r="L52" s="2397"/>
      <c r="M52" s="2395"/>
      <c r="N52" s="2396"/>
      <c r="O52" s="2397"/>
      <c r="P52" s="2397"/>
      <c r="Q52" s="2398"/>
      <c r="R52" s="652"/>
      <c r="S52" s="2441"/>
      <c r="T52" s="2442"/>
      <c r="U52" s="1096"/>
      <c r="AK52" s="838"/>
      <c r="AL52" s="2456"/>
      <c r="AM52" s="1986"/>
      <c r="AN52" s="2007">
        <f>D64</f>
        <v>0</v>
      </c>
      <c r="AO52" s="2007">
        <f>D65</f>
        <v>0</v>
      </c>
      <c r="AP52" s="2007">
        <f>D66</f>
        <v>0</v>
      </c>
      <c r="AQ52" s="2007">
        <f>H64</f>
        <v>0</v>
      </c>
      <c r="AR52" s="2007" t="str">
        <f>J66&amp;" "&amp;K66</f>
        <v xml:space="preserve"> </v>
      </c>
      <c r="AS52" s="2007" t="str">
        <f>L66&amp;" "&amp;M66</f>
        <v xml:space="preserve"> </v>
      </c>
      <c r="AT52" s="2007" t="str">
        <f>N66&amp;" "&amp;O66</f>
        <v xml:space="preserve"> </v>
      </c>
      <c r="AU52" s="2007" t="str">
        <f>P66&amp;" "&amp;Q66</f>
        <v xml:space="preserve"> </v>
      </c>
      <c r="AV52" s="2007">
        <f t="shared" ref="AV52:BB52" si="5">K64</f>
        <v>0</v>
      </c>
      <c r="AW52" s="2007">
        <f t="shared" si="5"/>
        <v>0</v>
      </c>
      <c r="AX52" s="2007">
        <f t="shared" si="5"/>
        <v>0</v>
      </c>
      <c r="AY52" s="2007">
        <f t="shared" si="5"/>
        <v>0</v>
      </c>
      <c r="AZ52" s="2007">
        <f t="shared" si="5"/>
        <v>0</v>
      </c>
      <c r="BA52" s="2007">
        <f t="shared" si="5"/>
        <v>0</v>
      </c>
      <c r="BB52" s="2007">
        <f t="shared" si="5"/>
        <v>0</v>
      </c>
      <c r="BC52" s="2007">
        <f>L65</f>
        <v>0</v>
      </c>
      <c r="BD52" s="2007">
        <f>N65</f>
        <v>0</v>
      </c>
      <c r="BE52" s="2007">
        <f>P65</f>
        <v>0</v>
      </c>
    </row>
    <row r="53" spans="1:57" ht="12" customHeight="1" thickBot="1" x14ac:dyDescent="0.25">
      <c r="A53" s="2442"/>
      <c r="B53" s="1096"/>
      <c r="C53" s="2391" t="s">
        <v>1845</v>
      </c>
      <c r="D53" s="5026"/>
      <c r="E53" s="5027"/>
      <c r="F53" s="5028" t="s">
        <v>9864</v>
      </c>
      <c r="G53" s="5029"/>
      <c r="H53" s="2395"/>
      <c r="I53" s="2394"/>
      <c r="J53" s="2394"/>
      <c r="K53" s="2393" t="s">
        <v>9097</v>
      </c>
      <c r="L53" s="5030"/>
      <c r="M53" s="5031"/>
      <c r="N53" s="5030"/>
      <c r="O53" s="5031"/>
      <c r="P53" s="5030"/>
      <c r="Q53" s="5071"/>
      <c r="R53" s="652"/>
      <c r="S53" s="2441"/>
      <c r="T53" s="2442"/>
      <c r="U53" s="1096"/>
      <c r="V53" s="3156" t="s">
        <v>1840</v>
      </c>
      <c r="W53" s="3156"/>
      <c r="X53" s="3156"/>
      <c r="Y53" s="3156"/>
      <c r="Z53" s="3156"/>
      <c r="AA53" s="3156"/>
      <c r="AB53" s="3156"/>
      <c r="AC53" s="3156"/>
      <c r="AE53" s="3062" t="s">
        <v>1841</v>
      </c>
      <c r="AF53" s="3063"/>
      <c r="AG53" s="3063"/>
      <c r="AH53" s="3063"/>
      <c r="AI53" s="3063"/>
      <c r="AJ53" s="3134"/>
      <c r="AK53" s="838"/>
      <c r="AL53" s="2456"/>
      <c r="AM53" s="1986"/>
      <c r="AN53" s="5039"/>
      <c r="AO53" s="5039"/>
      <c r="AP53" s="5039"/>
      <c r="AQ53" s="1986"/>
      <c r="AR53" s="1986"/>
      <c r="AS53" s="2789"/>
      <c r="AT53" s="2789"/>
      <c r="AU53" s="2789"/>
      <c r="AV53" s="1986"/>
      <c r="AW53" s="1986"/>
      <c r="AX53" s="1986"/>
      <c r="AY53" s="1986"/>
      <c r="AZ53" s="1986"/>
      <c r="BA53" s="1986"/>
      <c r="BB53" s="1986"/>
      <c r="BC53" s="1986"/>
      <c r="BD53" s="1986"/>
      <c r="BE53" s="1986"/>
    </row>
    <row r="54" spans="1:57" ht="12" customHeight="1" thickBot="1" x14ac:dyDescent="0.25">
      <c r="A54" s="2442"/>
      <c r="B54" s="1096"/>
      <c r="C54" s="2390" t="s">
        <v>1371</v>
      </c>
      <c r="D54" s="5072"/>
      <c r="E54" s="5073"/>
      <c r="F54" s="5074" t="s">
        <v>9866</v>
      </c>
      <c r="G54" s="5075"/>
      <c r="H54" s="5075"/>
      <c r="I54" s="5076"/>
      <c r="J54" s="2399"/>
      <c r="K54" s="2399"/>
      <c r="L54" s="2399"/>
      <c r="M54" s="2399"/>
      <c r="N54" s="2399"/>
      <c r="O54" s="2399"/>
      <c r="P54" s="2399"/>
      <c r="Q54" s="2400"/>
      <c r="R54" s="652"/>
      <c r="S54" s="2441"/>
      <c r="T54" s="2442"/>
      <c r="U54" s="1096"/>
      <c r="V54" s="3055" t="s">
        <v>1449</v>
      </c>
      <c r="W54" s="3055"/>
      <c r="X54" s="3055"/>
      <c r="Y54" s="3055"/>
      <c r="Z54" s="3055"/>
      <c r="AA54" s="3055"/>
      <c r="AB54" s="767" t="s">
        <v>1727</v>
      </c>
      <c r="AC54" s="17" t="s">
        <v>1517</v>
      </c>
      <c r="AE54" s="1597" t="s">
        <v>1647</v>
      </c>
      <c r="AF54" s="5174" t="s">
        <v>1703</v>
      </c>
      <c r="AG54" s="3856"/>
      <c r="AH54" s="3856"/>
      <c r="AI54" s="3856"/>
      <c r="AJ54" s="1598" t="s">
        <v>1411</v>
      </c>
      <c r="AK54" s="838"/>
      <c r="AL54" s="2456"/>
      <c r="AM54" s="1986"/>
      <c r="AN54" s="2804"/>
      <c r="AO54" s="2804"/>
      <c r="AP54" s="2804"/>
      <c r="AQ54" s="1986"/>
      <c r="AR54" s="1986"/>
      <c r="AS54" s="2789"/>
      <c r="AT54" s="2789"/>
      <c r="AU54" s="2789"/>
      <c r="AV54" s="1986"/>
      <c r="AW54" s="1986"/>
      <c r="AX54" s="1986"/>
      <c r="AY54" s="1986"/>
      <c r="AZ54" s="1986"/>
      <c r="BA54" s="1986"/>
      <c r="BB54" s="1986"/>
      <c r="BC54" s="1986"/>
      <c r="BD54" s="1986"/>
      <c r="BE54" s="1986"/>
    </row>
    <row r="55" spans="1:57" ht="12" customHeight="1" thickBot="1" x14ac:dyDescent="0.25">
      <c r="A55" s="2442"/>
      <c r="B55" s="1096"/>
      <c r="C55" s="3026" t="s">
        <v>9870</v>
      </c>
      <c r="D55" s="3027"/>
      <c r="E55" s="3027"/>
      <c r="F55" s="3027"/>
      <c r="G55" s="3027"/>
      <c r="H55" s="3027"/>
      <c r="I55" s="3027"/>
      <c r="J55" s="5077"/>
      <c r="K55" s="2416" t="s">
        <v>9107</v>
      </c>
      <c r="L55" s="2416" t="s">
        <v>1851</v>
      </c>
      <c r="M55" s="2416" t="s">
        <v>1508</v>
      </c>
      <c r="N55" s="2416" t="s">
        <v>9862</v>
      </c>
      <c r="O55" s="2416" t="s">
        <v>2915</v>
      </c>
      <c r="P55" s="2416" t="s">
        <v>2916</v>
      </c>
      <c r="Q55" s="2419" t="s">
        <v>2907</v>
      </c>
      <c r="R55" s="652"/>
      <c r="S55" s="2441"/>
      <c r="T55" s="2442"/>
      <c r="U55" s="1096"/>
      <c r="V55" s="5175"/>
      <c r="W55" s="5175"/>
      <c r="X55" s="5175"/>
      <c r="Y55" s="5175"/>
      <c r="Z55" s="5175"/>
      <c r="AA55" s="5175"/>
      <c r="AB55" s="1678"/>
      <c r="AC55" s="2425"/>
      <c r="AE55" s="1599">
        <f>IF(Metamagia!X15=1,30,0)</f>
        <v>0</v>
      </c>
      <c r="AF55" s="4463"/>
      <c r="AG55" s="4464"/>
      <c r="AH55" s="4464"/>
      <c r="AI55" s="4465"/>
      <c r="AJ55" s="609" t="str">
        <f>IF(AF55=0,"",VLOOKUP(AF55,'Tablas Magia'!$D$6:$Z$680,3,FALSE))</f>
        <v/>
      </c>
      <c r="AK55" s="838"/>
      <c r="AL55" s="2456"/>
      <c r="AM55" s="1986"/>
      <c r="AN55" s="2804"/>
      <c r="AO55" s="2804"/>
      <c r="AP55" s="2804"/>
      <c r="AQ55" s="1986"/>
      <c r="AR55" s="1986"/>
      <c r="AS55" s="2789"/>
      <c r="AT55" s="2789"/>
      <c r="AU55" s="1986"/>
      <c r="AV55" s="1986"/>
      <c r="AW55" s="1986"/>
      <c r="AX55" s="1986"/>
      <c r="AY55" s="1986"/>
      <c r="AZ55" s="1986"/>
      <c r="BA55" s="1986"/>
      <c r="BB55" s="1986"/>
      <c r="BC55" s="1986"/>
      <c r="BD55" s="1986"/>
      <c r="BE55" s="1986"/>
    </row>
    <row r="56" spans="1:57" ht="12" customHeight="1" x14ac:dyDescent="0.2">
      <c r="A56" s="2442"/>
      <c r="B56" s="1096"/>
      <c r="C56" s="2392" t="s">
        <v>9863</v>
      </c>
      <c r="D56" s="5078"/>
      <c r="E56" s="5079"/>
      <c r="F56" s="5079"/>
      <c r="G56" s="5079"/>
      <c r="H56" s="5079"/>
      <c r="I56" s="5079"/>
      <c r="J56" s="5080"/>
      <c r="K56" s="2396"/>
      <c r="L56" s="2397"/>
      <c r="M56" s="2395"/>
      <c r="N56" s="2396"/>
      <c r="O56" s="2397"/>
      <c r="P56" s="2397"/>
      <c r="Q56" s="2398"/>
      <c r="R56" s="652"/>
      <c r="S56" s="2441"/>
      <c r="T56" s="2442"/>
      <c r="U56" s="1096"/>
      <c r="V56" s="5011"/>
      <c r="W56" s="5011"/>
      <c r="X56" s="5011"/>
      <c r="Y56" s="5011"/>
      <c r="Z56" s="5011"/>
      <c r="AA56" s="5011"/>
      <c r="AB56" s="1923"/>
      <c r="AC56" s="2426"/>
      <c r="AE56" s="1600">
        <f>IF(Metamagia!AD15=1,30,0)</f>
        <v>0</v>
      </c>
      <c r="AF56" s="5154"/>
      <c r="AG56" s="5155"/>
      <c r="AH56" s="5155"/>
      <c r="AI56" s="5156"/>
      <c r="AJ56" s="1601" t="str">
        <f>IF(AF56=0,"",VLOOKUP(AF56,'Tablas Magia'!$D$6:$Z$680,3,FALSE))</f>
        <v/>
      </c>
      <c r="AK56" s="838"/>
      <c r="AL56" s="2456"/>
      <c r="AM56" s="1986"/>
      <c r="AN56" s="1986"/>
      <c r="AO56" s="1986"/>
      <c r="AP56" s="1986"/>
      <c r="AQ56" s="1986"/>
      <c r="AR56" s="1986"/>
      <c r="AS56" s="1986"/>
      <c r="AT56" s="1986"/>
      <c r="AU56" s="1986"/>
      <c r="AV56" s="1986"/>
      <c r="AW56" s="1986"/>
      <c r="AX56" s="1986"/>
      <c r="AY56" s="1986"/>
      <c r="AZ56" s="1986"/>
      <c r="BA56" s="1986"/>
      <c r="BB56" s="1986"/>
      <c r="BC56" s="1986"/>
      <c r="BD56" s="1986"/>
      <c r="BE56" s="1986"/>
    </row>
    <row r="57" spans="1:57" ht="12" customHeight="1" x14ac:dyDescent="0.2">
      <c r="A57" s="2442"/>
      <c r="B57" s="1096"/>
      <c r="C57" s="2391" t="s">
        <v>1845</v>
      </c>
      <c r="D57" s="5026"/>
      <c r="E57" s="5027"/>
      <c r="F57" s="5028" t="s">
        <v>9864</v>
      </c>
      <c r="G57" s="5029"/>
      <c r="H57" s="2395"/>
      <c r="I57" s="2394"/>
      <c r="J57" s="2394"/>
      <c r="K57" s="2393" t="s">
        <v>9097</v>
      </c>
      <c r="L57" s="5030"/>
      <c r="M57" s="5031"/>
      <c r="N57" s="5030"/>
      <c r="O57" s="5031"/>
      <c r="P57" s="5030"/>
      <c r="Q57" s="5071"/>
      <c r="R57" s="652"/>
      <c r="S57" s="2441"/>
      <c r="T57" s="2442"/>
      <c r="U57" s="1096"/>
      <c r="V57" s="4487"/>
      <c r="W57" s="4487"/>
      <c r="X57" s="4487"/>
      <c r="Y57" s="4487"/>
      <c r="Z57" s="4487"/>
      <c r="AA57" s="4487"/>
      <c r="AB57" s="1678"/>
      <c r="AC57" s="2425"/>
      <c r="AE57" s="1602">
        <f>IF(Metamagia!R29=1,50,0)</f>
        <v>0</v>
      </c>
      <c r="AF57" s="4401"/>
      <c r="AG57" s="4402"/>
      <c r="AH57" s="4402"/>
      <c r="AI57" s="4403"/>
      <c r="AJ57" s="609" t="str">
        <f>IF(AF57=0,"",VLOOKUP(AF57,'Tablas Magia'!$D$6:$Z$680,3,FALSE))</f>
        <v/>
      </c>
      <c r="AK57" s="838"/>
      <c r="AL57" s="2456"/>
      <c r="AM57" s="1986"/>
      <c r="AN57" s="1986"/>
      <c r="AO57" s="1986"/>
      <c r="AP57" s="1986"/>
      <c r="AQ57" s="1986"/>
      <c r="AR57" s="1986"/>
      <c r="AS57" s="1986"/>
      <c r="AT57" s="1986"/>
      <c r="AU57" s="1986"/>
      <c r="AV57" s="1986"/>
      <c r="AW57" s="1986"/>
      <c r="AX57" s="1986"/>
      <c r="AY57" s="1986"/>
      <c r="AZ57" s="1986"/>
      <c r="BA57" s="1986"/>
      <c r="BB57" s="1986"/>
      <c r="BC57" s="1986"/>
      <c r="BD57" s="1986"/>
      <c r="BE57" s="1986"/>
    </row>
    <row r="58" spans="1:57" ht="12" customHeight="1" thickBot="1" x14ac:dyDescent="0.25">
      <c r="A58" s="2442"/>
      <c r="B58" s="1096"/>
      <c r="C58" s="2390" t="s">
        <v>1371</v>
      </c>
      <c r="D58" s="5072"/>
      <c r="E58" s="5073"/>
      <c r="F58" s="5074" t="s">
        <v>9866</v>
      </c>
      <c r="G58" s="5075"/>
      <c r="H58" s="5075"/>
      <c r="I58" s="5076"/>
      <c r="J58" s="2399"/>
      <c r="K58" s="2399"/>
      <c r="L58" s="2399"/>
      <c r="M58" s="2399"/>
      <c r="N58" s="2399"/>
      <c r="O58" s="2399"/>
      <c r="P58" s="2399"/>
      <c r="Q58" s="2400"/>
      <c r="R58" s="652"/>
      <c r="S58" s="2441"/>
      <c r="T58" s="2442"/>
      <c r="U58" s="1096"/>
      <c r="V58" s="5011"/>
      <c r="W58" s="5011"/>
      <c r="X58" s="5011"/>
      <c r="Y58" s="5011"/>
      <c r="Z58" s="5011"/>
      <c r="AA58" s="5011"/>
      <c r="AB58" s="1923"/>
      <c r="AC58" s="2426"/>
      <c r="AE58" s="990">
        <f>IF(Metamagia!AG24=1,60,0)</f>
        <v>0</v>
      </c>
      <c r="AF58" s="5154"/>
      <c r="AG58" s="5155"/>
      <c r="AH58" s="5155"/>
      <c r="AI58" s="5156"/>
      <c r="AJ58" s="1601" t="str">
        <f>IF(AF58=0,"",VLOOKUP(AF58,'Tablas Magia'!$D$6:$Z$680,3,FALSE))</f>
        <v/>
      </c>
      <c r="AK58" s="838"/>
      <c r="AL58" s="1564"/>
      <c r="AM58" s="1986"/>
      <c r="AN58" s="1986"/>
      <c r="AO58" s="1986"/>
      <c r="AP58" s="1986"/>
      <c r="AQ58" s="1986"/>
      <c r="AR58" s="1986"/>
      <c r="AS58" s="1986"/>
      <c r="AT58" s="1986"/>
      <c r="AU58" s="1986"/>
      <c r="AV58" s="1986"/>
      <c r="AW58" s="1986"/>
      <c r="AX58" s="1986"/>
      <c r="AY58" s="1986"/>
      <c r="AZ58" s="1986"/>
      <c r="BA58" s="1986"/>
      <c r="BB58" s="1986"/>
      <c r="BC58" s="1986"/>
      <c r="BD58" s="1986"/>
      <c r="BE58" s="1986"/>
    </row>
    <row r="59" spans="1:57" ht="12" customHeight="1" thickBot="1" x14ac:dyDescent="0.25">
      <c r="A59" s="2442"/>
      <c r="B59" s="1096"/>
      <c r="C59" s="3026" t="s">
        <v>9871</v>
      </c>
      <c r="D59" s="3027"/>
      <c r="E59" s="3027"/>
      <c r="F59" s="3027"/>
      <c r="G59" s="3027"/>
      <c r="H59" s="3027"/>
      <c r="I59" s="3027"/>
      <c r="J59" s="5077"/>
      <c r="K59" s="2416" t="s">
        <v>9107</v>
      </c>
      <c r="L59" s="2416" t="s">
        <v>1851</v>
      </c>
      <c r="M59" s="2416" t="s">
        <v>1508</v>
      </c>
      <c r="N59" s="2416" t="s">
        <v>9862</v>
      </c>
      <c r="O59" s="2416" t="s">
        <v>2915</v>
      </c>
      <c r="P59" s="2416" t="s">
        <v>2916</v>
      </c>
      <c r="Q59" s="2419" t="s">
        <v>2907</v>
      </c>
      <c r="R59" s="652"/>
      <c r="S59" s="2441"/>
      <c r="T59" s="2442"/>
      <c r="U59" s="1096"/>
      <c r="V59" s="4487"/>
      <c r="W59" s="4487"/>
      <c r="X59" s="4487"/>
      <c r="Y59" s="4487"/>
      <c r="Z59" s="4487"/>
      <c r="AA59" s="4487"/>
      <c r="AB59" s="1678"/>
      <c r="AC59" s="2425"/>
      <c r="AE59" s="1602">
        <f>IF(Metamagia!X24=1,60,0)</f>
        <v>0</v>
      </c>
      <c r="AF59" s="4401"/>
      <c r="AG59" s="4402"/>
      <c r="AH59" s="4402"/>
      <c r="AI59" s="4403"/>
      <c r="AJ59" s="609" t="str">
        <f>IF(AF59=0,"",VLOOKUP(AF59,'Tablas Magia'!$D$6:$Z$680,3,FALSE))</f>
        <v/>
      </c>
      <c r="AK59" s="838"/>
      <c r="AL59" s="1564"/>
      <c r="AM59" s="1986"/>
      <c r="AN59" s="1986"/>
      <c r="AO59" s="1986"/>
      <c r="AP59" s="1986"/>
      <c r="AQ59" s="1986"/>
      <c r="AR59" s="1986"/>
      <c r="AS59" s="1986"/>
      <c r="AT59" s="1986"/>
      <c r="AU59" s="1986"/>
      <c r="AV59" s="1986"/>
      <c r="AW59" s="1986"/>
      <c r="AX59" s="1986"/>
      <c r="AY59" s="1986"/>
      <c r="AZ59" s="1986"/>
      <c r="BA59" s="1986"/>
      <c r="BB59" s="1986"/>
      <c r="BC59" s="1986"/>
      <c r="BD59" s="1986"/>
      <c r="BE59" s="1986"/>
    </row>
    <row r="60" spans="1:57" ht="12" customHeight="1" x14ac:dyDescent="0.2">
      <c r="A60" s="2442"/>
      <c r="B60" s="1096"/>
      <c r="C60" s="2392" t="s">
        <v>9863</v>
      </c>
      <c r="D60" s="5078"/>
      <c r="E60" s="5079"/>
      <c r="F60" s="5079"/>
      <c r="G60" s="5079"/>
      <c r="H60" s="5079"/>
      <c r="I60" s="5079"/>
      <c r="J60" s="5080"/>
      <c r="K60" s="2396"/>
      <c r="L60" s="2397"/>
      <c r="M60" s="2395"/>
      <c r="N60" s="2396"/>
      <c r="O60" s="2397"/>
      <c r="P60" s="2397"/>
      <c r="Q60" s="2398"/>
      <c r="R60" s="652"/>
      <c r="S60" s="2441"/>
      <c r="T60" s="2442"/>
      <c r="U60" s="1096"/>
      <c r="V60" s="5011"/>
      <c r="W60" s="5011"/>
      <c r="X60" s="5011"/>
      <c r="Y60" s="5011"/>
      <c r="Z60" s="5011"/>
      <c r="AA60" s="5011"/>
      <c r="AB60" s="1923"/>
      <c r="AC60" s="2426"/>
      <c r="AE60" s="990">
        <f>IF(Metamagia!AG39=1,70,0)</f>
        <v>0</v>
      </c>
      <c r="AF60" s="5154"/>
      <c r="AG60" s="5155"/>
      <c r="AH60" s="5155"/>
      <c r="AI60" s="5156"/>
      <c r="AJ60" s="1601" t="str">
        <f>IF(AF60=0,"",VLOOKUP(AF60,'Tablas Magia'!$D$6:$Z$680,3,FALSE))</f>
        <v/>
      </c>
      <c r="AK60" s="838"/>
      <c r="AL60" s="1564"/>
      <c r="AM60" s="1986"/>
      <c r="AN60" s="1986"/>
      <c r="AO60" s="1986"/>
      <c r="AP60" s="1986"/>
      <c r="AQ60" s="1986"/>
      <c r="AR60" s="1986"/>
      <c r="AS60" s="1986"/>
      <c r="AT60" s="1986"/>
      <c r="AU60" s="1986"/>
      <c r="AV60" s="1986"/>
      <c r="AW60" s="1986"/>
      <c r="AX60" s="1986"/>
      <c r="AY60" s="1986"/>
      <c r="AZ60" s="1986"/>
      <c r="BA60" s="1986"/>
      <c r="BB60" s="1986"/>
      <c r="BC60" s="1986"/>
      <c r="BD60" s="1986"/>
      <c r="BE60" s="1986"/>
    </row>
    <row r="61" spans="1:57" ht="12" customHeight="1" thickBot="1" x14ac:dyDescent="0.25">
      <c r="A61" s="2442"/>
      <c r="B61" s="1096"/>
      <c r="C61" s="2391" t="s">
        <v>1845</v>
      </c>
      <c r="D61" s="5026"/>
      <c r="E61" s="5027"/>
      <c r="F61" s="5028" t="s">
        <v>9864</v>
      </c>
      <c r="G61" s="5029"/>
      <c r="H61" s="2395"/>
      <c r="I61" s="2394"/>
      <c r="J61" s="2394"/>
      <c r="K61" s="2393" t="s">
        <v>9097</v>
      </c>
      <c r="L61" s="5030"/>
      <c r="M61" s="5031"/>
      <c r="N61" s="5030"/>
      <c r="O61" s="5031"/>
      <c r="P61" s="5030"/>
      <c r="Q61" s="5071"/>
      <c r="R61" s="652"/>
      <c r="S61" s="2441"/>
      <c r="T61" s="2442"/>
      <c r="U61" s="1096"/>
      <c r="V61" s="5241"/>
      <c r="W61" s="5241"/>
      <c r="X61" s="5241"/>
      <c r="Y61" s="5241"/>
      <c r="Z61" s="5241"/>
      <c r="AA61" s="5241"/>
      <c r="AB61" s="2509"/>
      <c r="AC61" s="1922"/>
      <c r="AE61" s="1603">
        <f>IF(Metamagia!AA29=1,80,0)</f>
        <v>0</v>
      </c>
      <c r="AF61" s="4488"/>
      <c r="AG61" s="4489"/>
      <c r="AH61" s="4489"/>
      <c r="AI61" s="4490"/>
      <c r="AJ61" s="770" t="str">
        <f>IF(AF61=0,"",VLOOKUP(AF61,'Tablas Magia'!$D$6:$Z$680,3,FALSE))</f>
        <v/>
      </c>
      <c r="AK61" s="838"/>
      <c r="AL61" s="1564"/>
      <c r="AM61" s="1986"/>
      <c r="AN61" s="1986"/>
      <c r="AO61" s="1986"/>
      <c r="AP61" s="1986"/>
      <c r="AQ61" s="1986"/>
      <c r="AR61" s="1986"/>
      <c r="AS61" s="1986"/>
      <c r="AT61" s="1986"/>
      <c r="AU61" s="1986"/>
      <c r="AV61" s="1986"/>
      <c r="AW61" s="1986"/>
      <c r="AX61" s="1986"/>
      <c r="AY61" s="1986"/>
      <c r="AZ61" s="1986"/>
      <c r="BA61" s="1986"/>
      <c r="BB61" s="1986"/>
      <c r="BC61" s="1986"/>
      <c r="BD61" s="1986"/>
      <c r="BE61" s="1986"/>
    </row>
    <row r="62" spans="1:57" ht="12" customHeight="1" thickBot="1" x14ac:dyDescent="0.25">
      <c r="A62" s="2442"/>
      <c r="B62" s="1096"/>
      <c r="C62" s="2390" t="s">
        <v>1371</v>
      </c>
      <c r="D62" s="5072"/>
      <c r="E62" s="5073"/>
      <c r="F62" s="5074" t="s">
        <v>9866</v>
      </c>
      <c r="G62" s="5075"/>
      <c r="H62" s="5075"/>
      <c r="I62" s="5076"/>
      <c r="J62" s="2399"/>
      <c r="K62" s="2399"/>
      <c r="L62" s="2399"/>
      <c r="M62" s="2399"/>
      <c r="N62" s="2399"/>
      <c r="O62" s="2399"/>
      <c r="P62" s="2399"/>
      <c r="Q62" s="2400"/>
      <c r="R62" s="652"/>
      <c r="S62" s="2441"/>
      <c r="T62" s="2442"/>
      <c r="U62" s="1096"/>
      <c r="AK62" s="838"/>
      <c r="AL62" s="1564"/>
      <c r="AM62" s="1986"/>
      <c r="AN62" s="1986"/>
      <c r="AO62" s="1986"/>
      <c r="AP62" s="1986"/>
      <c r="AQ62" s="1986"/>
      <c r="AR62" s="1986"/>
      <c r="AS62" s="1986"/>
      <c r="AT62" s="1986"/>
      <c r="AU62" s="1986"/>
      <c r="AV62" s="1986"/>
      <c r="AW62" s="1986"/>
      <c r="AX62" s="1986"/>
      <c r="AY62" s="1986"/>
      <c r="AZ62" s="1986"/>
      <c r="BA62" s="1986"/>
      <c r="BB62" s="1986"/>
      <c r="BC62" s="1986"/>
      <c r="BD62" s="1986"/>
      <c r="BE62" s="1986"/>
    </row>
    <row r="63" spans="1:57" ht="12" customHeight="1" thickBot="1" x14ac:dyDescent="0.25">
      <c r="A63" s="2442"/>
      <c r="B63" s="1096"/>
      <c r="C63" s="3026" t="s">
        <v>9872</v>
      </c>
      <c r="D63" s="3027"/>
      <c r="E63" s="3027"/>
      <c r="F63" s="3027"/>
      <c r="G63" s="3027"/>
      <c r="H63" s="3027"/>
      <c r="I63" s="3027"/>
      <c r="J63" s="5077"/>
      <c r="K63" s="2416" t="s">
        <v>9107</v>
      </c>
      <c r="L63" s="2416" t="s">
        <v>1851</v>
      </c>
      <c r="M63" s="2416" t="s">
        <v>1508</v>
      </c>
      <c r="N63" s="2416" t="s">
        <v>9862</v>
      </c>
      <c r="O63" s="2416" t="s">
        <v>2915</v>
      </c>
      <c r="P63" s="2416" t="s">
        <v>2916</v>
      </c>
      <c r="Q63" s="2419" t="s">
        <v>2907</v>
      </c>
      <c r="R63" s="652"/>
      <c r="S63" s="2441"/>
      <c r="T63" s="2442"/>
      <c r="U63" s="1096"/>
      <c r="V63" s="5202" t="s">
        <v>1849</v>
      </c>
      <c r="W63" s="4867" t="s">
        <v>1850</v>
      </c>
      <c r="X63" s="4867"/>
      <c r="Y63" s="4867"/>
      <c r="Z63" s="4867"/>
      <c r="AA63" s="4867"/>
      <c r="AB63" s="46" t="s">
        <v>1498</v>
      </c>
      <c r="AC63" s="94" t="s">
        <v>1851</v>
      </c>
      <c r="AD63" s="4586" t="s">
        <v>1558</v>
      </c>
      <c r="AE63" s="4586"/>
      <c r="AF63" s="4586"/>
      <c r="AG63" s="4586"/>
      <c r="AH63" s="4586"/>
      <c r="AI63" s="4586"/>
      <c r="AJ63" s="4586"/>
      <c r="AK63" s="838"/>
      <c r="AL63" s="1564"/>
      <c r="AM63" s="1986"/>
      <c r="AN63" s="1986"/>
      <c r="AO63" s="1986"/>
      <c r="AP63" s="1986"/>
      <c r="AQ63" s="1986"/>
      <c r="AR63" s="1986"/>
      <c r="AS63" s="1986"/>
      <c r="AT63" s="1986"/>
      <c r="AU63" s="1986"/>
      <c r="AV63" s="1986"/>
      <c r="AW63" s="1986"/>
      <c r="AX63" s="1986"/>
      <c r="AY63" s="1986"/>
      <c r="AZ63" s="1986"/>
      <c r="BA63" s="1986"/>
      <c r="BB63" s="1986"/>
      <c r="BC63" s="1986"/>
      <c r="BD63" s="1986"/>
      <c r="BE63" s="1986"/>
    </row>
    <row r="64" spans="1:57" ht="12" customHeight="1" x14ac:dyDescent="0.2">
      <c r="A64" s="2442"/>
      <c r="B64" s="1096"/>
      <c r="C64" s="2392" t="s">
        <v>9863</v>
      </c>
      <c r="D64" s="5078"/>
      <c r="E64" s="5079"/>
      <c r="F64" s="5079"/>
      <c r="G64" s="5079"/>
      <c r="H64" s="5079"/>
      <c r="I64" s="5079"/>
      <c r="J64" s="5080"/>
      <c r="K64" s="2396"/>
      <c r="L64" s="2397"/>
      <c r="M64" s="2395"/>
      <c r="N64" s="2396"/>
      <c r="O64" s="2397"/>
      <c r="P64" s="2397"/>
      <c r="Q64" s="2398"/>
      <c r="R64" s="652"/>
      <c r="S64" s="2441"/>
      <c r="T64" s="2442"/>
      <c r="U64" s="1096"/>
      <c r="V64" s="5203"/>
      <c r="W64" s="5158"/>
      <c r="X64" s="5158"/>
      <c r="Y64" s="5158"/>
      <c r="Z64" s="5158"/>
      <c r="AA64" s="5158"/>
      <c r="AB64" s="1916"/>
      <c r="AC64" s="1916"/>
      <c r="AD64" s="5159"/>
      <c r="AE64" s="5159"/>
      <c r="AF64" s="5159"/>
      <c r="AG64" s="5159"/>
      <c r="AH64" s="5159"/>
      <c r="AI64" s="5159"/>
      <c r="AJ64" s="5159"/>
      <c r="AK64" s="838"/>
      <c r="AL64" s="1564"/>
      <c r="AM64" s="1986"/>
      <c r="AN64" s="1986"/>
      <c r="AO64" s="1986"/>
      <c r="AP64" s="1986"/>
      <c r="AQ64" s="1986"/>
      <c r="AR64" s="1986"/>
      <c r="AS64" s="1986"/>
      <c r="AT64" s="1986"/>
      <c r="AU64" s="1986"/>
      <c r="AV64" s="1986"/>
      <c r="AW64" s="1986"/>
      <c r="AX64" s="1986"/>
      <c r="AY64" s="1986"/>
      <c r="AZ64" s="1986"/>
      <c r="BA64" s="1986"/>
      <c r="BB64" s="1986"/>
      <c r="BC64" s="1986"/>
      <c r="BD64" s="1986"/>
      <c r="BE64" s="1986"/>
    </row>
    <row r="65" spans="1:57" ht="12" customHeight="1" x14ac:dyDescent="0.2">
      <c r="A65" s="2442"/>
      <c r="B65" s="1096"/>
      <c r="C65" s="2391" t="s">
        <v>1845</v>
      </c>
      <c r="D65" s="5026"/>
      <c r="E65" s="5027"/>
      <c r="F65" s="5028" t="s">
        <v>9864</v>
      </c>
      <c r="G65" s="5029"/>
      <c r="H65" s="2395"/>
      <c r="I65" s="2394"/>
      <c r="J65" s="2394"/>
      <c r="K65" s="2393" t="s">
        <v>9097</v>
      </c>
      <c r="L65" s="5030"/>
      <c r="M65" s="5031"/>
      <c r="N65" s="5030"/>
      <c r="O65" s="5031"/>
      <c r="P65" s="5030"/>
      <c r="Q65" s="5071"/>
      <c r="R65" s="652"/>
      <c r="S65" s="2441"/>
      <c r="T65" s="2442"/>
      <c r="U65" s="1096"/>
      <c r="V65" s="5203"/>
      <c r="W65" s="5034" t="s">
        <v>1854</v>
      </c>
      <c r="X65" s="5035"/>
      <c r="Y65" s="5157"/>
      <c r="Z65" s="5157"/>
      <c r="AA65" s="5157"/>
      <c r="AB65" s="5157"/>
      <c r="AC65" s="5157"/>
      <c r="AD65" s="5157"/>
      <c r="AE65" s="5157"/>
      <c r="AF65" s="5157"/>
      <c r="AG65" s="5157"/>
      <c r="AH65" s="5157"/>
      <c r="AI65" s="5157"/>
      <c r="AJ65" s="5157"/>
      <c r="AK65" s="838"/>
      <c r="AL65" s="1564"/>
      <c r="AM65" s="1986"/>
      <c r="AN65" s="1986"/>
      <c r="AO65" s="1986"/>
      <c r="AP65" s="1986"/>
      <c r="AQ65" s="1986"/>
      <c r="AR65" s="1986"/>
      <c r="AS65" s="1986"/>
      <c r="AT65" s="1986"/>
      <c r="AU65" s="1986"/>
      <c r="AV65" s="1986"/>
      <c r="AW65" s="1986"/>
      <c r="AX65" s="1986"/>
      <c r="AY65" s="1986"/>
      <c r="AZ65" s="1986"/>
      <c r="BA65" s="1986"/>
      <c r="BB65" s="1986"/>
      <c r="BC65" s="1986"/>
      <c r="BD65" s="1986"/>
      <c r="BE65" s="1986"/>
    </row>
    <row r="66" spans="1:57" ht="12" customHeight="1" thickBot="1" x14ac:dyDescent="0.25">
      <c r="A66" s="2442"/>
      <c r="B66" s="1096"/>
      <c r="C66" s="2390" t="s">
        <v>1371</v>
      </c>
      <c r="D66" s="5072"/>
      <c r="E66" s="5073"/>
      <c r="F66" s="5074" t="s">
        <v>9866</v>
      </c>
      <c r="G66" s="5075"/>
      <c r="H66" s="5075"/>
      <c r="I66" s="5076"/>
      <c r="J66" s="2399"/>
      <c r="K66" s="2399"/>
      <c r="L66" s="2399"/>
      <c r="M66" s="2399"/>
      <c r="N66" s="2399"/>
      <c r="O66" s="2399"/>
      <c r="P66" s="2399"/>
      <c r="Q66" s="2400"/>
      <c r="R66" s="652"/>
      <c r="S66" s="2441"/>
      <c r="T66" s="2442"/>
      <c r="U66" s="1096"/>
      <c r="V66" s="5203"/>
      <c r="W66" s="5242" t="s">
        <v>1855</v>
      </c>
      <c r="X66" s="5243"/>
      <c r="Y66" s="5153"/>
      <c r="Z66" s="5153"/>
      <c r="AA66" s="5153"/>
      <c r="AB66" s="5153"/>
      <c r="AC66" s="5153"/>
      <c r="AD66" s="5153"/>
      <c r="AE66" s="5153"/>
      <c r="AF66" s="5153"/>
      <c r="AG66" s="5153"/>
      <c r="AH66" s="5153"/>
      <c r="AI66" s="5153"/>
      <c r="AJ66" s="5153"/>
      <c r="AK66" s="838"/>
      <c r="AL66" s="1564"/>
      <c r="AM66" s="1986"/>
      <c r="AN66" s="1986"/>
      <c r="AO66" s="1986"/>
      <c r="AP66" s="1986"/>
      <c r="AQ66" s="1986"/>
      <c r="AR66" s="1986"/>
      <c r="AS66" s="1986"/>
      <c r="AT66" s="1986"/>
      <c r="AU66" s="1986"/>
      <c r="AV66" s="1986"/>
      <c r="AW66" s="1986"/>
      <c r="AX66" s="1986"/>
      <c r="AY66" s="1986"/>
      <c r="AZ66" s="1986"/>
      <c r="BA66" s="1986"/>
      <c r="BB66" s="1986"/>
      <c r="BC66" s="1986"/>
      <c r="BD66" s="1986"/>
      <c r="BE66" s="1986"/>
    </row>
    <row r="67" spans="1:57" ht="12" customHeight="1" thickBot="1" x14ac:dyDescent="0.25">
      <c r="A67" s="2442"/>
      <c r="B67" s="1096"/>
      <c r="R67" s="652"/>
      <c r="S67" s="2441"/>
      <c r="T67" s="2442"/>
      <c r="U67" s="1096"/>
      <c r="V67" s="5203"/>
      <c r="W67" s="4867" t="s">
        <v>1850</v>
      </c>
      <c r="X67" s="4867"/>
      <c r="Y67" s="4867"/>
      <c r="Z67" s="4867"/>
      <c r="AA67" s="4867"/>
      <c r="AB67" s="46" t="s">
        <v>1498</v>
      </c>
      <c r="AC67" s="94" t="s">
        <v>1851</v>
      </c>
      <c r="AD67" s="4586" t="s">
        <v>1558</v>
      </c>
      <c r="AE67" s="4586"/>
      <c r="AF67" s="4586"/>
      <c r="AG67" s="4586"/>
      <c r="AH67" s="4586"/>
      <c r="AI67" s="4586"/>
      <c r="AJ67" s="4586"/>
      <c r="AK67" s="838"/>
      <c r="AL67" s="1564"/>
      <c r="AM67" s="1986"/>
      <c r="AN67" s="1986"/>
      <c r="AO67" s="1986"/>
      <c r="AP67" s="1986"/>
      <c r="AQ67" s="1986"/>
      <c r="AR67" s="1986"/>
      <c r="AS67" s="1986"/>
      <c r="AT67" s="1986"/>
      <c r="AU67" s="1986"/>
      <c r="AV67" s="1986"/>
      <c r="AW67" s="1986"/>
      <c r="AX67" s="1986"/>
      <c r="AY67" s="1986"/>
      <c r="AZ67" s="1986"/>
      <c r="BA67" s="1986"/>
      <c r="BB67" s="1986"/>
      <c r="BC67" s="1986"/>
      <c r="BD67" s="1986"/>
      <c r="BE67" s="1986"/>
    </row>
    <row r="68" spans="1:57" ht="12" customHeight="1" x14ac:dyDescent="0.2">
      <c r="A68" s="2442"/>
      <c r="B68" s="1096"/>
      <c r="C68" s="4136" t="s">
        <v>9876</v>
      </c>
      <c r="D68" s="4137"/>
      <c r="E68" s="4138"/>
      <c r="F68" s="5172" t="s">
        <v>9874</v>
      </c>
      <c r="G68" s="5173"/>
      <c r="H68" s="5173"/>
      <c r="I68" s="5173"/>
      <c r="J68" s="5173"/>
      <c r="K68" s="5173"/>
      <c r="L68" s="5171"/>
      <c r="M68" s="5170" t="s">
        <v>9873</v>
      </c>
      <c r="N68" s="5171"/>
      <c r="O68" s="5170" t="s">
        <v>1378</v>
      </c>
      <c r="P68" s="5171"/>
      <c r="Q68" s="2420" t="s">
        <v>1411</v>
      </c>
      <c r="R68" s="652"/>
      <c r="S68" s="2441"/>
      <c r="T68" s="2442"/>
      <c r="U68" s="1096"/>
      <c r="V68" s="5203"/>
      <c r="W68" s="5158"/>
      <c r="X68" s="5158"/>
      <c r="Y68" s="5158"/>
      <c r="Z68" s="5158"/>
      <c r="AA68" s="5158"/>
      <c r="AB68" s="1916"/>
      <c r="AC68" s="1916"/>
      <c r="AD68" s="5159"/>
      <c r="AE68" s="5159"/>
      <c r="AF68" s="5159"/>
      <c r="AG68" s="5159"/>
      <c r="AH68" s="5159"/>
      <c r="AI68" s="5159"/>
      <c r="AJ68" s="5159"/>
      <c r="AK68" s="1948"/>
      <c r="AL68" s="2456"/>
      <c r="AM68" s="1986"/>
      <c r="AN68" s="1986"/>
      <c r="AO68" s="1986"/>
      <c r="AP68" s="1986"/>
      <c r="AQ68" s="1986"/>
      <c r="AR68" s="1986"/>
      <c r="AS68" s="1986"/>
      <c r="AT68" s="1986"/>
      <c r="AU68" s="1986"/>
      <c r="AV68" s="1986"/>
      <c r="AW68" s="1986"/>
      <c r="AX68" s="1986"/>
      <c r="AY68" s="1986"/>
      <c r="AZ68" s="1986"/>
      <c r="BA68" s="1986"/>
      <c r="BB68" s="1986"/>
      <c r="BC68" s="1986"/>
      <c r="BD68" s="1986"/>
      <c r="BE68" s="1986"/>
    </row>
    <row r="69" spans="1:57" ht="12" customHeight="1" x14ac:dyDescent="0.2">
      <c r="A69" s="2442"/>
      <c r="B69" s="1096"/>
      <c r="C69" s="5150"/>
      <c r="D69" s="5151"/>
      <c r="E69" s="5152"/>
      <c r="F69" s="5051"/>
      <c r="G69" s="5052"/>
      <c r="H69" s="5052"/>
      <c r="I69" s="5052"/>
      <c r="J69" s="5052"/>
      <c r="K69" s="5052"/>
      <c r="L69" s="5053"/>
      <c r="M69" s="5032"/>
      <c r="N69" s="5033"/>
      <c r="O69" s="5032"/>
      <c r="P69" s="5033"/>
      <c r="Q69" s="2511"/>
      <c r="R69" s="652"/>
      <c r="S69" s="2441"/>
      <c r="T69" s="2442"/>
      <c r="U69" s="1096"/>
      <c r="V69" s="5203"/>
      <c r="W69" s="5034" t="s">
        <v>1854</v>
      </c>
      <c r="X69" s="5035"/>
      <c r="Y69" s="5157"/>
      <c r="Z69" s="5157"/>
      <c r="AA69" s="5157"/>
      <c r="AB69" s="5157"/>
      <c r="AC69" s="5157"/>
      <c r="AD69" s="5157"/>
      <c r="AE69" s="5157"/>
      <c r="AF69" s="5157"/>
      <c r="AG69" s="5157"/>
      <c r="AH69" s="5157"/>
      <c r="AI69" s="5157"/>
      <c r="AJ69" s="5157"/>
      <c r="AK69" s="838"/>
      <c r="AL69" s="2456"/>
      <c r="AM69" s="1986"/>
      <c r="AN69" s="1986"/>
      <c r="AO69" s="1986"/>
      <c r="AP69" s="1986"/>
      <c r="AQ69" s="1986"/>
      <c r="AR69" s="1986"/>
      <c r="AS69" s="1986"/>
      <c r="AT69" s="1986"/>
      <c r="AU69" s="1986"/>
      <c r="AV69" s="1986"/>
      <c r="AW69" s="1986"/>
      <c r="AX69" s="1986"/>
      <c r="AY69" s="1986"/>
      <c r="AZ69" s="1986"/>
      <c r="BA69" s="1986"/>
      <c r="BB69" s="1986"/>
      <c r="BC69" s="1986"/>
      <c r="BD69" s="1986"/>
      <c r="BE69" s="1986"/>
    </row>
    <row r="70" spans="1:57" ht="12" customHeight="1" thickBot="1" x14ac:dyDescent="0.25">
      <c r="A70" s="2442"/>
      <c r="B70" s="1096"/>
      <c r="C70" s="5150"/>
      <c r="D70" s="5151"/>
      <c r="E70" s="5152"/>
      <c r="F70" s="5164"/>
      <c r="G70" s="5165"/>
      <c r="H70" s="5165"/>
      <c r="I70" s="5165"/>
      <c r="J70" s="5165"/>
      <c r="K70" s="5165"/>
      <c r="L70" s="5166"/>
      <c r="M70" s="5160"/>
      <c r="N70" s="5161"/>
      <c r="O70" s="5160"/>
      <c r="P70" s="5161"/>
      <c r="Q70" s="2510"/>
      <c r="R70" s="652"/>
      <c r="S70" s="2441"/>
      <c r="T70" s="2442"/>
      <c r="U70" s="1096"/>
      <c r="V70" s="5204"/>
      <c r="W70" s="5242" t="s">
        <v>1855</v>
      </c>
      <c r="X70" s="5243"/>
      <c r="Y70" s="5153"/>
      <c r="Z70" s="5153"/>
      <c r="AA70" s="5153"/>
      <c r="AB70" s="5153"/>
      <c r="AC70" s="5153"/>
      <c r="AD70" s="5153"/>
      <c r="AE70" s="5153"/>
      <c r="AF70" s="5153"/>
      <c r="AG70" s="5153"/>
      <c r="AH70" s="5153"/>
      <c r="AI70" s="5153"/>
      <c r="AJ70" s="5153"/>
      <c r="AK70" s="838"/>
      <c r="AL70" s="2456"/>
      <c r="AM70" s="1986"/>
      <c r="AN70" s="1986"/>
      <c r="AO70" s="1986"/>
      <c r="AP70" s="1986"/>
      <c r="AQ70" s="1986"/>
      <c r="AR70" s="1986"/>
      <c r="AS70" s="1986"/>
      <c r="AT70" s="1986"/>
      <c r="AU70" s="1986"/>
      <c r="AV70" s="1986"/>
      <c r="AW70" s="1986"/>
      <c r="AX70" s="1986"/>
      <c r="AY70" s="1986"/>
      <c r="AZ70" s="1986"/>
      <c r="BA70" s="1986"/>
      <c r="BB70" s="1986"/>
      <c r="BC70" s="1986"/>
      <c r="BD70" s="1986"/>
      <c r="BE70" s="1986"/>
    </row>
    <row r="71" spans="1:57" ht="12" customHeight="1" thickBot="1" x14ac:dyDescent="0.25">
      <c r="A71" s="2442"/>
      <c r="B71" s="1096"/>
      <c r="C71" s="4695"/>
      <c r="D71" s="4696"/>
      <c r="E71" s="4697"/>
      <c r="F71" s="5167"/>
      <c r="G71" s="5168"/>
      <c r="H71" s="5168"/>
      <c r="I71" s="5168"/>
      <c r="J71" s="5168"/>
      <c r="K71" s="5168"/>
      <c r="L71" s="5169"/>
      <c r="M71" s="5162"/>
      <c r="N71" s="5163"/>
      <c r="O71" s="5162"/>
      <c r="P71" s="5163"/>
      <c r="Q71" s="2540"/>
      <c r="R71" s="652"/>
      <c r="S71" s="2441"/>
      <c r="T71" s="2442"/>
      <c r="U71" s="1096"/>
      <c r="AK71" s="838"/>
      <c r="AL71" s="2456"/>
      <c r="AM71" s="1986"/>
      <c r="AN71" s="1986"/>
      <c r="AO71" s="1986"/>
      <c r="AP71" s="1986"/>
      <c r="AQ71" s="1986"/>
      <c r="AR71" s="1986"/>
      <c r="AS71" s="1986"/>
      <c r="AT71" s="1986"/>
      <c r="AU71" s="1986"/>
      <c r="AV71" s="1986"/>
      <c r="AW71" s="1986"/>
      <c r="AX71" s="1986"/>
      <c r="AY71" s="1986"/>
      <c r="AZ71" s="1986"/>
      <c r="BA71" s="1986"/>
      <c r="BB71" s="1986"/>
      <c r="BC71" s="1986"/>
      <c r="BD71" s="1986"/>
      <c r="BE71" s="1986"/>
    </row>
    <row r="72" spans="1:57" ht="12" customHeight="1" thickBot="1" x14ac:dyDescent="0.25">
      <c r="A72" s="2442"/>
      <c r="B72" s="1096"/>
      <c r="R72" s="652"/>
      <c r="S72" s="2441"/>
      <c r="T72" s="2442"/>
      <c r="U72" s="1096"/>
      <c r="AK72" s="838"/>
      <c r="AL72" s="2456"/>
      <c r="AM72" s="1986"/>
      <c r="AN72" s="1986"/>
      <c r="AO72" s="1986"/>
      <c r="AP72" s="1986"/>
      <c r="AQ72" s="1986"/>
      <c r="AR72" s="1986"/>
      <c r="AS72" s="1986"/>
      <c r="AT72" s="1986"/>
      <c r="AU72" s="1986"/>
      <c r="AV72" s="1986"/>
      <c r="AW72" s="1986"/>
      <c r="AX72" s="1986"/>
      <c r="AY72" s="1986"/>
      <c r="AZ72" s="1986"/>
      <c r="BA72" s="1986"/>
      <c r="BB72" s="1986"/>
      <c r="BC72" s="1986"/>
      <c r="BD72" s="1986"/>
      <c r="BE72" s="1986"/>
    </row>
    <row r="73" spans="1:57" ht="12" customHeight="1" thickBot="1" x14ac:dyDescent="0.25">
      <c r="A73" s="2442"/>
      <c r="B73" s="1096"/>
      <c r="R73" s="652"/>
      <c r="S73" s="2441"/>
      <c r="T73" s="2442"/>
      <c r="U73" s="1096"/>
      <c r="V73" s="5036" t="s">
        <v>8872</v>
      </c>
      <c r="W73" s="5037"/>
      <c r="X73" s="5037"/>
      <c r="Y73" s="5037"/>
      <c r="Z73" s="5037"/>
      <c r="AA73" s="5037"/>
      <c r="AB73" s="5037"/>
      <c r="AC73" s="5037"/>
      <c r="AD73" s="5037"/>
      <c r="AE73" s="5037"/>
      <c r="AF73" s="5037"/>
      <c r="AG73" s="5037"/>
      <c r="AH73" s="5037"/>
      <c r="AI73" s="5037"/>
      <c r="AJ73" s="5038"/>
      <c r="AK73" s="838"/>
      <c r="AL73" s="2456"/>
      <c r="AM73" s="1986"/>
      <c r="AN73" s="1986"/>
      <c r="AO73" s="1986"/>
      <c r="AP73" s="1986"/>
      <c r="AQ73" s="1986"/>
      <c r="AR73" s="1986"/>
      <c r="AS73" s="1986"/>
      <c r="AT73" s="1986"/>
      <c r="AU73" s="1986"/>
      <c r="AV73" s="1986"/>
      <c r="AW73" s="1986"/>
      <c r="AX73" s="1986"/>
      <c r="AY73" s="1986"/>
      <c r="AZ73" s="1986"/>
      <c r="BA73" s="1986"/>
      <c r="BB73" s="1986"/>
      <c r="BC73" s="1986"/>
      <c r="BD73" s="1986"/>
      <c r="BE73" s="1986"/>
    </row>
    <row r="74" spans="1:57" ht="12" customHeight="1" thickBot="1" x14ac:dyDescent="0.25">
      <c r="A74" s="2442"/>
      <c r="B74" s="1096"/>
      <c r="C74" s="5036" t="s">
        <v>7553</v>
      </c>
      <c r="D74" s="5037"/>
      <c r="E74" s="5037"/>
      <c r="F74" s="5037"/>
      <c r="G74" s="5037"/>
      <c r="H74" s="5037"/>
      <c r="I74" s="5037"/>
      <c r="J74" s="5037"/>
      <c r="K74" s="5037"/>
      <c r="L74" s="5037"/>
      <c r="M74" s="5037"/>
      <c r="N74" s="5037"/>
      <c r="O74" s="5037"/>
      <c r="P74" s="5037"/>
      <c r="Q74" s="5038"/>
      <c r="R74" s="652"/>
      <c r="S74" s="2441"/>
      <c r="T74" s="2442"/>
      <c r="U74" s="1096"/>
      <c r="V74" s="3806"/>
      <c r="W74" s="3807"/>
      <c r="X74" s="3807"/>
      <c r="Y74" s="3807"/>
      <c r="Z74" s="3807"/>
      <c r="AA74" s="3807"/>
      <c r="AB74" s="3807"/>
      <c r="AC74" s="3807"/>
      <c r="AD74" s="3807"/>
      <c r="AE74" s="3807"/>
      <c r="AF74" s="3807"/>
      <c r="AG74" s="3807"/>
      <c r="AH74" s="3807"/>
      <c r="AI74" s="3807"/>
      <c r="AJ74" s="3808"/>
      <c r="AK74" s="838"/>
      <c r="AL74" s="2456"/>
      <c r="AM74" s="1986"/>
      <c r="AN74" s="1986"/>
      <c r="AO74" s="1986"/>
      <c r="AP74" s="1986"/>
      <c r="AQ74" s="1986"/>
      <c r="AR74" s="1986"/>
      <c r="AS74" s="1986"/>
      <c r="AT74" s="1986"/>
      <c r="AU74" s="1986"/>
      <c r="AV74" s="1986"/>
      <c r="AW74" s="1986"/>
      <c r="AX74" s="1986"/>
      <c r="AY74" s="1986"/>
      <c r="AZ74" s="1986"/>
      <c r="BA74" s="1986"/>
      <c r="BB74" s="1986"/>
      <c r="BC74" s="1986"/>
      <c r="BD74" s="1986"/>
      <c r="BE74" s="1986"/>
    </row>
    <row r="75" spans="1:57" ht="12" customHeight="1" thickBot="1" x14ac:dyDescent="0.25">
      <c r="A75" s="2442"/>
      <c r="B75" s="1096"/>
      <c r="C75" s="3806"/>
      <c r="D75" s="3807"/>
      <c r="E75" s="3807"/>
      <c r="F75" s="3807"/>
      <c r="G75" s="3807"/>
      <c r="H75" s="3807"/>
      <c r="I75" s="3807"/>
      <c r="J75" s="3807"/>
      <c r="K75" s="3807"/>
      <c r="L75" s="3807"/>
      <c r="M75" s="3807"/>
      <c r="N75" s="3807"/>
      <c r="O75" s="3807"/>
      <c r="P75" s="3807"/>
      <c r="Q75" s="3808"/>
      <c r="R75" s="652"/>
      <c r="S75" s="2441"/>
      <c r="T75" s="2442"/>
      <c r="U75" s="1096"/>
      <c r="AC75" s="760"/>
      <c r="AK75" s="838"/>
      <c r="AL75" s="2456"/>
      <c r="AM75" s="1986"/>
      <c r="AN75" s="1986"/>
      <c r="AO75" s="1986"/>
      <c r="AP75" s="1986"/>
      <c r="AQ75" s="1986"/>
      <c r="AR75" s="1986"/>
      <c r="AS75" s="1986"/>
      <c r="AT75" s="1986"/>
      <c r="AU75" s="1986"/>
      <c r="AV75" s="1986"/>
      <c r="AW75" s="1986"/>
      <c r="AX75" s="1986"/>
      <c r="AY75" s="1986"/>
      <c r="AZ75" s="1986"/>
      <c r="BA75" s="1986"/>
      <c r="BB75" s="1986"/>
      <c r="BC75" s="1986"/>
      <c r="BD75" s="1986"/>
      <c r="BE75" s="1986"/>
    </row>
    <row r="76" spans="1:57" ht="12" customHeight="1" thickBot="1" x14ac:dyDescent="0.25">
      <c r="A76" s="2442"/>
      <c r="B76" s="1096"/>
      <c r="R76" s="652"/>
      <c r="S76" s="2441"/>
      <c r="T76" s="2442"/>
      <c r="U76" s="1096"/>
      <c r="V76" s="4830" t="s">
        <v>9878</v>
      </c>
      <c r="W76" s="4831"/>
      <c r="X76" s="4831"/>
      <c r="Y76" s="4831"/>
      <c r="Z76" s="4831"/>
      <c r="AA76" s="4831"/>
      <c r="AB76" s="5047"/>
      <c r="AC76" s="2406"/>
      <c r="AD76" s="3026" t="s">
        <v>9877</v>
      </c>
      <c r="AE76" s="3027"/>
      <c r="AF76" s="3027"/>
      <c r="AG76" s="3027"/>
      <c r="AH76" s="3027"/>
      <c r="AI76" s="3027"/>
      <c r="AJ76" s="3028"/>
      <c r="AK76" s="838"/>
      <c r="AL76" s="2456"/>
      <c r="AM76" s="1986"/>
      <c r="AN76" s="1986"/>
      <c r="AO76" s="1986"/>
      <c r="AP76" s="1986"/>
      <c r="AQ76" s="1986"/>
      <c r="AR76" s="1986"/>
      <c r="AS76" s="1986"/>
      <c r="AT76" s="1986"/>
      <c r="AU76" s="1986"/>
      <c r="AV76" s="1986"/>
      <c r="AW76" s="1986"/>
      <c r="AX76" s="1986"/>
      <c r="AY76" s="1986"/>
      <c r="AZ76" s="1986"/>
      <c r="BA76" s="1986"/>
      <c r="BB76" s="1986"/>
      <c r="BC76" s="1986"/>
      <c r="BD76" s="1986"/>
      <c r="BE76" s="1986"/>
    </row>
    <row r="77" spans="1:57" ht="12" customHeight="1" x14ac:dyDescent="0.2">
      <c r="A77" s="2442"/>
      <c r="B77" s="1096"/>
      <c r="D77" s="2847" t="s">
        <v>7567</v>
      </c>
      <c r="E77" s="2849"/>
      <c r="F77" s="5173" t="str">
        <f>"Poderes adquiridos: "&amp;IF(Tablas!$J$1820&gt;0,"Influjo Sobrenatural"&amp;IF(Tablas!$J$1825&gt;0,", Demiurgo",""),IF(Tablas!$J$1825&gt;0,"Demiurgo","Ninguno"))</f>
        <v>Poderes adquiridos: Ninguno</v>
      </c>
      <c r="G77" s="5173"/>
      <c r="H77" s="5173"/>
      <c r="I77" s="5173"/>
      <c r="J77" s="5173"/>
      <c r="K77" s="5173"/>
      <c r="L77" s="5173"/>
      <c r="M77" s="5171"/>
      <c r="N77" s="5244" t="s">
        <v>7554</v>
      </c>
      <c r="O77" s="5245"/>
      <c r="P77" s="5246"/>
      <c r="R77" s="652"/>
      <c r="S77" s="2441"/>
      <c r="T77" s="2442"/>
      <c r="U77" s="1096"/>
      <c r="V77" s="5048" t="s">
        <v>1449</v>
      </c>
      <c r="W77" s="5049"/>
      <c r="X77" s="5049"/>
      <c r="Y77" s="5049"/>
      <c r="Z77" s="5049"/>
      <c r="AA77" s="5050"/>
      <c r="AB77" s="2523" t="s">
        <v>1498</v>
      </c>
      <c r="AC77" s="347"/>
      <c r="AD77" s="5040" t="s">
        <v>1449</v>
      </c>
      <c r="AE77" s="5041"/>
      <c r="AF77" s="5041"/>
      <c r="AG77" s="5041"/>
      <c r="AH77" s="5042"/>
      <c r="AI77" s="2524" t="s">
        <v>1036</v>
      </c>
      <c r="AJ77" s="2523" t="s">
        <v>1508</v>
      </c>
      <c r="AK77" s="838"/>
      <c r="AL77" s="2456"/>
      <c r="AM77" s="1986"/>
      <c r="AN77" s="1986"/>
      <c r="AO77" s="1986"/>
      <c r="AP77" s="1986"/>
      <c r="AQ77" s="1986"/>
      <c r="AR77" s="1986"/>
      <c r="AS77" s="1986"/>
      <c r="AT77" s="1986"/>
      <c r="AU77" s="1986"/>
      <c r="AV77" s="1986"/>
      <c r="AW77" s="1986"/>
      <c r="AX77" s="1986"/>
      <c r="AY77" s="1986"/>
      <c r="AZ77" s="1986"/>
      <c r="BA77" s="1986"/>
      <c r="BB77" s="1986"/>
      <c r="BC77" s="1986"/>
      <c r="BD77" s="1986"/>
      <c r="BE77" s="1986"/>
    </row>
    <row r="78" spans="1:57" ht="12" customHeight="1" x14ac:dyDescent="0.2">
      <c r="A78" s="2442"/>
      <c r="B78" s="1560"/>
      <c r="D78" s="2861"/>
      <c r="E78" s="2863"/>
      <c r="F78" s="1076"/>
      <c r="G78" s="1920" t="s">
        <v>7552</v>
      </c>
      <c r="H78" s="1917"/>
      <c r="I78" s="1918"/>
      <c r="J78" s="1917"/>
      <c r="K78" s="1919"/>
      <c r="L78" s="1918"/>
      <c r="M78" s="2544"/>
      <c r="N78" s="1578" t="s">
        <v>1394</v>
      </c>
      <c r="O78" s="2428" t="s">
        <v>1399</v>
      </c>
      <c r="P78" s="2429" t="s">
        <v>1400</v>
      </c>
      <c r="R78" s="1561"/>
      <c r="S78" s="2441"/>
      <c r="T78" s="2442"/>
      <c r="U78" s="1560"/>
      <c r="V78" s="5051"/>
      <c r="W78" s="5052"/>
      <c r="X78" s="5052"/>
      <c r="Y78" s="5052"/>
      <c r="Z78" s="5052"/>
      <c r="AA78" s="5053"/>
      <c r="AB78" s="2403"/>
      <c r="AC78" s="347"/>
      <c r="AD78" s="5449"/>
      <c r="AE78" s="5107"/>
      <c r="AF78" s="5107"/>
      <c r="AG78" s="5107"/>
      <c r="AH78" s="5107"/>
      <c r="AI78" s="2401"/>
      <c r="AJ78" s="2403"/>
      <c r="AK78" s="838"/>
      <c r="AL78" s="2456"/>
      <c r="AM78" s="1986"/>
      <c r="AN78" s="1986"/>
      <c r="AO78" s="1986"/>
      <c r="AP78" s="1986"/>
      <c r="AQ78" s="1986"/>
      <c r="AR78" s="1986"/>
      <c r="AS78" s="1986"/>
      <c r="AT78" s="1986"/>
      <c r="AU78" s="1986"/>
      <c r="AV78" s="1986"/>
      <c r="AW78" s="1986"/>
      <c r="AX78" s="1986"/>
      <c r="AY78" s="1986"/>
      <c r="AZ78" s="1986"/>
      <c r="BA78" s="1986"/>
      <c r="BB78" s="1986"/>
      <c r="BC78" s="1986"/>
      <c r="BD78" s="1986"/>
      <c r="BE78" s="1986"/>
    </row>
    <row r="79" spans="1:57" ht="12" customHeight="1" thickBot="1" x14ac:dyDescent="0.25">
      <c r="A79" s="1076"/>
      <c r="B79" s="542"/>
      <c r="D79" s="3146"/>
      <c r="E79" s="3147"/>
      <c r="F79" s="1077"/>
      <c r="G79" s="1070" t="s">
        <v>7555</v>
      </c>
      <c r="H79" s="1921"/>
      <c r="I79" s="2541"/>
      <c r="J79" s="2542"/>
      <c r="K79" s="2542"/>
      <c r="L79" s="2542"/>
      <c r="M79" s="2543"/>
      <c r="N79" s="2430">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5045"/>
      <c r="W79" s="5046"/>
      <c r="X79" s="5046"/>
      <c r="Y79" s="5046"/>
      <c r="Z79" s="5046"/>
      <c r="AA79" s="5054"/>
      <c r="AB79" s="2404"/>
      <c r="AC79" s="347"/>
      <c r="AD79" s="5045"/>
      <c r="AE79" s="5046"/>
      <c r="AF79" s="5046"/>
      <c r="AG79" s="5046"/>
      <c r="AH79" s="5046"/>
      <c r="AI79" s="2402"/>
      <c r="AJ79" s="2404"/>
      <c r="AK79" s="838"/>
      <c r="AL79" s="2456"/>
      <c r="AM79" s="1986"/>
      <c r="AN79" s="1986"/>
      <c r="AO79" s="1986"/>
      <c r="AP79" s="1986"/>
      <c r="AQ79" s="1986"/>
      <c r="AR79" s="1986"/>
      <c r="AS79" s="1986"/>
      <c r="AT79" s="1986"/>
      <c r="AU79" s="1986"/>
      <c r="AV79" s="1986"/>
      <c r="AW79" s="1986"/>
      <c r="AX79" s="1986"/>
      <c r="AY79" s="1986"/>
      <c r="AZ79" s="1986"/>
      <c r="BA79" s="1986"/>
      <c r="BB79" s="1986"/>
      <c r="BC79" s="1986"/>
      <c r="BD79" s="1986"/>
      <c r="BE79" s="1986"/>
    </row>
    <row r="80" spans="1:57" ht="12" customHeight="1" thickBot="1" x14ac:dyDescent="0.25">
      <c r="A80" s="1076"/>
      <c r="B80" s="542"/>
      <c r="R80" s="1562"/>
      <c r="S80" s="1563"/>
      <c r="T80" s="1563"/>
      <c r="U80" s="1096"/>
      <c r="V80" s="5043"/>
      <c r="W80" s="5044"/>
      <c r="X80" s="5044"/>
      <c r="Y80" s="5044"/>
      <c r="Z80" s="5044"/>
      <c r="AA80" s="5055"/>
      <c r="AB80" s="2405"/>
      <c r="AC80" s="347"/>
      <c r="AD80" s="5043"/>
      <c r="AE80" s="5044"/>
      <c r="AF80" s="5044"/>
      <c r="AG80" s="5044"/>
      <c r="AH80" s="5044"/>
      <c r="AI80" s="2525"/>
      <c r="AJ80" s="2405"/>
      <c r="AK80" s="838"/>
      <c r="AL80" s="2456"/>
      <c r="AM80" s="1986"/>
      <c r="AN80" s="1986"/>
      <c r="AO80" s="1986"/>
      <c r="AP80" s="1986"/>
      <c r="AQ80" s="1986"/>
      <c r="AR80" s="1986"/>
      <c r="AS80" s="1986"/>
      <c r="AT80" s="1986"/>
      <c r="AU80" s="1986"/>
      <c r="AV80" s="1986"/>
      <c r="AW80" s="1986"/>
      <c r="AX80" s="1986"/>
      <c r="AY80" s="1986"/>
      <c r="AZ80" s="1986"/>
      <c r="BA80" s="1986"/>
      <c r="BB80" s="1986"/>
      <c r="BC80" s="1986"/>
      <c r="BD80" s="1986"/>
      <c r="BE80" s="1986"/>
    </row>
    <row r="81" spans="1:57" ht="12" customHeight="1" thickBot="1" x14ac:dyDescent="0.25">
      <c r="A81" s="1076"/>
      <c r="B81" s="542"/>
      <c r="C81" s="5081" t="s">
        <v>7556</v>
      </c>
      <c r="D81" s="5109" t="s">
        <v>1331</v>
      </c>
      <c r="E81" s="5109"/>
      <c r="F81" s="5141"/>
      <c r="G81" s="5142"/>
      <c r="H81" s="5142"/>
      <c r="I81" s="5142"/>
      <c r="J81" s="5142"/>
      <c r="K81" s="5142"/>
      <c r="L81" s="5142"/>
      <c r="M81" s="5142"/>
      <c r="N81" s="5142"/>
      <c r="O81" s="5142"/>
      <c r="P81" s="5142"/>
      <c r="Q81" s="5143"/>
      <c r="R81" s="1562"/>
      <c r="S81" s="1563"/>
      <c r="T81" s="1563"/>
      <c r="U81" s="1096"/>
      <c r="AK81" s="838"/>
      <c r="AL81" s="2456"/>
      <c r="AM81" s="1986"/>
      <c r="AN81" s="1986"/>
      <c r="AO81" s="1986"/>
      <c r="AP81" s="1986"/>
      <c r="AQ81" s="1986"/>
      <c r="AR81" s="1986"/>
      <c r="AS81" s="1986"/>
      <c r="AT81" s="1986"/>
      <c r="AU81" s="1986"/>
      <c r="AV81" s="1986"/>
      <c r="AW81" s="1986"/>
      <c r="AX81" s="1986"/>
      <c r="AY81" s="1986"/>
      <c r="AZ81" s="1986"/>
      <c r="BA81" s="1986"/>
      <c r="BB81" s="1986"/>
      <c r="BC81" s="1986"/>
      <c r="BD81" s="1986"/>
      <c r="BE81" s="1986"/>
    </row>
    <row r="82" spans="1:57" ht="12" customHeight="1" thickBot="1" x14ac:dyDescent="0.25">
      <c r="A82" s="1076"/>
      <c r="B82" s="542"/>
      <c r="C82" s="5082"/>
      <c r="D82" s="3420" t="s">
        <v>7564</v>
      </c>
      <c r="E82" s="3395"/>
      <c r="F82" s="3395"/>
      <c r="G82" s="2431" t="s">
        <v>1829</v>
      </c>
      <c r="H82" s="2384" t="s">
        <v>1498</v>
      </c>
      <c r="I82" s="3420" t="s">
        <v>1558</v>
      </c>
      <c r="J82" s="3395"/>
      <c r="K82" s="3395"/>
      <c r="L82" s="3395"/>
      <c r="M82" s="3395"/>
      <c r="N82" s="3395"/>
      <c r="O82" s="3395"/>
      <c r="P82" s="3395"/>
      <c r="Q82" s="5090"/>
      <c r="R82" s="652"/>
      <c r="S82" s="1076"/>
      <c r="T82" s="1076"/>
      <c r="U82" s="542"/>
      <c r="V82" s="5435" t="s">
        <v>1928</v>
      </c>
      <c r="W82" s="5436"/>
      <c r="X82" s="5437"/>
      <c r="Y82" s="2526"/>
      <c r="Z82" s="5056" t="s">
        <v>8892</v>
      </c>
      <c r="AA82" s="5057"/>
      <c r="AB82" s="5058"/>
      <c r="AD82" s="5455" t="s">
        <v>7366</v>
      </c>
      <c r="AE82" s="5456"/>
      <c r="AF82" s="5457"/>
      <c r="AH82" s="5455" t="s">
        <v>7367</v>
      </c>
      <c r="AI82" s="5456"/>
      <c r="AJ82" s="5457"/>
      <c r="AK82" s="838"/>
      <c r="AL82" s="2456"/>
      <c r="AM82" s="1986"/>
      <c r="AN82" s="1986"/>
      <c r="AO82" s="1986"/>
      <c r="AP82" s="1986"/>
      <c r="AQ82" s="1986"/>
      <c r="AR82" s="1986"/>
      <c r="AS82" s="1986"/>
      <c r="AT82" s="1986"/>
      <c r="AU82" s="1986"/>
      <c r="AV82" s="1986"/>
      <c r="AW82" s="1986"/>
      <c r="AX82" s="1986"/>
      <c r="AY82" s="1986"/>
      <c r="AZ82" s="1986"/>
      <c r="BA82" s="1986"/>
      <c r="BB82" s="1986"/>
      <c r="BC82" s="1986"/>
      <c r="BD82" s="1986"/>
      <c r="BE82" s="1986"/>
    </row>
    <row r="83" spans="1:57" ht="12" customHeight="1" thickBot="1" x14ac:dyDescent="0.25">
      <c r="A83" s="1076"/>
      <c r="B83" s="542"/>
      <c r="C83" s="5082"/>
      <c r="D83" s="5240"/>
      <c r="E83" s="5240"/>
      <c r="F83" s="5240"/>
      <c r="G83" s="1928"/>
      <c r="H83" s="1928"/>
      <c r="I83" s="5144"/>
      <c r="J83" s="5145"/>
      <c r="K83" s="5145"/>
      <c r="L83" s="5145"/>
      <c r="M83" s="5145"/>
      <c r="N83" s="5145"/>
      <c r="O83" s="5145"/>
      <c r="P83" s="5145"/>
      <c r="Q83" s="5146"/>
      <c r="R83" s="1562"/>
      <c r="S83" s="1563"/>
      <c r="T83" s="1563"/>
      <c r="U83" s="1096"/>
      <c r="V83" s="5438"/>
      <c r="W83" s="5439"/>
      <c r="X83" s="5440"/>
      <c r="Y83" s="2526"/>
      <c r="Z83" s="5059"/>
      <c r="AA83" s="5060"/>
      <c r="AB83" s="5061"/>
      <c r="AD83" s="5447" t="s">
        <v>8891</v>
      </c>
      <c r="AE83" s="5448"/>
      <c r="AF83" s="1944"/>
      <c r="AH83" s="5466"/>
      <c r="AI83" s="5467"/>
      <c r="AJ83" s="5468"/>
      <c r="AK83" s="838"/>
      <c r="AL83" s="1564"/>
      <c r="AM83" s="1986"/>
      <c r="AN83" s="1986"/>
      <c r="AO83" s="1986"/>
      <c r="AP83" s="1986"/>
      <c r="AQ83" s="1986"/>
      <c r="AR83" s="1986"/>
      <c r="AS83" s="1986"/>
      <c r="AT83" s="1986"/>
      <c r="AU83" s="1986"/>
      <c r="AV83" s="1986"/>
      <c r="AW83" s="1986"/>
      <c r="AX83" s="1986"/>
      <c r="AY83" s="1986"/>
      <c r="AZ83" s="1986"/>
      <c r="BA83" s="1986"/>
      <c r="BB83" s="1986"/>
      <c r="BC83" s="1986"/>
      <c r="BD83" s="1986"/>
      <c r="BE83" s="1986"/>
    </row>
    <row r="84" spans="1:57" ht="12" customHeight="1" thickBot="1" x14ac:dyDescent="0.25">
      <c r="A84" s="1076"/>
      <c r="B84" s="542"/>
      <c r="C84" s="5082"/>
      <c r="D84" s="5085"/>
      <c r="E84" s="5085"/>
      <c r="F84" s="5085"/>
      <c r="G84" s="1929"/>
      <c r="H84" s="1929"/>
      <c r="I84" s="5091"/>
      <c r="J84" s="5092"/>
      <c r="K84" s="5092"/>
      <c r="L84" s="5092"/>
      <c r="M84" s="5092"/>
      <c r="N84" s="5092"/>
      <c r="O84" s="5092"/>
      <c r="P84" s="5092"/>
      <c r="Q84" s="5093"/>
      <c r="R84" s="1562"/>
      <c r="S84" s="1563"/>
      <c r="T84" s="1563"/>
      <c r="U84" s="1096"/>
      <c r="V84" s="5432"/>
      <c r="W84" s="5433"/>
      <c r="X84" s="5434"/>
      <c r="Y84" s="2527"/>
      <c r="Z84" s="4462" t="s">
        <v>8890</v>
      </c>
      <c r="AA84" s="5478"/>
      <c r="AB84" s="5479"/>
      <c r="AD84" s="5466"/>
      <c r="AE84" s="5467"/>
      <c r="AF84" s="5468"/>
      <c r="AH84" s="5469"/>
      <c r="AI84" s="5470"/>
      <c r="AJ84" s="5471"/>
      <c r="AK84" s="838"/>
      <c r="AL84" s="2456"/>
      <c r="AM84" s="1986"/>
      <c r="AN84" s="1986"/>
      <c r="AO84" s="1986"/>
      <c r="AP84" s="1986"/>
      <c r="AQ84" s="1986"/>
      <c r="AR84" s="1986"/>
      <c r="AS84" s="1986"/>
      <c r="AT84" s="1986"/>
      <c r="AU84" s="1986"/>
      <c r="AV84" s="1986"/>
      <c r="AW84" s="1986"/>
      <c r="AX84" s="1986"/>
      <c r="AY84" s="1986"/>
      <c r="AZ84" s="1986"/>
      <c r="BA84" s="1986"/>
      <c r="BB84" s="1986"/>
      <c r="BC84" s="1986"/>
      <c r="BD84" s="1986"/>
      <c r="BE84" s="1986"/>
    </row>
    <row r="85" spans="1:57" ht="12" customHeight="1" thickBot="1" x14ac:dyDescent="0.25">
      <c r="A85" s="1076"/>
      <c r="B85" s="542"/>
      <c r="C85" s="5082"/>
      <c r="D85" s="5085"/>
      <c r="E85" s="5085"/>
      <c r="F85" s="5085"/>
      <c r="G85" s="1929"/>
      <c r="H85" s="1929"/>
      <c r="I85" s="5091"/>
      <c r="J85" s="5092"/>
      <c r="K85" s="5092"/>
      <c r="L85" s="5092"/>
      <c r="M85" s="5092"/>
      <c r="N85" s="5092"/>
      <c r="O85" s="5092"/>
      <c r="P85" s="5092"/>
      <c r="Q85" s="5093"/>
      <c r="R85" s="652"/>
      <c r="S85" s="1076"/>
      <c r="T85" s="1076"/>
      <c r="U85" s="542"/>
      <c r="V85" s="5438"/>
      <c r="W85" s="5439"/>
      <c r="X85" s="5440"/>
      <c r="Y85" s="2527"/>
      <c r="Z85" s="5475" t="s">
        <v>2147</v>
      </c>
      <c r="AA85" s="5476"/>
      <c r="AB85" s="5477"/>
      <c r="AD85" s="5460"/>
      <c r="AE85" s="5461"/>
      <c r="AF85" s="5462"/>
      <c r="AH85" s="5472"/>
      <c r="AI85" s="5473"/>
      <c r="AJ85" s="5474"/>
      <c r="AK85" s="838"/>
      <c r="AL85" s="2456"/>
      <c r="AM85" s="1986"/>
      <c r="AN85" s="1986"/>
      <c r="AO85" s="1986"/>
      <c r="AP85" s="1986"/>
      <c r="AQ85" s="1986"/>
      <c r="AR85" s="1986"/>
      <c r="AS85" s="1986"/>
      <c r="AT85" s="1986"/>
      <c r="AU85" s="1986"/>
      <c r="AV85" s="1986"/>
      <c r="AW85" s="1986"/>
      <c r="AX85" s="1986"/>
      <c r="AY85" s="1986"/>
      <c r="AZ85" s="1986"/>
      <c r="BA85" s="1986"/>
      <c r="BB85" s="1986"/>
      <c r="BC85" s="1986"/>
      <c r="BD85" s="1986"/>
      <c r="BE85" s="1986"/>
    </row>
    <row r="86" spans="1:57" ht="12" customHeight="1" thickBot="1" x14ac:dyDescent="0.25">
      <c r="A86" s="1076"/>
      <c r="B86" s="542"/>
      <c r="C86" s="5082"/>
      <c r="D86" s="5084"/>
      <c r="E86" s="5085"/>
      <c r="F86" s="5086"/>
      <c r="G86" s="1924"/>
      <c r="H86" s="1931"/>
      <c r="I86" s="5106"/>
      <c r="J86" s="5107"/>
      <c r="K86" s="5107"/>
      <c r="L86" s="5107"/>
      <c r="M86" s="5107"/>
      <c r="N86" s="5107"/>
      <c r="O86" s="5107"/>
      <c r="P86" s="5107"/>
      <c r="Q86" s="5108"/>
      <c r="R86" s="652"/>
      <c r="S86" s="1076"/>
      <c r="T86" s="1076"/>
      <c r="U86" s="542"/>
      <c r="V86" s="5432"/>
      <c r="W86" s="5433"/>
      <c r="X86" s="5434"/>
      <c r="Y86" s="2527"/>
      <c r="Z86" s="5270" t="s">
        <v>9895</v>
      </c>
      <c r="AA86" s="5271"/>
      <c r="AB86" s="2517"/>
      <c r="AD86" s="5463"/>
      <c r="AE86" s="5464"/>
      <c r="AF86" s="5465"/>
      <c r="AJ86" s="760"/>
      <c r="AK86" s="838"/>
      <c r="AL86" s="2456"/>
      <c r="AM86" s="1986"/>
      <c r="AN86" s="1986"/>
      <c r="AO86" s="1986"/>
      <c r="AP86" s="1986"/>
      <c r="AQ86" s="1986"/>
      <c r="AR86" s="1986"/>
      <c r="AS86" s="1986"/>
      <c r="AT86" s="1986"/>
      <c r="AU86" s="1986"/>
      <c r="AV86" s="1986"/>
      <c r="AW86" s="1986"/>
      <c r="AX86" s="1986"/>
      <c r="AY86" s="1986"/>
      <c r="AZ86" s="1986"/>
      <c r="BA86" s="1986"/>
      <c r="BB86" s="1986"/>
      <c r="BC86" s="1986"/>
      <c r="BD86" s="1986"/>
      <c r="BE86" s="1986"/>
    </row>
    <row r="87" spans="1:57" ht="12" customHeight="1" thickBot="1" x14ac:dyDescent="0.25">
      <c r="A87" s="1076"/>
      <c r="B87" s="542"/>
      <c r="C87" s="5082"/>
      <c r="D87" s="5103"/>
      <c r="E87" s="5104"/>
      <c r="F87" s="5105"/>
      <c r="G87" s="1932"/>
      <c r="H87" s="1924"/>
      <c r="I87" s="5100"/>
      <c r="J87" s="5101"/>
      <c r="K87" s="5101"/>
      <c r="L87" s="5101"/>
      <c r="M87" s="5101"/>
      <c r="N87" s="5101"/>
      <c r="O87" s="5101"/>
      <c r="P87" s="5101"/>
      <c r="Q87" s="5102"/>
      <c r="R87" s="652"/>
      <c r="S87" s="1076"/>
      <c r="T87" s="1076"/>
      <c r="U87" s="542"/>
      <c r="AK87" s="838"/>
      <c r="AL87" s="2456"/>
      <c r="AM87" s="1986"/>
      <c r="AN87" s="1986"/>
      <c r="AO87" s="1986"/>
      <c r="AP87" s="1986"/>
      <c r="AQ87" s="1986"/>
      <c r="AR87" s="1986"/>
      <c r="AS87" s="1986"/>
      <c r="AT87" s="1986"/>
      <c r="AU87" s="1986"/>
      <c r="AV87" s="1986"/>
      <c r="AW87" s="1986"/>
      <c r="AX87" s="1986"/>
      <c r="AY87" s="1986"/>
      <c r="AZ87" s="1986"/>
      <c r="BA87" s="1986"/>
      <c r="BB87" s="1986"/>
      <c r="BC87" s="1986"/>
      <c r="BD87" s="1986"/>
      <c r="BE87" s="1986"/>
    </row>
    <row r="88" spans="1:57" ht="12" customHeight="1" x14ac:dyDescent="0.2">
      <c r="A88" s="1076"/>
      <c r="B88" s="542"/>
      <c r="C88" s="5082"/>
      <c r="D88" s="5103"/>
      <c r="E88" s="5104"/>
      <c r="F88" s="5105"/>
      <c r="G88" s="1932"/>
      <c r="H88" s="1931"/>
      <c r="I88" s="5100"/>
      <c r="J88" s="5101"/>
      <c r="K88" s="5101"/>
      <c r="L88" s="5101"/>
      <c r="M88" s="5101"/>
      <c r="N88" s="5101"/>
      <c r="O88" s="5101"/>
      <c r="P88" s="5101"/>
      <c r="Q88" s="5102"/>
      <c r="R88" s="652"/>
      <c r="S88" s="1076"/>
      <c r="T88" s="1076"/>
      <c r="U88" s="542"/>
      <c r="V88" s="5056" t="s">
        <v>8873</v>
      </c>
      <c r="W88" s="5057"/>
      <c r="X88" s="5057"/>
      <c r="Y88" s="5057"/>
      <c r="Z88" s="5057"/>
      <c r="AA88" s="5057"/>
      <c r="AB88" s="5057"/>
      <c r="AC88" s="5057"/>
      <c r="AD88" s="5057"/>
      <c r="AE88" s="5057"/>
      <c r="AF88" s="5057"/>
      <c r="AG88" s="5057"/>
      <c r="AH88" s="5057"/>
      <c r="AI88" s="5057"/>
      <c r="AJ88" s="5058"/>
      <c r="AK88" s="838"/>
      <c r="AL88" s="2456"/>
      <c r="AM88" s="1986"/>
      <c r="AN88" s="1986"/>
      <c r="AO88" s="1986"/>
      <c r="AP88" s="1986"/>
      <c r="AQ88" s="1986"/>
      <c r="AR88" s="1986"/>
      <c r="AS88" s="1986"/>
      <c r="AT88" s="1986"/>
      <c r="AU88" s="1986"/>
      <c r="AV88" s="1986"/>
      <c r="AW88" s="1986"/>
      <c r="AX88" s="1986"/>
      <c r="AY88" s="1986"/>
      <c r="AZ88" s="1986"/>
      <c r="BA88" s="1986"/>
      <c r="BB88" s="1986"/>
      <c r="BC88" s="1986"/>
      <c r="BD88" s="1986"/>
      <c r="BE88" s="1986"/>
    </row>
    <row r="89" spans="1:57" ht="12" customHeight="1" thickBot="1" x14ac:dyDescent="0.25">
      <c r="A89" s="1076"/>
      <c r="B89" s="542"/>
      <c r="C89" s="5082"/>
      <c r="D89" s="5103"/>
      <c r="E89" s="5104"/>
      <c r="F89" s="5105"/>
      <c r="G89" s="1931"/>
      <c r="H89" s="1930"/>
      <c r="I89" s="5091"/>
      <c r="J89" s="5092"/>
      <c r="K89" s="5092"/>
      <c r="L89" s="5092"/>
      <c r="M89" s="5092"/>
      <c r="N89" s="5092"/>
      <c r="O89" s="5092"/>
      <c r="P89" s="5092"/>
      <c r="Q89" s="5093"/>
      <c r="R89" s="652"/>
      <c r="S89" s="1076"/>
      <c r="T89" s="1076"/>
      <c r="U89" s="542"/>
      <c r="V89" s="5514"/>
      <c r="W89" s="5515"/>
      <c r="X89" s="5515"/>
      <c r="Y89" s="5515"/>
      <c r="Z89" s="5515"/>
      <c r="AA89" s="5515"/>
      <c r="AB89" s="5515"/>
      <c r="AC89" s="5515"/>
      <c r="AD89" s="5515"/>
      <c r="AE89" s="5515"/>
      <c r="AF89" s="5515"/>
      <c r="AG89" s="5515"/>
      <c r="AH89" s="5515"/>
      <c r="AI89" s="5515"/>
      <c r="AJ89" s="5516"/>
      <c r="AK89" s="838"/>
      <c r="AL89" s="2456"/>
      <c r="AM89" s="1986"/>
      <c r="AN89" s="1986"/>
      <c r="AO89" s="1986"/>
      <c r="AP89" s="1986"/>
      <c r="AQ89" s="1986"/>
      <c r="AR89" s="1986"/>
      <c r="AS89" s="1986"/>
      <c r="AT89" s="1986"/>
      <c r="AU89" s="1986"/>
      <c r="AV89" s="1986"/>
      <c r="AW89" s="1986"/>
      <c r="AX89" s="1986"/>
      <c r="AY89" s="1986"/>
      <c r="AZ89" s="1986"/>
      <c r="BA89" s="1986"/>
      <c r="BB89" s="1986"/>
      <c r="BC89" s="1986"/>
      <c r="BD89" s="1986"/>
      <c r="BE89" s="1986"/>
    </row>
    <row r="90" spans="1:57" ht="12" customHeight="1" thickBot="1" x14ac:dyDescent="0.25">
      <c r="A90" s="1076"/>
      <c r="B90" s="542"/>
      <c r="C90" s="5082"/>
      <c r="D90" s="5087"/>
      <c r="E90" s="5087"/>
      <c r="F90" s="5087"/>
      <c r="G90" s="1931"/>
      <c r="H90" s="1924"/>
      <c r="I90" s="5106"/>
      <c r="J90" s="5107"/>
      <c r="K90" s="5107"/>
      <c r="L90" s="5107"/>
      <c r="M90" s="5107"/>
      <c r="N90" s="5107"/>
      <c r="O90" s="5107"/>
      <c r="P90" s="5107"/>
      <c r="Q90" s="5108"/>
      <c r="R90" s="652"/>
      <c r="S90" s="1076"/>
      <c r="T90" s="1076"/>
      <c r="U90" s="542"/>
      <c r="V90" s="5442" t="s">
        <v>1331</v>
      </c>
      <c r="W90" s="5443"/>
      <c r="X90" s="5526" t="s">
        <v>8881</v>
      </c>
      <c r="Y90" s="5526"/>
      <c r="Z90" s="5526"/>
      <c r="AA90" s="5526"/>
      <c r="AB90" s="5527"/>
      <c r="AC90" s="5458" t="s">
        <v>8897</v>
      </c>
      <c r="AD90" s="5525"/>
      <c r="AE90" s="5525"/>
      <c r="AF90" s="5427" t="s">
        <v>1737</v>
      </c>
      <c r="AG90" s="5428"/>
      <c r="AH90" s="5458" t="s">
        <v>8893</v>
      </c>
      <c r="AI90" s="5459"/>
      <c r="AJ90" s="2622"/>
      <c r="AK90" s="838"/>
      <c r="AL90" s="2456"/>
      <c r="AM90" s="1986"/>
      <c r="AN90" s="1986" t="s">
        <v>9602</v>
      </c>
      <c r="AO90" s="1986" t="s">
        <v>1401</v>
      </c>
      <c r="AP90" s="1986" t="s">
        <v>7483</v>
      </c>
      <c r="AQ90" s="1986" t="s">
        <v>8606</v>
      </c>
      <c r="AR90" s="1986" t="s">
        <v>1575</v>
      </c>
      <c r="AS90" s="1986"/>
      <c r="AT90" s="1986"/>
      <c r="AU90" s="1986"/>
      <c r="AV90" s="1986"/>
      <c r="AW90" s="1986"/>
      <c r="AX90" s="1986"/>
      <c r="AY90" s="1986"/>
      <c r="AZ90" s="1986"/>
      <c r="BA90" s="1986"/>
      <c r="BB90" s="1986"/>
      <c r="BC90" s="1986"/>
      <c r="BD90" s="1986"/>
      <c r="BE90" s="1986"/>
    </row>
    <row r="91" spans="1:57" ht="12" customHeight="1" x14ac:dyDescent="0.2">
      <c r="A91" s="1076"/>
      <c r="B91" s="542"/>
      <c r="C91" s="5082"/>
      <c r="D91" s="5084"/>
      <c r="E91" s="5085"/>
      <c r="F91" s="5086"/>
      <c r="G91" s="1924"/>
      <c r="H91" s="1931"/>
      <c r="I91" s="5091"/>
      <c r="J91" s="5092"/>
      <c r="K91" s="5092"/>
      <c r="L91" s="5092"/>
      <c r="M91" s="5092"/>
      <c r="N91" s="5092"/>
      <c r="O91" s="5092"/>
      <c r="P91" s="5092"/>
      <c r="Q91" s="5093"/>
      <c r="R91" s="652"/>
      <c r="S91" s="1076"/>
      <c r="T91" s="1076"/>
      <c r="U91" s="542"/>
      <c r="V91" s="5497" t="s">
        <v>8896</v>
      </c>
      <c r="W91" s="5498"/>
      <c r="X91" s="5499"/>
      <c r="Y91" s="5508" t="s">
        <v>1553</v>
      </c>
      <c r="Z91" s="5495">
        <f>IFERROR(VLOOKUP(V92,Tabla_CaracterísticasGéminis,2,0)+IF(COUNTIF(W99:Z104,"Metal")&gt;0,VLOOKUP(V92,Tabla_CaracterísticasGéminis,2,0),0)+IF(AF90="Grande",50,IF(AF90="Enorme",150,0)),0)</f>
        <v>0</v>
      </c>
      <c r="AA91" s="5450" t="s">
        <v>8904</v>
      </c>
      <c r="AB91" s="5451"/>
      <c r="AC91" s="5452"/>
      <c r="AD91" s="5453"/>
      <c r="AE91" s="5454"/>
      <c r="AF91" s="5450" t="s">
        <v>8904</v>
      </c>
      <c r="AG91" s="5451"/>
      <c r="AH91" s="5452"/>
      <c r="AI91" s="5453"/>
      <c r="AJ91" s="5454"/>
      <c r="AK91" s="838"/>
      <c r="AL91" s="2456"/>
      <c r="AM91" s="1986"/>
      <c r="AN91" s="1986" t="b">
        <f>AA93&lt;&gt;"-"</f>
        <v>0</v>
      </c>
      <c r="AO91" s="1986" t="str">
        <f>IF(AN91,X90&amp;": "&amp;AD93&amp;" "&amp;AC91&amp;IF(AB97&gt;0," +"&amp;AB97,"")&amp;IF(AH91="",""," y "&amp;AH91&amp;IF(AG97&gt;0," +"&amp;AG97,"")),"")</f>
        <v/>
      </c>
      <c r="AP91" s="1986" t="str">
        <f>IF(AN91,X90&amp;": "&amp;AA93&amp;" "&amp;AC91&amp;IF(AB97&gt;0," +"&amp;AB97,"")&amp;IF(AH91="",""," y "&amp;AF93&amp;" "&amp;AH91&amp;IF(AG97&gt;0," +"&amp;AG97,"")),"")</f>
        <v/>
      </c>
      <c r="AQ91" s="1986" t="str">
        <f>IF(AN91,X90&amp;": "&amp;AB93&amp;" "&amp;AC91&amp;IF(AB97&gt;0," +"&amp;AB97,"")&amp;" ("&amp;AC93&amp;")"&amp;IF(AH91="",""," y "&amp;AG93&amp;" "&amp;AH91&amp;IF(AG97&gt;0," +"&amp;AG97,"")&amp;" ("&amp;AH93&amp;")"),"")</f>
        <v/>
      </c>
      <c r="AR91" s="1986" t="str">
        <f>IF(AN91,X90&amp;": "&amp;AE93&amp;" "&amp;AC91&amp;IF(AB97&gt;0," +"&amp;AB97,"")&amp;IF($AA96="-",""," ("&amp;$AA96&amp;IF($AB96="-",""," / "&amp;$AB96)&amp;")")&amp;IF(AH91="",""," y "&amp;AJ93&amp;" "&amp;AH91&amp;IF(AG97&gt;0," +"&amp;AG97,""))&amp;IF($AF96="-",""," ("&amp;$AF96&amp;IF($AG96="-",""," / "&amp;$AG96)&amp;")"),"")</f>
        <v/>
      </c>
      <c r="AS91" s="1986"/>
      <c r="AT91" s="1986"/>
      <c r="AU91" s="1986"/>
      <c r="AV91" s="1986"/>
      <c r="AW91" s="1986"/>
      <c r="AX91" s="1986"/>
      <c r="AY91" s="1986"/>
      <c r="AZ91" s="1986"/>
      <c r="BA91" s="1986"/>
      <c r="BB91" s="1986"/>
      <c r="BC91" s="1986"/>
      <c r="BD91" s="1986"/>
      <c r="BE91" s="1986"/>
    </row>
    <row r="92" spans="1:57" ht="12" customHeight="1" thickBot="1" x14ac:dyDescent="0.25">
      <c r="A92" s="1076"/>
      <c r="B92" s="542"/>
      <c r="C92" s="5082"/>
      <c r="D92" s="5087"/>
      <c r="E92" s="5087"/>
      <c r="F92" s="5087"/>
      <c r="G92" s="1931"/>
      <c r="H92" s="1931"/>
      <c r="I92" s="5091"/>
      <c r="J92" s="5092"/>
      <c r="K92" s="5092"/>
      <c r="L92" s="5092"/>
      <c r="M92" s="5092"/>
      <c r="N92" s="5092"/>
      <c r="O92" s="5092"/>
      <c r="P92" s="5092"/>
      <c r="Q92" s="5093"/>
      <c r="R92" s="652"/>
      <c r="S92" s="1076"/>
      <c r="T92" s="1076"/>
      <c r="U92" s="542"/>
      <c r="V92" s="5500"/>
      <c r="W92" s="5501"/>
      <c r="X92" s="5502"/>
      <c r="Y92" s="5509"/>
      <c r="Z92" s="5496"/>
      <c r="AA92" s="1574" t="s">
        <v>1573</v>
      </c>
      <c r="AB92" s="5063" t="s">
        <v>1574</v>
      </c>
      <c r="AC92" s="5064"/>
      <c r="AD92" s="2421" t="s">
        <v>1401</v>
      </c>
      <c r="AE92" s="1575" t="s">
        <v>1575</v>
      </c>
      <c r="AF92" s="1574" t="s">
        <v>1573</v>
      </c>
      <c r="AG92" s="5063" t="s">
        <v>1574</v>
      </c>
      <c r="AH92" s="5064"/>
      <c r="AI92" s="2421" t="s">
        <v>1401</v>
      </c>
      <c r="AJ92" s="1575" t="s">
        <v>1575</v>
      </c>
      <c r="AK92" s="838" t="e">
        <f>IF(Z98&lt;1,0,VLOOKUP(Z98,Tablas!$C$14:$D$33,2))</f>
        <v>#N/A</v>
      </c>
      <c r="AL92" s="2456"/>
      <c r="AM92" s="1986"/>
      <c r="AN92" s="1986"/>
      <c r="AO92" s="1986"/>
      <c r="AP92" s="1986"/>
      <c r="AQ92" s="1986"/>
      <c r="AR92" s="1986"/>
      <c r="AS92" s="1986"/>
      <c r="AT92" s="1986"/>
      <c r="AU92" s="1986"/>
      <c r="AV92" s="1986"/>
      <c r="AW92" s="1986"/>
      <c r="AX92" s="1986"/>
      <c r="AY92" s="1986"/>
      <c r="AZ92" s="1986"/>
      <c r="BA92" s="1986"/>
      <c r="BB92" s="1986"/>
      <c r="BC92" s="1986"/>
      <c r="BD92" s="1986"/>
      <c r="BE92" s="1986"/>
    </row>
    <row r="93" spans="1:57" ht="12" customHeight="1" x14ac:dyDescent="0.2">
      <c r="A93" s="1076"/>
      <c r="B93" s="542"/>
      <c r="C93" s="5082"/>
      <c r="D93" s="5084"/>
      <c r="E93" s="5085"/>
      <c r="F93" s="5086"/>
      <c r="G93" s="1930"/>
      <c r="H93" s="1931"/>
      <c r="I93" s="5138"/>
      <c r="J93" s="5139"/>
      <c r="K93" s="5139"/>
      <c r="L93" s="5139"/>
      <c r="M93" s="5139"/>
      <c r="N93" s="5139"/>
      <c r="O93" s="5139"/>
      <c r="P93" s="5139"/>
      <c r="Q93" s="5140"/>
      <c r="R93" s="652"/>
      <c r="S93" s="1076"/>
      <c r="T93" s="1076"/>
      <c r="U93" s="542"/>
      <c r="V93" s="5491" t="s">
        <v>8889</v>
      </c>
      <c r="W93" s="5492"/>
      <c r="X93" s="5503">
        <f>IFERROR(VLOOKUP(V92,Tabla_CaracterísticasGéminis,4,0),0)</f>
        <v>0</v>
      </c>
      <c r="Y93" s="5508" t="s">
        <v>8886</v>
      </c>
      <c r="Z93" s="5495">
        <f>IFERROR(VLOOKUP(V92,Tabla_CaracterísticasGéminis,3,0)+IF(COUNTIF(W99:Z104,"Metal")&gt;0,4,0),0)</f>
        <v>0</v>
      </c>
      <c r="AA93" s="5065" t="str">
        <f>IFERROR(IF(OR(AC91="",Tablas!$H$982=0),"-",IF(AC91="Armas naturales",Principal!$H$24,IF(VLOOKUP(AC91,Tabla_ArmasyEscudos,9,0)="Conocida",Principal!$H$24,"-"))+AC103+5*MIN(4,COUNTIF(W99:Z104,"Capacidad de combate"))-10*MAX(0,AR94-Z98)),"-")</f>
        <v>-</v>
      </c>
      <c r="AB93" s="5067" t="str">
        <f>IFERROR(IF(OR(AC91="",Tablas!$H$982=0),"-",IF(AC91="Armas naturales",Principal!$H$26,IF(AND(AC93="Par",VLOOKUP(AC91,Tabla_ArmasyEscudos,9,0)&lt;&gt;"Conocida"),"-",Principal!$H$26))+AC104+5*MIN(4,COUNTIF(W99:Z104,"Capacidad de combate"))-IF(AC93="Par",10*MAX(0,AR94-Z98),0)),"-")</f>
        <v>-</v>
      </c>
      <c r="AC93" s="5069" t="str">
        <f>IF(OR(AC91="",Tablas!$H$982=0),"",IF(Principal!$F$26="H. Esquiva:","Esq","Par"))</f>
        <v/>
      </c>
      <c r="AD93" s="5528" t="str">
        <f>IFERROR(IF(OR(AC91="",Tablas!$H$982=0),"-",IF(AC91="Armas naturales",Turno_Nat_final-20+AO102,Turno_Nat_final-20+IF(ISNA(AU95),AU94,IF(AU94=AU95,AU94-10,MIN(AU94,AU95))))),"-")</f>
        <v>-</v>
      </c>
      <c r="AE93" s="5489"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65" t="str">
        <f>IFERROR(IF(OR(AH91="",Tablas!$H$982=0),"-",IF(AH91="Armas naturales",Principal!$H$24,IF(VLOOKUP(AH91,Tabla_ArmasyEscudos,9,0)="Conocida",Principal!$H$24,"-"))+AH103+5*MIN(4,COUNTIF(W99:Z104,"Capacidad de combate"))-10*MAX(0,AR95-Z98)),"-")</f>
        <v>-</v>
      </c>
      <c r="AG93" s="5067" t="str">
        <f>IFERROR(IF(OR(AH91="",Tablas!$H$982=0),"-",IF(AH91="Armas naturales",Principal!$H$26,IF(AND(AH93="Par",VLOOKUP(AH91,Tabla_ArmasyEscudos,9,0)&lt;&gt;"Conocida"),"-",Principal!$H$26))+AH104+5*MIN(4,COUNTIF(W99:Z104,"Capacidad de combate"))-IF(AH93="Par",10*MAX(0,AR95-Z98),0)),"-")</f>
        <v>-</v>
      </c>
      <c r="AH93" s="5069" t="str">
        <f>IF(OR(AH91="",Tablas!$H$982=0),"",IF(Principal!$F$26="H. Esquiva","Esq","Par"))</f>
        <v/>
      </c>
      <c r="AI93" s="5528" t="s">
        <v>1587</v>
      </c>
      <c r="AJ93" s="5489"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6"/>
      <c r="AM93" s="1986"/>
      <c r="AN93" s="1986" t="s">
        <v>8898</v>
      </c>
      <c r="AO93" s="1986"/>
      <c r="AP93" s="1986"/>
      <c r="AQ93" s="1986" t="s">
        <v>8906</v>
      </c>
      <c r="AR93" s="1986" t="s">
        <v>8908</v>
      </c>
      <c r="AS93" s="1986" t="s">
        <v>8907</v>
      </c>
      <c r="AT93" s="1986" t="s">
        <v>1375</v>
      </c>
      <c r="AU93" s="1986" t="s">
        <v>8909</v>
      </c>
      <c r="AV93" s="1986"/>
      <c r="AW93" s="1986"/>
      <c r="AX93" s="1986"/>
      <c r="AY93" s="1986"/>
      <c r="AZ93" s="1986"/>
      <c r="BA93" s="1986"/>
      <c r="BB93" s="1986"/>
      <c r="BC93" s="1986"/>
      <c r="BD93" s="1986"/>
      <c r="BE93" s="1986"/>
    </row>
    <row r="94" spans="1:57" ht="12" customHeight="1" thickBot="1" x14ac:dyDescent="0.25">
      <c r="A94" s="1076"/>
      <c r="B94" s="542"/>
      <c r="C94" s="5082"/>
      <c r="D94" s="5087"/>
      <c r="E94" s="5087"/>
      <c r="F94" s="5087"/>
      <c r="G94" s="1924"/>
      <c r="H94" s="1931"/>
      <c r="I94" s="5091"/>
      <c r="J94" s="5092"/>
      <c r="K94" s="5092"/>
      <c r="L94" s="5092"/>
      <c r="M94" s="5092"/>
      <c r="N94" s="5092"/>
      <c r="O94" s="5092"/>
      <c r="P94" s="5092"/>
      <c r="Q94" s="5093"/>
      <c r="R94" s="652"/>
      <c r="S94" s="1076"/>
      <c r="T94" s="1076"/>
      <c r="U94" s="542"/>
      <c r="V94" s="5493"/>
      <c r="W94" s="5494"/>
      <c r="X94" s="5504"/>
      <c r="Y94" s="5509"/>
      <c r="Z94" s="5496"/>
      <c r="AA94" s="5066"/>
      <c r="AB94" s="5068"/>
      <c r="AC94" s="5070"/>
      <c r="AD94" s="5529"/>
      <c r="AE94" s="5490"/>
      <c r="AF94" s="5066"/>
      <c r="AG94" s="5068"/>
      <c r="AH94" s="5070"/>
      <c r="AI94" s="5529"/>
      <c r="AJ94" s="5490"/>
      <c r="AK94" s="838"/>
      <c r="AL94" s="2456"/>
      <c r="AM94" s="1986"/>
      <c r="AN94" s="1986" t="str">
        <f>ADDRESS(ROW(AN95),COLUMN(AN95))&amp;":"&amp;IF(AN99="",ADDRESS(ROW(AN97),COLUMN(AN97)),ADDRESS(ROW(AN99),COLUMN(AN99)))</f>
        <v>$AN$95:$AN$97</v>
      </c>
      <c r="AO94" s="1986"/>
      <c r="AP94" s="1986">
        <f>AC91</f>
        <v>0</v>
      </c>
      <c r="AQ94" s="1986" t="str">
        <f>IF(OR(AA91="A 2 manos",AA91="Proy. 2M"),"2M","")</f>
        <v/>
      </c>
      <c r="AR94" s="1986">
        <f>IFERROR(VLOOKUP(AC91,Tabla_ArmasyEscudos,IF(AQ94="2M",5,4),0),0)</f>
        <v>0</v>
      </c>
      <c r="AS94" s="1986">
        <f>IFERROR(IF(VLOOKUP(AC91,Tabla_ArmasyEscudos,18,0)&gt;0,VLOOKUP(AC91,Tabla_ArmasyEscudos,18,0)+AB97/5,0),0)</f>
        <v>0</v>
      </c>
      <c r="AT94" s="1986">
        <f>IF(AS94&lt;1,0,VLOOKUP(AS94,Tablas!$C$14:$D$33,2))</f>
        <v>0</v>
      </c>
      <c r="AU94" s="1986" t="e">
        <f>VLOOKUP(AC91,Tabla_ArmasyEscudos,3,FALSE)+AE103</f>
        <v>#N/A</v>
      </c>
      <c r="AV94" s="1986"/>
      <c r="AW94" s="1986"/>
      <c r="AX94" s="1986"/>
      <c r="AY94" s="1986"/>
      <c r="AZ94" s="1986"/>
      <c r="BA94" s="1986"/>
      <c r="BB94" s="1986"/>
      <c r="BC94" s="1986"/>
      <c r="BD94" s="1986"/>
      <c r="BE94" s="1986"/>
    </row>
    <row r="95" spans="1:57" ht="12" customHeight="1" x14ac:dyDescent="0.2">
      <c r="A95" s="1076"/>
      <c r="B95" s="542"/>
      <c r="C95" s="5082"/>
      <c r="D95" s="5084"/>
      <c r="E95" s="5085"/>
      <c r="F95" s="5086"/>
      <c r="G95" s="1931"/>
      <c r="H95" s="1931"/>
      <c r="I95" s="5106"/>
      <c r="J95" s="5107"/>
      <c r="K95" s="5107"/>
      <c r="L95" s="5107"/>
      <c r="M95" s="5107"/>
      <c r="N95" s="5107"/>
      <c r="O95" s="5107"/>
      <c r="P95" s="5107"/>
      <c r="Q95" s="5108"/>
      <c r="R95" s="652"/>
      <c r="S95" s="1076"/>
      <c r="T95" s="1076"/>
      <c r="U95" s="542"/>
      <c r="V95" s="5520" t="s">
        <v>8894</v>
      </c>
      <c r="W95" s="2422"/>
      <c r="X95" s="2528" t="s">
        <v>1373</v>
      </c>
      <c r="Y95" s="2528" t="s">
        <v>8895</v>
      </c>
      <c r="Z95" s="2528" t="s">
        <v>1357</v>
      </c>
      <c r="AA95" s="2514" t="s">
        <v>8902</v>
      </c>
      <c r="AB95" s="2515" t="s">
        <v>8903</v>
      </c>
      <c r="AC95" s="2515" t="s">
        <v>1566</v>
      </c>
      <c r="AD95" s="2515" t="s">
        <v>1579</v>
      </c>
      <c r="AE95" s="1573" t="s">
        <v>1567</v>
      </c>
      <c r="AF95" s="2514" t="s">
        <v>8902</v>
      </c>
      <c r="AG95" s="2515" t="s">
        <v>8903</v>
      </c>
      <c r="AH95" s="2515" t="s">
        <v>1566</v>
      </c>
      <c r="AI95" s="2515" t="s">
        <v>1579</v>
      </c>
      <c r="AJ95" s="1573" t="s">
        <v>1567</v>
      </c>
      <c r="AK95" s="838"/>
      <c r="AL95" s="2456"/>
      <c r="AM95" s="1986"/>
      <c r="AN95" s="1986" t="s">
        <v>1977</v>
      </c>
      <c r="AO95" s="1986"/>
      <c r="AP95" s="1986">
        <f>AH91</f>
        <v>0</v>
      </c>
      <c r="AQ95" s="1986" t="str">
        <f>IF(OR(AF91="A 2 manos",AF91="Proy. 2M"),"2M","")</f>
        <v/>
      </c>
      <c r="AR95" s="1986">
        <f>IFERROR(VLOOKUP(AH91,Tabla_ArmasyEscudos,IF(AQ95="2M",5,4),0),0)</f>
        <v>0</v>
      </c>
      <c r="AS95" s="1986">
        <f>IFERROR(IF(VLOOKUP(AC93,Tabla_ArmasyEscudos,18,0)&gt;0,VLOOKUP(AC93,Tabla_ArmasyEscudos,18,0)+AG97/5,0),0)</f>
        <v>0</v>
      </c>
      <c r="AT95" s="1986">
        <f>IF(AS95&lt;1,0,VLOOKUP(AS95,Tablas!$C$14:$D$33,2))</f>
        <v>0</v>
      </c>
      <c r="AU95" s="1986" t="e">
        <f>VLOOKUP(AH91,Tabla_ArmasyEscudos,3,FALSE)+AJ103</f>
        <v>#N/A</v>
      </c>
      <c r="AV95" s="1986"/>
      <c r="AW95" s="1986"/>
      <c r="AX95" s="1986"/>
      <c r="AY95" s="1986"/>
      <c r="AZ95" s="1986"/>
      <c r="BA95" s="1986"/>
      <c r="BB95" s="1986"/>
      <c r="BC95" s="1986"/>
      <c r="BD95" s="1986"/>
      <c r="BE95" s="1986"/>
    </row>
    <row r="96" spans="1:57" ht="12" customHeight="1" x14ac:dyDescent="0.2">
      <c r="A96" s="1076"/>
      <c r="B96" s="542"/>
      <c r="C96" s="5082"/>
      <c r="D96" s="5084"/>
      <c r="E96" s="5085"/>
      <c r="F96" s="5086"/>
      <c r="G96" s="1924"/>
      <c r="H96" s="1931"/>
      <c r="I96" s="5091"/>
      <c r="J96" s="5092"/>
      <c r="K96" s="5092"/>
      <c r="L96" s="5092"/>
      <c r="M96" s="5092"/>
      <c r="N96" s="5092"/>
      <c r="O96" s="5092"/>
      <c r="P96" s="5092"/>
      <c r="Q96" s="5093"/>
      <c r="R96" s="652"/>
      <c r="S96" s="1076"/>
      <c r="T96" s="1076"/>
      <c r="U96" s="542"/>
      <c r="V96" s="5505"/>
      <c r="W96" s="1646" t="s">
        <v>1381</v>
      </c>
      <c r="X96" s="2515" t="str">
        <f>IF(Tablas!$H$982=0,"-",IF(Zen,DES,MIN(13,DES)))</f>
        <v>-</v>
      </c>
      <c r="Y96" s="2626"/>
      <c r="Z96" s="2515" t="str">
        <f>IFERROR(MIN(X96+Y96,IF(Zen,20,13)),"-")</f>
        <v>-</v>
      </c>
      <c r="AA96" s="1576" t="str">
        <f>IFERROR(IF(AC91="Armas naturales",IF(AD100="","-",AD100),VLOOKUP(AC91,Tabla_ArmasyEscudos,6,0)),"-")</f>
        <v>-</v>
      </c>
      <c r="AB96" s="2529" t="str">
        <f>IFERROR(IF(AC91="Armas naturales",IF(AD101="","-",AD101),VLOOKUP(AC91,Tabla_ArmasyEscudos,7,0)),"-")</f>
        <v>-</v>
      </c>
      <c r="AC96" s="2530" t="str">
        <f>IFERROR(IF(OR(AC91="",Tablas!$H$982=0),"-",IF(AC91="Armas naturales",AO103,VLOOKUP(AC91,Tabla_ArmasyEscudos,10,0)+10*AB97/5&amp;IFERROR("/"&amp;VLOOKUP(AD100,Tabla_ArmasyEscudos,10,0)+10*AD101/5,""))),"-")</f>
        <v>-</v>
      </c>
      <c r="AD96" s="2530" t="str">
        <f>IFERROR(IF(OR(AC91="",Tablas!$H$982=0),"-",IF(AC91="Armas naturales",AO104,VLOOKUP(AC91,Tabla_ArmasyEscudos,11,0)+2*AB97/5&amp;IFERROR("/"&amp;VLOOKUP(AD100,Tabla_ArmasyEscudos,11,0)+2*AD101/5,""))),"-")</f>
        <v>-</v>
      </c>
      <c r="AE96" s="2516"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9" t="str">
        <f>IFERROR(IF(AH91="Armas naturales",IF(AI101="","-",AI101),VLOOKUP(AH91,Tabla_ArmasyEscudos,7,0)),"-")</f>
        <v>-</v>
      </c>
      <c r="AH96" s="2530" t="str">
        <f>IFERROR(IF(OR(AH91="",Tablas!$H$982=0),"-",IF(AH91="Armas naturales",AT103,VLOOKUP(AH91,Tabla_ArmasyEscudos,10,0)+10*AG97/5&amp;IFERROR("/"&amp;VLOOKUP(AI100,Tabla_ArmasyEscudos,10,0)+10*AI101/5,""))),"-")</f>
        <v>-</v>
      </c>
      <c r="AI96" s="2530" t="str">
        <f>IFERROR(IF(OR(AH91="",Tablas!$H$982=0),"-",IF(AH91="Armas naturales",AT104,VLOOKUP(AH91,Tabla_ArmasyEscudos,11,0)+2*AG97/5&amp;IFERROR("/"&amp;VLOOKUP(AI100,Tabla_ArmasyEscudos,11,0)+2*AI101/5,""))),"-")</f>
        <v>-</v>
      </c>
      <c r="AJ96" s="2516" t="str">
        <f>IFERROR(IF(OR(AH91="",Tablas!$H$982=0),"-",IF(AH91="Armas naturales",Presencia_final,VLOOKUP(AH91,Tabla_ArmasyEscudos,12,0)+50*MAX(AG97/5,0)&amp;IFERROR("/"&amp;VLOOKUP(AI100,Tabla_ArmasyEscudos,12,0)+50*MAX(AI101/5,0),""))),"-")</f>
        <v>-</v>
      </c>
      <c r="AK96" s="838"/>
      <c r="AL96" s="2456"/>
      <c r="AM96" s="1986"/>
      <c r="AN96" s="1986" t="s">
        <v>1978</v>
      </c>
      <c r="AO96" s="1986"/>
      <c r="AP96" s="1986"/>
      <c r="AQ96" s="1986"/>
      <c r="AR96" s="1986"/>
      <c r="AS96" s="1986"/>
      <c r="AT96" s="1986"/>
      <c r="AU96" s="1986"/>
      <c r="AV96" s="1986"/>
      <c r="AW96" s="1986"/>
      <c r="AX96" s="1986"/>
      <c r="AY96" s="1986"/>
      <c r="AZ96" s="1986"/>
      <c r="BA96" s="1986"/>
      <c r="BB96" s="1986"/>
      <c r="BC96" s="1986"/>
      <c r="BD96" s="1986"/>
      <c r="BE96" s="1986"/>
    </row>
    <row r="97" spans="1:57" ht="12" customHeight="1" x14ac:dyDescent="0.2">
      <c r="A97" s="1076"/>
      <c r="B97" s="640"/>
      <c r="C97" s="5082"/>
      <c r="D97" s="5087"/>
      <c r="E97" s="5087"/>
      <c r="F97" s="5087"/>
      <c r="G97" s="1931"/>
      <c r="H97" s="1930"/>
      <c r="I97" s="5106"/>
      <c r="J97" s="5107"/>
      <c r="K97" s="5107"/>
      <c r="L97" s="5107"/>
      <c r="M97" s="5107"/>
      <c r="N97" s="5107"/>
      <c r="O97" s="5107"/>
      <c r="P97" s="5107"/>
      <c r="Q97" s="5108"/>
      <c r="R97" s="1579"/>
      <c r="S97" s="1076"/>
      <c r="T97" s="1076"/>
      <c r="U97" s="542"/>
      <c r="V97" s="5505"/>
      <c r="W97" s="1646" t="s">
        <v>1386</v>
      </c>
      <c r="X97" s="1946" t="str">
        <f>IF(Tablas!$H$982=0,"-",IF(Zen,DES,MIN(13,DES)))</f>
        <v>-</v>
      </c>
      <c r="Y97" s="2627"/>
      <c r="Z97" s="2531" t="str">
        <f>IFERROR(MIN(X97+Y97,IF(Zen,20,13)),"-")</f>
        <v>-</v>
      </c>
      <c r="AA97" s="1949" t="str">
        <f>IF(AND(AC91&lt;&gt;"",AC91&lt;&gt;"Armas naturales"),"Calidad:","")</f>
        <v/>
      </c>
      <c r="AB97" s="1950"/>
      <c r="AC97" s="5507" t="str">
        <f>IF(AA101="Calidad munición:",IF(AD101&lt;=0,"","TA defensor:"),IF(AB97&lt;=0,"","TA defensor:"))</f>
        <v/>
      </c>
      <c r="AD97" s="5507"/>
      <c r="AE97" s="2423" t="str">
        <f>IF(AC97="TA defensor:",IF(AA101="Calidad munición:",AD101/(-5),AB97/(-5)),"")</f>
        <v/>
      </c>
      <c r="AF97" s="1949" t="str">
        <f>IF(AND(AH91&lt;&gt;"",AH91&lt;&gt;"Armas naturales"),"Calidad:","")</f>
        <v/>
      </c>
      <c r="AG97" s="1951"/>
      <c r="AH97" s="5507" t="str">
        <f>IF(AF101="Calidad munición:",IF(AI101&lt;=0,"","TA defensor:"),IF(AG97&lt;=0,"","TA defensor:"))</f>
        <v/>
      </c>
      <c r="AI97" s="5507"/>
      <c r="AJ97" s="2423" t="str">
        <f>IF(AH97="TA defensor:",IF(AF101="Calidad munición:",AI101/(-5),AG97/(-5)),"")</f>
        <v/>
      </c>
      <c r="AK97" s="838"/>
      <c r="AL97" s="2456"/>
      <c r="AM97" s="1986"/>
      <c r="AN97" s="1986" t="s">
        <v>1737</v>
      </c>
      <c r="AO97" s="1986"/>
      <c r="AP97" s="1986"/>
      <c r="AQ97" s="1986"/>
      <c r="AR97" s="1986"/>
      <c r="AS97" s="1986"/>
      <c r="AT97" s="1986"/>
      <c r="AU97" s="1986"/>
      <c r="AV97" s="1986"/>
      <c r="AW97" s="1986"/>
      <c r="AX97" s="1986"/>
      <c r="AY97" s="1986"/>
      <c r="AZ97" s="1986"/>
      <c r="BA97" s="1986"/>
      <c r="BB97" s="1986"/>
      <c r="BC97" s="1986"/>
      <c r="BD97" s="1986"/>
      <c r="BE97" s="1986"/>
    </row>
    <row r="98" spans="1:57" ht="12" customHeight="1" thickBot="1" x14ac:dyDescent="0.25">
      <c r="A98" s="1076"/>
      <c r="B98" s="640"/>
      <c r="C98" s="5083"/>
      <c r="D98" s="5094"/>
      <c r="E98" s="5095"/>
      <c r="F98" s="5096"/>
      <c r="G98" s="1925"/>
      <c r="H98" s="1925"/>
      <c r="I98" s="5097"/>
      <c r="J98" s="5098"/>
      <c r="K98" s="5098"/>
      <c r="L98" s="5098"/>
      <c r="M98" s="5098"/>
      <c r="N98" s="5098"/>
      <c r="O98" s="5098"/>
      <c r="P98" s="5098"/>
      <c r="Q98" s="5099"/>
      <c r="R98" s="1579"/>
      <c r="S98" s="1076"/>
      <c r="T98" s="1076"/>
      <c r="U98" s="640"/>
      <c r="V98" s="5506"/>
      <c r="W98" s="1647" t="s">
        <v>1391</v>
      </c>
      <c r="X98" s="2424" t="str">
        <f>IF(Tablas!$H$982=0,"-",IF(Zen,FUE-2,MIN(11,FUE-2)))</f>
        <v>-</v>
      </c>
      <c r="Y98" s="2628"/>
      <c r="Z98" s="2513" t="str">
        <f>IFERROR(MIN(20,MIN(X98+Y98,IF(Zen,20,13))+IF(COUNTIF(W99:Z104,"Fuerza excepcional")&gt;0,IF(X98+6&lt;15,6,MAX(15-X98,0)),0)),"-")</f>
        <v>-</v>
      </c>
      <c r="AA98" s="5522" t="str">
        <f>IFERROR(IF(AC91="Armas naturales","",SUBSTITUTE(VLOOKUP(AC91,Tabla_ArmasyEscudos,19,FALSE),"XXX",MAX(0,VLOOKUP(AC91,Tabla_ArmasyEscudos,17,FALSE)+VLOOKUP(Z98,Tabla_AlcanceFUE,2)))),"")</f>
        <v/>
      </c>
      <c r="AB98" s="5523"/>
      <c r="AC98" s="5523"/>
      <c r="AD98" s="5523"/>
      <c r="AE98" s="5524"/>
      <c r="AF98" s="5522" t="str">
        <f>IFERROR(IF(AH91="Armas naturales","",SUBSTITUTE(VLOOKUP(AH91,Tabla_ArmasyEscudos,19,FALSE),"XXX",MAX(0,VLOOKUP(AH91,Tabla_ArmasyEscudos,17,FALSE)+VLOOKUP(Z98,Tabla_AlcanceFUE,2)))),"")</f>
        <v/>
      </c>
      <c r="AG98" s="5523"/>
      <c r="AH98" s="5523"/>
      <c r="AI98" s="5523"/>
      <c r="AJ98" s="5524"/>
      <c r="AK98" s="838"/>
      <c r="AL98" s="2456"/>
      <c r="AM98" s="1986"/>
      <c r="AN98" s="1986" t="str">
        <f>IF(COUNTIF(W99:Z104,"Tamaño excepcional")&gt;0,"Grande","")</f>
        <v/>
      </c>
      <c r="AO98" s="1986"/>
      <c r="AP98" s="1986"/>
      <c r="AQ98" s="1986"/>
      <c r="AR98" s="1986"/>
      <c r="AS98" s="1986"/>
      <c r="AT98" s="1986"/>
      <c r="AU98" s="1986"/>
      <c r="AV98" s="1986"/>
      <c r="AW98" s="1986"/>
      <c r="AX98" s="1986"/>
      <c r="AY98" s="1986"/>
      <c r="AZ98" s="1986"/>
      <c r="BA98" s="1986"/>
      <c r="BB98" s="1986"/>
      <c r="BC98" s="1986"/>
      <c r="BD98" s="1986"/>
      <c r="BE98" s="1986"/>
    </row>
    <row r="99" spans="1:57" ht="12" customHeight="1" x14ac:dyDescent="0.2">
      <c r="A99" s="1076"/>
      <c r="B99" s="542"/>
      <c r="R99" s="652"/>
      <c r="S99" s="1076"/>
      <c r="T99" s="1076"/>
      <c r="U99" s="542"/>
      <c r="V99" s="5505" t="s">
        <v>8874</v>
      </c>
      <c r="W99" s="3935"/>
      <c r="X99" s="3935"/>
      <c r="Y99" s="3935"/>
      <c r="Z99" s="3935"/>
      <c r="AA99" s="5530" t="str">
        <f>IFERROR(VLOOKUP(AD100,Tabla_ArmasyEscudos,19,0),"")</f>
        <v/>
      </c>
      <c r="AB99" s="5531"/>
      <c r="AC99" s="5531"/>
      <c r="AD99" s="5531"/>
      <c r="AE99" s="5532"/>
      <c r="AF99" s="5530" t="str">
        <f>IFERROR(VLOOKUP(AI100,Tabla_ArmasyEscudos,19,0),"")</f>
        <v/>
      </c>
      <c r="AG99" s="5531"/>
      <c r="AH99" s="5531"/>
      <c r="AI99" s="5531"/>
      <c r="AJ99" s="5532"/>
      <c r="AK99" s="838"/>
      <c r="AL99" s="1564"/>
      <c r="AM99" s="1986"/>
      <c r="AN99" s="1986" t="str">
        <f>IF(COUNTIF(W99:Z104,"Tamaño excepcional")&gt;0,"Enorme","")</f>
        <v/>
      </c>
      <c r="AO99" s="1986"/>
      <c r="AP99" s="1986"/>
      <c r="AQ99" s="1986"/>
      <c r="AR99" s="1986"/>
      <c r="AS99" s="1986"/>
      <c r="AT99" s="1986"/>
      <c r="AU99" s="1986"/>
      <c r="AV99" s="1986"/>
      <c r="AW99" s="1986"/>
      <c r="AX99" s="1986"/>
      <c r="AY99" s="1986"/>
      <c r="AZ99" s="1986"/>
      <c r="BA99" s="1986"/>
      <c r="BB99" s="1986"/>
      <c r="BC99" s="1986"/>
      <c r="BD99" s="1986"/>
      <c r="BE99" s="1986"/>
    </row>
    <row r="100" spans="1:57" ht="12" customHeight="1" thickBot="1" x14ac:dyDescent="0.25">
      <c r="A100" s="1076"/>
      <c r="B100" s="542"/>
      <c r="R100" s="1562"/>
      <c r="S100" s="1563"/>
      <c r="T100" s="1563"/>
      <c r="U100" s="1096"/>
      <c r="V100" s="5505"/>
      <c r="W100" s="5517"/>
      <c r="X100" s="5518"/>
      <c r="Y100" s="5518"/>
      <c r="Z100" s="5519"/>
      <c r="AA100" s="4551" t="str">
        <f>IFERROR(IF(AC91="Armas naturales", "Armas naturales Crit. 1:",IF(ISNUMBER(FIND("Proyectiles",VLOOKUP(AC91,Tabla_ArmasyEscudos,8,0))),"Munición:","")),"")</f>
        <v/>
      </c>
      <c r="AB100" s="4484"/>
      <c r="AC100" s="4484"/>
      <c r="AD100" s="5510"/>
      <c r="AE100" s="5511"/>
      <c r="AF100" s="4551" t="str">
        <f>IFERROR(IF(AH91="Armas naturales", "Armas naturales Crit. 1:",IF(ISNUMBER(FIND("Proyectiles",VLOOKUP(AH91,Tabla_ArmasyEscudos,8,0))),"Munición:","")),"")</f>
        <v/>
      </c>
      <c r="AG100" s="4484"/>
      <c r="AH100" s="4484"/>
      <c r="AI100" s="5510"/>
      <c r="AJ100" s="5511"/>
      <c r="AK100" s="1948"/>
      <c r="AL100" s="2456"/>
      <c r="AM100" s="1986"/>
      <c r="AN100" s="5062" t="s">
        <v>1928</v>
      </c>
      <c r="AO100" s="5062"/>
      <c r="AP100" s="1986"/>
      <c r="AQ100" s="1986"/>
      <c r="AR100" s="1986"/>
      <c r="AS100" s="1986"/>
      <c r="AT100" s="1986"/>
      <c r="AU100" s="1986"/>
      <c r="AV100" s="1986"/>
      <c r="AW100" s="1986"/>
      <c r="AX100" s="1986"/>
      <c r="AY100" s="1986"/>
      <c r="AZ100" s="1986"/>
      <c r="BA100" s="1986"/>
      <c r="BB100" s="1986"/>
      <c r="BC100" s="1986"/>
      <c r="BD100" s="1986"/>
      <c r="BE100" s="1986"/>
    </row>
    <row r="101" spans="1:57" ht="12" customHeight="1" x14ac:dyDescent="0.2">
      <c r="A101" s="1076"/>
      <c r="B101" s="542"/>
      <c r="E101" s="5147" t="s">
        <v>6761</v>
      </c>
      <c r="F101" s="5148"/>
      <c r="G101" s="5148"/>
      <c r="H101" s="5148"/>
      <c r="I101" s="5148"/>
      <c r="J101" s="5148"/>
      <c r="K101" s="5149"/>
      <c r="L101" s="5088" t="s">
        <v>6763</v>
      </c>
      <c r="M101" s="5088"/>
      <c r="N101" s="5088"/>
      <c r="O101" s="5089"/>
      <c r="R101" s="652"/>
      <c r="S101" s="1076"/>
      <c r="T101" s="1076"/>
      <c r="U101" s="542"/>
      <c r="V101" s="5505"/>
      <c r="W101" s="5517"/>
      <c r="X101" s="5518"/>
      <c r="Y101" s="5518"/>
      <c r="Z101" s="5519"/>
      <c r="AA101" s="5214" t="str">
        <f>IFERROR(IF(AC91="Armas naturales", "Armas naturales Crit. 2:",IF(ISNUMBER(FIND("Proyectiles",VLOOKUP(AC91,Tabla_ArmasyEscudos,8,0))),"Calidad Munición:","")),"")</f>
        <v/>
      </c>
      <c r="AB101" s="5521"/>
      <c r="AC101" s="5521"/>
      <c r="AD101" s="5512"/>
      <c r="AE101" s="5513"/>
      <c r="AF101" s="5214" t="str">
        <f>IFERROR(IF(AH91="Armas naturales", "Armas naturales Crit. 2:",IF(ISNUMBER(FIND("Proyectiles",VLOOKUP(AH91,Tabla_ArmasyEscudos,8,0))),"Calidad Munición:","")),"")</f>
        <v/>
      </c>
      <c r="AG101" s="5521"/>
      <c r="AH101" s="5521"/>
      <c r="AI101" s="5512"/>
      <c r="AJ101" s="5513"/>
      <c r="AK101" s="838"/>
      <c r="AL101" s="2456"/>
      <c r="AM101" s="1986"/>
      <c r="AN101" s="1986" t="s">
        <v>8900</v>
      </c>
      <c r="AO101" s="1986">
        <f>VLOOKUP(AF90,Tablas!$X$47:$AF$54,7,0)</f>
        <v>40</v>
      </c>
      <c r="AP101" s="1986"/>
      <c r="AQ101" s="1986"/>
      <c r="AR101" s="1986"/>
      <c r="AS101" s="1986"/>
      <c r="AT101" s="1986" t="s">
        <v>1464</v>
      </c>
      <c r="AU101" s="1986"/>
      <c r="AV101" s="1986"/>
      <c r="AW101" s="1986"/>
      <c r="AX101" s="1986"/>
      <c r="AY101" s="1986"/>
      <c r="AZ101" s="1986"/>
      <c r="BA101" s="1986"/>
      <c r="BB101" s="1986"/>
      <c r="BC101" s="1986"/>
      <c r="BD101" s="1986"/>
      <c r="BE101" s="1986"/>
    </row>
    <row r="102" spans="1:57" ht="12" customHeight="1" x14ac:dyDescent="0.2">
      <c r="A102" s="1076"/>
      <c r="B102" s="542"/>
      <c r="E102" s="5117"/>
      <c r="F102" s="5118"/>
      <c r="G102" s="5118"/>
      <c r="H102" s="5118"/>
      <c r="I102" s="5118"/>
      <c r="J102" s="5119"/>
      <c r="K102" s="1926"/>
      <c r="L102" s="5115"/>
      <c r="M102" s="5115"/>
      <c r="N102" s="5115"/>
      <c r="O102" s="5113"/>
      <c r="R102" s="652"/>
      <c r="S102" s="1076"/>
      <c r="T102" s="1076"/>
      <c r="U102" s="542"/>
      <c r="V102" s="5505"/>
      <c r="W102" s="5517"/>
      <c r="X102" s="5518"/>
      <c r="Y102" s="5518"/>
      <c r="Z102" s="5519"/>
      <c r="AA102" s="1195" t="str">
        <f>IF(ISNUMBER(FIND("Proyectiles",VLOOKUP(AC91,Tabla_ArmasyEscudos,8,0))),"Rango:","")</f>
        <v/>
      </c>
      <c r="AB102" s="2532" t="str">
        <f>IFERROR(IF(AA102="Rango:",VLOOKUP(AC91,Tabla_ArmasyEscudos,17,0)+IF(AS94&gt;0,VLOOKUP(AS94,Tabla_AlcanceFUE,2,0),VLOOKUP(Z98,Tabla_AlcanceFUE,2,0))&amp;" m",""),"")</f>
        <v/>
      </c>
      <c r="AC102" s="5486" t="str">
        <f>IF(ISNUMBER(FIND("Proyectiles",VLOOKUP(AC91,Tabla_ArmasyEscudos,8,0))),"Recarga:","")</f>
        <v/>
      </c>
      <c r="AD102" s="5486"/>
      <c r="AE102" s="2512" t="str">
        <f>IFERROR(IF(AC102="Recarga:",VLOOKUP(AC91,Tabla_ArmasyEscudos,16,0),""),"")</f>
        <v/>
      </c>
      <c r="AF102" s="1195" t="str">
        <f>IF(ISNUMBER(FIND("Proyectiles",VLOOKUP(AH91,Tabla_ArmasyEscudos,8,0))),"Rango:","")</f>
        <v/>
      </c>
      <c r="AG102" s="2531" t="str">
        <f>IFERROR(IF(AF102="Rango:",VLOOKUP(AH91,Tabla_ArmasyEscudos,17,0)+IF(AS95&gt;0,VLOOKUP(AS95,Tabla_AlcanceFUE,2,0),VLOOKUP(Z98,Tabla_AlcanceFUE,2,0))&amp;" m",""),"")</f>
        <v/>
      </c>
      <c r="AH102" s="5486" t="str">
        <f>IF(ISNUMBER(FIND("Proyectiles",VLOOKUP(AH91,Tabla_ArmasyEscudos,8,0))),"Recarga:","")</f>
        <v/>
      </c>
      <c r="AI102" s="5486"/>
      <c r="AJ102" s="2512" t="str">
        <f>IFERROR(IF(AH102="Recarga:",VLOOKUP(AH91,Tabla_ArmasyEscudos,16,0),""),"")</f>
        <v/>
      </c>
      <c r="AK102" s="838"/>
      <c r="AL102" s="2456"/>
      <c r="AM102" s="1986"/>
      <c r="AN102" s="1986" t="s">
        <v>1401</v>
      </c>
      <c r="AO102" s="1986">
        <f>MIN(VLOOKUP(AF90,Tablas!$X$47:$AF$54,2,0),20)</f>
        <v>20</v>
      </c>
      <c r="AP102" s="1986"/>
      <c r="AQ102" s="1986"/>
      <c r="AR102" s="1986"/>
      <c r="AS102" s="1986"/>
      <c r="AT102" s="1986" t="s">
        <v>1464</v>
      </c>
      <c r="AU102" s="1986"/>
      <c r="AV102" s="1986"/>
      <c r="AW102" s="1986"/>
      <c r="AX102" s="1986"/>
      <c r="AY102" s="1986"/>
      <c r="AZ102" s="1986"/>
      <c r="BA102" s="1986"/>
      <c r="BB102" s="1986"/>
      <c r="BC102" s="1986"/>
      <c r="BD102" s="1986"/>
      <c r="BE102" s="1986"/>
    </row>
    <row r="103" spans="1:57" ht="12" customHeight="1" x14ac:dyDescent="0.2">
      <c r="A103" s="1563"/>
      <c r="B103" s="1096"/>
      <c r="E103" s="5120"/>
      <c r="F103" s="5121"/>
      <c r="G103" s="5121"/>
      <c r="H103" s="5121"/>
      <c r="I103" s="5121"/>
      <c r="J103" s="5122"/>
      <c r="K103" s="1933"/>
      <c r="L103" s="5115"/>
      <c r="M103" s="5115"/>
      <c r="N103" s="5115"/>
      <c r="O103" s="5113"/>
      <c r="R103" s="652"/>
      <c r="S103" s="1076"/>
      <c r="T103" s="1076"/>
      <c r="U103" s="542"/>
      <c r="V103" s="5505"/>
      <c r="W103" s="5517"/>
      <c r="X103" s="5518"/>
      <c r="Y103" s="5518"/>
      <c r="Z103" s="5519"/>
      <c r="AA103" s="5487" t="s">
        <v>1004</v>
      </c>
      <c r="AB103" s="2427" t="s">
        <v>7483</v>
      </c>
      <c r="AC103" s="2594"/>
      <c r="AD103" s="2427" t="s">
        <v>1401</v>
      </c>
      <c r="AE103" s="2596"/>
      <c r="AF103" s="5487" t="s">
        <v>1004</v>
      </c>
      <c r="AG103" s="2427" t="s">
        <v>7483</v>
      </c>
      <c r="AH103" s="2598"/>
      <c r="AI103" s="2427" t="s">
        <v>1401</v>
      </c>
      <c r="AJ103" s="2596"/>
      <c r="AK103" s="838"/>
      <c r="AL103" s="2456"/>
      <c r="AM103" s="1986"/>
      <c r="AN103" s="1986" t="s">
        <v>1976</v>
      </c>
      <c r="AO103" s="1986">
        <f>VLOOKUP(AF90,Tablas!$X$47:$AF$54,9,0)</f>
        <v>12</v>
      </c>
      <c r="AP103" s="1986"/>
      <c r="AQ103" s="1986"/>
      <c r="AR103" s="1986"/>
      <c r="AS103" s="1986"/>
      <c r="AT103" s="1986" t="s">
        <v>1464</v>
      </c>
      <c r="AU103" s="1986"/>
      <c r="AV103" s="1986"/>
      <c r="AW103" s="1986"/>
      <c r="AX103" s="1986"/>
      <c r="AY103" s="1986"/>
      <c r="AZ103" s="1986"/>
      <c r="BA103" s="1986"/>
      <c r="BB103" s="1986"/>
      <c r="BC103" s="1986"/>
      <c r="BD103" s="1986"/>
      <c r="BE103" s="1986"/>
    </row>
    <row r="104" spans="1:57" ht="12" customHeight="1" thickBot="1" x14ac:dyDescent="0.25">
      <c r="A104" s="1563"/>
      <c r="B104" s="1096"/>
      <c r="E104" s="5110"/>
      <c r="F104" s="5111"/>
      <c r="G104" s="5111"/>
      <c r="H104" s="5111"/>
      <c r="I104" s="5111"/>
      <c r="J104" s="5112"/>
      <c r="K104" s="1933"/>
      <c r="L104" s="5115"/>
      <c r="M104" s="5115"/>
      <c r="N104" s="5115"/>
      <c r="O104" s="5113"/>
      <c r="R104" s="652"/>
      <c r="S104" s="1076"/>
      <c r="T104" s="1076"/>
      <c r="U104" s="542"/>
      <c r="V104" s="5506"/>
      <c r="W104" s="5533"/>
      <c r="X104" s="5533"/>
      <c r="Y104" s="5533"/>
      <c r="Z104" s="5533"/>
      <c r="AA104" s="5488"/>
      <c r="AB104" s="1570" t="s">
        <v>8606</v>
      </c>
      <c r="AC104" s="2595"/>
      <c r="AD104" s="2533" t="s">
        <v>1575</v>
      </c>
      <c r="AE104" s="2597"/>
      <c r="AF104" s="5488"/>
      <c r="AG104" s="1570" t="s">
        <v>8606</v>
      </c>
      <c r="AH104" s="2599"/>
      <c r="AI104" s="2533" t="s">
        <v>1575</v>
      </c>
      <c r="AJ104" s="2597"/>
      <c r="AK104" s="838"/>
      <c r="AL104" s="2456"/>
      <c r="AM104" s="1986"/>
      <c r="AN104" s="1986" t="s">
        <v>1579</v>
      </c>
      <c r="AO104" s="1986">
        <f>VLOOKUP(AF90,Tablas!$X$47:$AF$54,8,0)</f>
        <v>0</v>
      </c>
      <c r="AP104" s="1986"/>
      <c r="AQ104" s="1986"/>
      <c r="AR104" s="1986"/>
      <c r="AS104" s="1986"/>
      <c r="AT104" s="1986" t="s">
        <v>1464</v>
      </c>
      <c r="AU104" s="1986"/>
      <c r="AV104" s="1986"/>
      <c r="AW104" s="1986"/>
      <c r="AX104" s="1986"/>
      <c r="AY104" s="1986"/>
      <c r="AZ104" s="1986"/>
      <c r="BA104" s="1986"/>
      <c r="BB104" s="1986"/>
      <c r="BC104" s="1986"/>
      <c r="BD104" s="1986"/>
      <c r="BE104" s="1986"/>
    </row>
    <row r="105" spans="1:57" ht="12" customHeight="1" thickBot="1" x14ac:dyDescent="0.25">
      <c r="A105" s="1076"/>
      <c r="B105" s="542"/>
      <c r="E105" s="5123"/>
      <c r="F105" s="5124"/>
      <c r="G105" s="5124"/>
      <c r="H105" s="5124"/>
      <c r="I105" s="5124"/>
      <c r="J105" s="5125"/>
      <c r="K105" s="1927"/>
      <c r="L105" s="5115"/>
      <c r="M105" s="5115"/>
      <c r="N105" s="5115"/>
      <c r="O105" s="5113"/>
      <c r="R105" s="1562"/>
      <c r="S105" s="1563"/>
      <c r="T105" s="1563"/>
      <c r="U105" s="1096"/>
      <c r="AK105" s="838"/>
      <c r="AL105" s="2456"/>
      <c r="AM105" s="1986"/>
      <c r="AN105" s="1986"/>
      <c r="AO105" s="1986"/>
      <c r="AP105" s="1986"/>
      <c r="AQ105" s="1986"/>
      <c r="AR105" s="1986"/>
      <c r="AS105" s="1986"/>
      <c r="AT105" s="1986"/>
      <c r="AU105" s="1986"/>
      <c r="AV105" s="1986"/>
      <c r="AW105" s="1986"/>
      <c r="AX105" s="1986"/>
      <c r="AY105" s="1986"/>
      <c r="AZ105" s="1986"/>
      <c r="BA105" s="1986"/>
      <c r="BB105" s="1986"/>
      <c r="BC105" s="1986"/>
      <c r="BD105" s="1986"/>
      <c r="BE105" s="1986"/>
    </row>
    <row r="106" spans="1:57" ht="12" customHeight="1" thickBot="1" x14ac:dyDescent="0.25">
      <c r="A106" s="1076"/>
      <c r="B106" s="542"/>
      <c r="E106" s="5110"/>
      <c r="F106" s="5111"/>
      <c r="G106" s="5111"/>
      <c r="H106" s="5111"/>
      <c r="I106" s="5111"/>
      <c r="J106" s="5112"/>
      <c r="K106" s="1933"/>
      <c r="L106" s="5115"/>
      <c r="M106" s="5115"/>
      <c r="N106" s="5115"/>
      <c r="O106" s="5113"/>
      <c r="R106" s="1562"/>
      <c r="S106" s="1563"/>
      <c r="T106" s="1563"/>
      <c r="U106" s="1096"/>
      <c r="V106" s="5442" t="s">
        <v>1331</v>
      </c>
      <c r="W106" s="5443"/>
      <c r="X106" s="5526" t="s">
        <v>8882</v>
      </c>
      <c r="Y106" s="5526"/>
      <c r="Z106" s="5526"/>
      <c r="AA106" s="5526"/>
      <c r="AB106" s="5527"/>
      <c r="AC106" s="5458" t="s">
        <v>8897</v>
      </c>
      <c r="AD106" s="5525"/>
      <c r="AE106" s="5525"/>
      <c r="AF106" s="5427" t="s">
        <v>1737</v>
      </c>
      <c r="AG106" s="5428"/>
      <c r="AH106" s="5458" t="s">
        <v>8893</v>
      </c>
      <c r="AI106" s="5459"/>
      <c r="AJ106" s="2622"/>
      <c r="AK106" s="838"/>
      <c r="AL106" s="2456"/>
      <c r="AM106" s="1986"/>
      <c r="AN106" s="1986" t="s">
        <v>9602</v>
      </c>
      <c r="AO106" s="1986" t="s">
        <v>1401</v>
      </c>
      <c r="AP106" s="1986" t="s">
        <v>7483</v>
      </c>
      <c r="AQ106" s="1986" t="s">
        <v>8606</v>
      </c>
      <c r="AR106" s="1986" t="s">
        <v>1575</v>
      </c>
      <c r="AS106" s="1986"/>
      <c r="AT106" s="1986"/>
      <c r="AU106" s="1986"/>
      <c r="AV106" s="1986"/>
      <c r="AW106" s="1986"/>
      <c r="AX106" s="1986"/>
      <c r="AY106" s="1986"/>
      <c r="AZ106" s="1986"/>
      <c r="BA106" s="1986"/>
      <c r="BB106" s="1986"/>
      <c r="BC106" s="1986"/>
      <c r="BD106" s="1986"/>
      <c r="BE106" s="1986"/>
    </row>
    <row r="107" spans="1:57" ht="12" customHeight="1" x14ac:dyDescent="0.2">
      <c r="A107" s="1076"/>
      <c r="B107" s="542"/>
      <c r="E107" s="5123"/>
      <c r="F107" s="5124"/>
      <c r="G107" s="5124"/>
      <c r="H107" s="5124"/>
      <c r="I107" s="5124"/>
      <c r="J107" s="5125"/>
      <c r="K107" s="1933"/>
      <c r="L107" s="5115"/>
      <c r="M107" s="5115"/>
      <c r="N107" s="5115"/>
      <c r="O107" s="5113"/>
      <c r="R107" s="1562"/>
      <c r="S107" s="1563"/>
      <c r="T107" s="1563"/>
      <c r="U107" s="1096"/>
      <c r="V107" s="5497" t="s">
        <v>8896</v>
      </c>
      <c r="W107" s="5498"/>
      <c r="X107" s="5499"/>
      <c r="Y107" s="5508" t="s">
        <v>1553</v>
      </c>
      <c r="Z107" s="5495">
        <f>IFERROR(VLOOKUP(V108,Tabla_CaracterísticasGéminis,2,0)+IF(COUNTIF(W115:Z120,"Metal")&gt;0,VLOOKUP(V108,Tabla_CaracterísticasGéminis,2,0),0)+IF(AF106="Grande",50,IF(AF106="Enorme",150,0)),0)</f>
        <v>0</v>
      </c>
      <c r="AA107" s="5450" t="s">
        <v>8904</v>
      </c>
      <c r="AB107" s="5451"/>
      <c r="AC107" s="5452"/>
      <c r="AD107" s="5453"/>
      <c r="AE107" s="5454"/>
      <c r="AF107" s="5450"/>
      <c r="AG107" s="5451"/>
      <c r="AH107" s="5452"/>
      <c r="AI107" s="5453"/>
      <c r="AJ107" s="5454"/>
      <c r="AK107" s="838"/>
      <c r="AL107" s="2456"/>
      <c r="AM107" s="1986"/>
      <c r="AN107" s="1986" t="b">
        <f>AA109&lt;&gt;"-"</f>
        <v>0</v>
      </c>
      <c r="AO107" s="1986" t="str">
        <f>IF(AN107,X106&amp;": "&amp;AD109&amp;" "&amp;AC107&amp;IF(AB113&gt;0," +"&amp;AB113,"")&amp;IF(AH107="",""," y "&amp;AH107&amp;IF(AG113&gt;0," +"&amp;AG113,"")),"")</f>
        <v/>
      </c>
      <c r="AP107" s="1986" t="str">
        <f>IF(AN107,X106&amp;": "&amp;AA109&amp;" "&amp;AC107&amp;IF(AB113&gt;0," +"&amp;AB113,"")&amp;IF(AH107="",""," y "&amp;AF109&amp;" "&amp;AH107&amp;IF(AG113&gt;0," +"&amp;AG113,"")),"")</f>
        <v/>
      </c>
      <c r="AQ107" s="1986" t="str">
        <f>IF(AN107,X106&amp;": "&amp;AB109&amp;" "&amp;AC107&amp;IF(AB113&gt;0," +"&amp;AB113,"")&amp;" ("&amp;AC109&amp;")"&amp;IF(AH107="",""," y "&amp;AG109&amp;" "&amp;AH107&amp;IF(AG113&gt;0," +"&amp;AG113,"")&amp;" ("&amp;AH109&amp;")"),"")</f>
        <v/>
      </c>
      <c r="AR107" s="1986" t="str">
        <f>IF(AN107,X106&amp;": "&amp;AE109&amp;" "&amp;AC107&amp;IF(AB113&gt;0," +"&amp;AB113,"")&amp;IF($AA112="-",""," ("&amp;$AA112&amp;IF($AB112="-",""," / "&amp;$AB112)&amp;")")&amp;IF(AH107="",""," y "&amp;AJ109&amp;" "&amp;AH107&amp;IF(AG113&gt;0," +"&amp;AG113,""))&amp;IF($AF112="-",""," ("&amp;$AF112&amp;IF($AG112="-",""," / "&amp;$AG112)&amp;")"),"")</f>
        <v/>
      </c>
      <c r="AS107" s="1986"/>
      <c r="AT107" s="1986"/>
      <c r="AU107" s="1986"/>
      <c r="AV107" s="1986"/>
      <c r="AW107" s="1986"/>
      <c r="AX107" s="1986"/>
      <c r="AY107" s="1986"/>
      <c r="AZ107" s="1986"/>
      <c r="BA107" s="1986"/>
      <c r="BB107" s="1986"/>
      <c r="BC107" s="1986"/>
      <c r="BD107" s="1986"/>
      <c r="BE107" s="1986"/>
    </row>
    <row r="108" spans="1:57" ht="12" customHeight="1" thickBot="1" x14ac:dyDescent="0.25">
      <c r="A108" s="1076"/>
      <c r="B108" s="542"/>
      <c r="E108" s="5126"/>
      <c r="F108" s="5127"/>
      <c r="G108" s="5127"/>
      <c r="H108" s="5127"/>
      <c r="I108" s="5127"/>
      <c r="J108" s="5128"/>
      <c r="K108" s="1927"/>
      <c r="L108" s="5115"/>
      <c r="M108" s="5115"/>
      <c r="N108" s="5115"/>
      <c r="O108" s="5113"/>
      <c r="R108" s="1562"/>
      <c r="S108" s="1563"/>
      <c r="T108" s="1563"/>
      <c r="U108" s="2437"/>
      <c r="V108" s="5500"/>
      <c r="W108" s="5501"/>
      <c r="X108" s="5502"/>
      <c r="Y108" s="5509"/>
      <c r="Z108" s="5496"/>
      <c r="AA108" s="1574" t="s">
        <v>1573</v>
      </c>
      <c r="AB108" s="5063" t="s">
        <v>1574</v>
      </c>
      <c r="AC108" s="5064"/>
      <c r="AD108" s="2421" t="s">
        <v>1401</v>
      </c>
      <c r="AE108" s="1575" t="s">
        <v>1575</v>
      </c>
      <c r="AF108" s="1574" t="s">
        <v>1573</v>
      </c>
      <c r="AG108" s="5063" t="s">
        <v>1574</v>
      </c>
      <c r="AH108" s="5064"/>
      <c r="AI108" s="2421" t="s">
        <v>1401</v>
      </c>
      <c r="AJ108" s="1575" t="s">
        <v>1575</v>
      </c>
      <c r="AK108" s="838" t="e">
        <f>IF(Z114&lt;1,0,VLOOKUP(Z114,Tablas!$C$14:$D$33,2))</f>
        <v>#N/A</v>
      </c>
      <c r="AL108" s="2456"/>
      <c r="AM108" s="1986"/>
      <c r="AN108" s="1986"/>
      <c r="AO108" s="1986"/>
      <c r="AP108" s="1986" t="str">
        <f>IF(AN107,X106&amp;": "&amp;AA109+#REF!&amp;" "&amp;AC107&amp;IF(AB113&gt;0," +"&amp;AB113,"")&amp;IF(AH107="",""," y "&amp;AF109+#REF!&amp;" "&amp;AH107&amp;IF(AG113&gt;0," +"&amp;AG113,"")),"")</f>
        <v/>
      </c>
      <c r="AQ108" s="1986"/>
      <c r="AR108" s="1986" t="str">
        <f>IF(AN107,X106&amp;": "&amp;FLOOR(AE109*1.5,5)&amp;" "&amp;AC107&amp;IF(AB113&gt;0," +"&amp;AB113,"")&amp;IF(AH107="",""," y "&amp;FLOOR(AJ109*1.5,5)&amp;" "&amp;AH107&amp;IF(AG113&gt;0," +"&amp;AG113,"")),"")</f>
        <v/>
      </c>
      <c r="AS108" s="1986"/>
      <c r="AT108" s="1986"/>
      <c r="AU108" s="1986"/>
      <c r="AV108" s="1986"/>
      <c r="AW108" s="1986"/>
      <c r="AX108" s="1986"/>
      <c r="AY108" s="1986"/>
      <c r="AZ108" s="1986"/>
      <c r="BA108" s="1986"/>
      <c r="BB108" s="1986"/>
      <c r="BC108" s="1986"/>
      <c r="BD108" s="1986"/>
      <c r="BE108" s="1986"/>
    </row>
    <row r="109" spans="1:57" ht="12" customHeight="1" x14ac:dyDescent="0.2">
      <c r="A109" s="1076"/>
      <c r="B109" s="640"/>
      <c r="E109" s="5135" t="s">
        <v>6762</v>
      </c>
      <c r="F109" s="5136"/>
      <c r="G109" s="5136"/>
      <c r="H109" s="5136"/>
      <c r="I109" s="5136"/>
      <c r="J109" s="5136"/>
      <c r="K109" s="5137"/>
      <c r="L109" s="5115"/>
      <c r="M109" s="5115"/>
      <c r="N109" s="5115"/>
      <c r="O109" s="5113"/>
      <c r="R109" s="2436"/>
      <c r="S109" s="1563"/>
      <c r="T109" s="1563"/>
      <c r="U109" s="2435"/>
      <c r="V109" s="5491" t="s">
        <v>8889</v>
      </c>
      <c r="W109" s="5492"/>
      <c r="X109" s="5503">
        <f>IFERROR(VLOOKUP(V108,Tabla_CaracterísticasGéminis,4,0),0)</f>
        <v>0</v>
      </c>
      <c r="Y109" s="5508" t="s">
        <v>8886</v>
      </c>
      <c r="Z109" s="5495">
        <f>IFERROR(VLOOKUP(V108,Tabla_CaracterísticasGéminis,3,0)+IF(COUNTIF(W115:Z120,"Metal")&gt;0,4,0),0)</f>
        <v>0</v>
      </c>
      <c r="AA109" s="5065" t="str">
        <f>IFERROR(IF(OR(AC107="",Tablas!$H$982=0),"-",IF(AC107="Armas naturales",Principal!$H$24,IF(VLOOKUP(AC107,Tabla_ArmasyEscudos,9,0)="Conocida",Principal!$H$24,"-"))+AC119+5*MIN(4,COUNTIF(W115:Z120,"Capacidad de combate"))-10*MAX(0,AR110-Z114)),"-")</f>
        <v>-</v>
      </c>
      <c r="AB109" s="5067" t="str">
        <f>IFERROR(IF(OR(AC107="",Tablas!$H$982=0),"-",IF(AC107="Armas naturales",Principal!$H$26,IF(AND(AC109="Par",VLOOKUP(AC107,Tabla_ArmasyEscudos,9,0)&lt;&gt;"Conocida"),"-",Principal!$H$26))+AC120+5*MIN(4,COUNTIF(W115:Z120,"Capacidad de combate"))-IF(AC109="Par",10*MAX(0,AR110-Z114),0)),"-")</f>
        <v>-</v>
      </c>
      <c r="AC109" s="5069" t="str">
        <f>IF(OR(AC107="",Tablas!$H$982=0),"",IF(Principal!$F$26="H. Esquiva:","Esq","Par"))</f>
        <v/>
      </c>
      <c r="AD109" s="5528" t="str">
        <f>IFERROR(IF(OR(AC107="",Tablas!$H$982=0),"-",IF(AC107="Armas naturales",Turno_Nat_final-20+AO118,Turno_Nat_final-20+IF(ISNA(AU111),AU110,IF(AU110=AU111,AU110-10,MIN(AU110,AU111))))),"-")</f>
        <v>-</v>
      </c>
      <c r="AE109" s="5489"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65" t="str">
        <f>IFERROR(IF(OR(AH107="",Tablas!$H$982=0),"-",IF(AH107="Armas naturales",Principal!$H$24,IF(VLOOKUP(AH107,Tabla_ArmasyEscudos,9,0)="Conocida",Principal!$H$24,"-"))+AH119+5*MIN(4,COUNTIF(W115:Z120,"Capacidad de combate"))-10*MAX(0,AR111-Z114)),"-")</f>
        <v>-</v>
      </c>
      <c r="AG109" s="5067" t="str">
        <f>IFERROR(IF(OR(AH107="",Tablas!$H$982=0),"-",IF(AH107="Armas naturales",Principal!$H$26,IF(AND(AH109="Par",VLOOKUP(AH107,Tabla_ArmasyEscudos,9,0)&lt;&gt;"Conocida"),"-",Principal!$H$26))+AH120+5*MIN(4,COUNTIF(W115:Z120,"Capacidad de combate"))-IF(AH109="Par",10*MAX(0,AR111-Z114),0)),"-")</f>
        <v>-</v>
      </c>
      <c r="AH109" s="5069" t="str">
        <f>IF(OR(AH107="",Tablas!$H$982=0),"",IF(Principal!$F$26="H. Esquiva","Esq","Par"))</f>
        <v/>
      </c>
      <c r="AI109" s="5528" t="s">
        <v>1587</v>
      </c>
      <c r="AJ109" s="5489"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6"/>
      <c r="AM109" s="1986"/>
      <c r="AN109" s="1986" t="s">
        <v>8898</v>
      </c>
      <c r="AO109" s="1986"/>
      <c r="AP109" s="1986"/>
      <c r="AQ109" s="1986" t="s">
        <v>8906</v>
      </c>
      <c r="AR109" s="1986" t="s">
        <v>8908</v>
      </c>
      <c r="AS109" s="1986" t="s">
        <v>8907</v>
      </c>
      <c r="AT109" s="1986" t="s">
        <v>1375</v>
      </c>
      <c r="AU109" s="1986" t="s">
        <v>8909</v>
      </c>
      <c r="AV109" s="1986"/>
      <c r="AW109" s="1986"/>
      <c r="AX109" s="1986"/>
      <c r="AY109" s="1986"/>
      <c r="AZ109" s="1986"/>
      <c r="BA109" s="1986"/>
      <c r="BB109" s="1986"/>
      <c r="BC109" s="1986"/>
      <c r="BD109" s="1986"/>
      <c r="BE109" s="1986"/>
    </row>
    <row r="110" spans="1:57" ht="12" customHeight="1" thickBot="1" x14ac:dyDescent="0.25">
      <c r="A110" s="1076"/>
      <c r="B110" s="542"/>
      <c r="E110" s="5129"/>
      <c r="F110" s="5130"/>
      <c r="G110" s="5130"/>
      <c r="H110" s="5130"/>
      <c r="I110" s="5130"/>
      <c r="J110" s="5131"/>
      <c r="K110" s="1926"/>
      <c r="L110" s="5115"/>
      <c r="M110" s="5115"/>
      <c r="N110" s="5115"/>
      <c r="O110" s="5113"/>
      <c r="R110" s="1562"/>
      <c r="S110" s="1563"/>
      <c r="T110" s="1563"/>
      <c r="U110" s="1096"/>
      <c r="V110" s="5493"/>
      <c r="W110" s="5494"/>
      <c r="X110" s="5504"/>
      <c r="Y110" s="5509"/>
      <c r="Z110" s="5496"/>
      <c r="AA110" s="5066"/>
      <c r="AB110" s="5068"/>
      <c r="AC110" s="5070"/>
      <c r="AD110" s="5529"/>
      <c r="AE110" s="5490"/>
      <c r="AF110" s="5066"/>
      <c r="AG110" s="5068"/>
      <c r="AH110" s="5070"/>
      <c r="AI110" s="5529"/>
      <c r="AJ110" s="5490"/>
      <c r="AK110" s="838"/>
      <c r="AL110" s="2456"/>
      <c r="AM110" s="1986"/>
      <c r="AN110" s="1986" t="str">
        <f>ADDRESS(ROW(AN111),COLUMN(AN111))&amp;":"&amp;IF(AN115="",ADDRESS(ROW(AN113),COLUMN(AN113)),ADDRESS(ROW(AN115),COLUMN(AN115)))</f>
        <v>$AN$111:$AN$113</v>
      </c>
      <c r="AO110" s="1986"/>
      <c r="AP110" s="1986">
        <f>AC107</f>
        <v>0</v>
      </c>
      <c r="AQ110" s="1986" t="str">
        <f>IF(OR(AA107="A 2 manos",AA107="Proy. 2M"),"2M","")</f>
        <v/>
      </c>
      <c r="AR110" s="1986">
        <f>IFERROR(VLOOKUP(AC107,Tabla_ArmasyEscudos,IF(AQ110="2M",5,4),0),0)</f>
        <v>0</v>
      </c>
      <c r="AS110" s="1986">
        <f>IFERROR(IF(VLOOKUP(AC107,Tabla_ArmasyEscudos,18,0)&gt;0,VLOOKUP(AC107,Tabla_ArmasyEscudos,18,0)+AB113/5,0),0)</f>
        <v>0</v>
      </c>
      <c r="AT110" s="1986">
        <f>IF(AS110&lt;1,0,VLOOKUP(AS110,Tablas!$C$14:$D$33,2))</f>
        <v>0</v>
      </c>
      <c r="AU110" s="1986" t="e">
        <f>VLOOKUP(AC107,Tabla_ArmasyEscudos,3,FALSE)+AE119</f>
        <v>#N/A</v>
      </c>
      <c r="AV110" s="1986"/>
      <c r="AW110" s="1986"/>
      <c r="AX110" s="1986"/>
      <c r="AY110" s="1986"/>
      <c r="AZ110" s="1986"/>
      <c r="BA110" s="1986"/>
      <c r="BB110" s="1986"/>
      <c r="BC110" s="1986"/>
      <c r="BD110" s="1986"/>
      <c r="BE110" s="1986"/>
    </row>
    <row r="111" spans="1:57" ht="12" customHeight="1" x14ac:dyDescent="0.2">
      <c r="A111" s="1076"/>
      <c r="B111" s="542"/>
      <c r="E111" s="5110"/>
      <c r="F111" s="5111"/>
      <c r="G111" s="5111"/>
      <c r="H111" s="5111"/>
      <c r="I111" s="5111"/>
      <c r="J111" s="5112"/>
      <c r="K111" s="1933"/>
      <c r="L111" s="5115"/>
      <c r="M111" s="5115"/>
      <c r="N111" s="5115"/>
      <c r="O111" s="5113"/>
      <c r="R111" s="1562"/>
      <c r="S111" s="1563"/>
      <c r="T111" s="1563"/>
      <c r="U111" s="1096"/>
      <c r="V111" s="5520" t="s">
        <v>8894</v>
      </c>
      <c r="W111" s="2422"/>
      <c r="X111" s="2528" t="s">
        <v>1373</v>
      </c>
      <c r="Y111" s="2528" t="s">
        <v>8895</v>
      </c>
      <c r="Z111" s="2528" t="s">
        <v>1357</v>
      </c>
      <c r="AA111" s="2514" t="s">
        <v>8902</v>
      </c>
      <c r="AB111" s="2515" t="s">
        <v>8903</v>
      </c>
      <c r="AC111" s="2515" t="s">
        <v>1566</v>
      </c>
      <c r="AD111" s="2515" t="s">
        <v>1579</v>
      </c>
      <c r="AE111" s="1573" t="s">
        <v>1567</v>
      </c>
      <c r="AF111" s="2514" t="s">
        <v>8902</v>
      </c>
      <c r="AG111" s="2515" t="s">
        <v>8903</v>
      </c>
      <c r="AH111" s="2515" t="s">
        <v>1566</v>
      </c>
      <c r="AI111" s="2515" t="s">
        <v>1579</v>
      </c>
      <c r="AJ111" s="1573" t="s">
        <v>1567</v>
      </c>
      <c r="AK111" s="838"/>
      <c r="AL111" s="2456"/>
      <c r="AM111" s="1986"/>
      <c r="AN111" s="1986" t="s">
        <v>1977</v>
      </c>
      <c r="AO111" s="1986"/>
      <c r="AP111" s="1986">
        <f>AH107</f>
        <v>0</v>
      </c>
      <c r="AQ111" s="1986" t="str">
        <f>IF(OR(AF107="A 2 manos",AF107="Proy. 2M"),"2M","")</f>
        <v/>
      </c>
      <c r="AR111" s="1986">
        <f>IFERROR(VLOOKUP(AH107,Tabla_ArmasyEscudos,IF(AQ111="2M",5,4),0),0)</f>
        <v>0</v>
      </c>
      <c r="AS111" s="1986">
        <f>IFERROR(IF(VLOOKUP(AC109,Tabla_ArmasyEscudos,18,0)&gt;0,VLOOKUP(AC109,Tabla_ArmasyEscudos,18,0)+AG113/5,0),0)</f>
        <v>0</v>
      </c>
      <c r="AT111" s="1986">
        <f>IF(AS111&lt;1,0,VLOOKUP(AS111,Tablas!$C$14:$D$33,2))</f>
        <v>0</v>
      </c>
      <c r="AU111" s="1986" t="e">
        <f>VLOOKUP(AH107,Tabla_ArmasyEscudos,3,FALSE)+AJ119</f>
        <v>#N/A</v>
      </c>
      <c r="AV111" s="1986"/>
      <c r="AW111" s="1986"/>
      <c r="AX111" s="1986"/>
      <c r="AY111" s="1986"/>
      <c r="AZ111" s="1986"/>
      <c r="BA111" s="1986"/>
      <c r="BB111" s="1986"/>
      <c r="BC111" s="1986"/>
      <c r="BD111" s="1986"/>
      <c r="BE111" s="1986"/>
    </row>
    <row r="112" spans="1:57" ht="12" customHeight="1" x14ac:dyDescent="0.2">
      <c r="A112" s="1076"/>
      <c r="B112" s="542"/>
      <c r="E112" s="5123"/>
      <c r="F112" s="5124"/>
      <c r="G112" s="5124"/>
      <c r="H112" s="5124"/>
      <c r="I112" s="5124"/>
      <c r="J112" s="5125"/>
      <c r="K112" s="1934"/>
      <c r="L112" s="5115"/>
      <c r="M112" s="5115"/>
      <c r="N112" s="5115"/>
      <c r="O112" s="5113"/>
      <c r="R112" s="1562"/>
      <c r="S112" s="1563"/>
      <c r="T112" s="1563"/>
      <c r="U112" s="1096"/>
      <c r="V112" s="5505"/>
      <c r="W112" s="1646" t="s">
        <v>1381</v>
      </c>
      <c r="X112" s="1945" t="str">
        <f>IF(Tablas!$H$982=0,"-",IF(Zen,DES,MIN(13,DES)))</f>
        <v>-</v>
      </c>
      <c r="Y112" s="2623"/>
      <c r="Z112" s="1947" t="str">
        <f>IFERROR(MIN(X112+Y112,IF(Zen,20,13)),"-")</f>
        <v>-</v>
      </c>
      <c r="AA112" s="1576" t="str">
        <f>IFERROR(IF(AC107="Armas naturales",IF(AD116="","-",AD116),VLOOKUP(AC107,Tabla_ArmasyEscudos,6,0)),"-")</f>
        <v>-</v>
      </c>
      <c r="AB112" s="2529" t="str">
        <f>IFERROR(IF(AC107="Armas naturales",IF(AD117="","-",AD117),VLOOKUP(AC107,Tabla_ArmasyEscudos,7,0)),"-")</f>
        <v>-</v>
      </c>
      <c r="AC112" s="2530" t="str">
        <f>IFERROR(IF(OR(AC107="",Tablas!$H$982=0),"-",IF(AC107="Armas naturales",AO119,VLOOKUP(AC107,Tabla_ArmasyEscudos,10,0)+10*AB113/5&amp;IFERROR("/"&amp;VLOOKUP(AD116,Tabla_ArmasyEscudos,10,0)+10*AD117/5,""))),"-")</f>
        <v>-</v>
      </c>
      <c r="AD112" s="2530" t="str">
        <f>IFERROR(IF(OR(AC107="",Tablas!$H$982=0),"-",IF(AC107="Armas naturales",AO120,VLOOKUP(AC107,Tabla_ArmasyEscudos,11,0)+2*AB113/5&amp;IFERROR("/"&amp;VLOOKUP(AD116,Tabla_ArmasyEscudos,11,0)+2*AD117/5,""))),"-")</f>
        <v>-</v>
      </c>
      <c r="AE112" s="2516"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9" t="str">
        <f>IFERROR(IF(AH107="Armas naturales",IF(AI117="","-",AI117),VLOOKUP(AH107,Tabla_ArmasyEscudos,7,0)),"-")</f>
        <v>-</v>
      </c>
      <c r="AH112" s="2530" t="str">
        <f>IFERROR(IF(OR(AH107="",Tablas!$H$982=0),"-",IF(AH107="Armas naturales",AT119,VLOOKUP(AH107,Tabla_ArmasyEscudos,10,0)+10*AG113/5&amp;IFERROR("/"&amp;VLOOKUP(AI116,Tabla_ArmasyEscudos,10,0)+10*AI117/5,""))),"-")</f>
        <v>-</v>
      </c>
      <c r="AI112" s="2530" t="str">
        <f>IFERROR(IF(OR(AH107="",Tablas!$H$982=0),"-",IF(AH107="Armas naturales",AT120,VLOOKUP(AH107,Tabla_ArmasyEscudos,11,0)+2*AG113/5&amp;IFERROR("/"&amp;VLOOKUP(AI116,Tabla_ArmasyEscudos,11,0)+2*AI117/5,""))),"-")</f>
        <v>-</v>
      </c>
      <c r="AJ112" s="2516" t="str">
        <f>IFERROR(IF(OR(AH107="",Tablas!$H$982=0),"-",IF(AH107="Armas naturales",Presencia_final,VLOOKUP(AH107,Tabla_ArmasyEscudos,12,0)+50*MAX(AG113/5,0)&amp;IFERROR("/"&amp;VLOOKUP(AI116,Tabla_ArmasyEscudos,12,0)+50*MAX(AI117/5,0),""))),"-")</f>
        <v>-</v>
      </c>
      <c r="AK112" s="838"/>
      <c r="AL112" s="2456"/>
      <c r="AM112" s="1986"/>
      <c r="AN112" s="1986" t="s">
        <v>1978</v>
      </c>
      <c r="AO112" s="1986"/>
      <c r="AP112" s="1986"/>
      <c r="AQ112" s="1986"/>
      <c r="AR112" s="1986"/>
      <c r="AS112" s="1986"/>
      <c r="AT112" s="1986"/>
      <c r="AU112" s="1986"/>
      <c r="AV112" s="1986"/>
      <c r="AW112" s="1986"/>
      <c r="AX112" s="1986"/>
      <c r="AY112" s="1986"/>
      <c r="AZ112" s="1986"/>
      <c r="BA112" s="1986"/>
      <c r="BB112" s="1986"/>
      <c r="BC112" s="1986"/>
      <c r="BD112" s="1986"/>
      <c r="BE112" s="1986"/>
    </row>
    <row r="113" spans="1:57" ht="12" customHeight="1" x14ac:dyDescent="0.2">
      <c r="A113" s="1076"/>
      <c r="B113" s="542"/>
      <c r="E113" s="5120"/>
      <c r="F113" s="5121"/>
      <c r="G113" s="5121"/>
      <c r="H113" s="5121"/>
      <c r="I113" s="5121"/>
      <c r="J113" s="5122"/>
      <c r="K113" s="1934"/>
      <c r="L113" s="5115"/>
      <c r="M113" s="5115"/>
      <c r="N113" s="5115"/>
      <c r="O113" s="5113"/>
      <c r="R113" s="1562"/>
      <c r="S113" s="1563"/>
      <c r="T113" s="1563"/>
      <c r="U113" s="1096"/>
      <c r="V113" s="5505"/>
      <c r="W113" s="1646" t="s">
        <v>1386</v>
      </c>
      <c r="X113" s="1946" t="str">
        <f>IF(Tablas!$H$982=0,"-",IF(Zen,DES,MIN(13,DES)))</f>
        <v>-</v>
      </c>
      <c r="Y113" s="2624"/>
      <c r="Z113" s="2531" t="str">
        <f>IFERROR(MIN(X113+Y113,IF(Zen,20,13)),"-")</f>
        <v>-</v>
      </c>
      <c r="AA113" s="1949" t="str">
        <f>IF(AND(AC107&lt;&gt;"",AC107&lt;&gt;"Armas naturales"),"Calidad:","")</f>
        <v/>
      </c>
      <c r="AB113" s="1951"/>
      <c r="AC113" s="5507" t="str">
        <f>IF(AA117="Calidad munición:",IF(AD117&lt;=0,"","TA defensor:"),IF(AB113&lt;=0,"","TA defensor:"))</f>
        <v/>
      </c>
      <c r="AD113" s="5507"/>
      <c r="AE113" s="2423" t="str">
        <f>IF(AC113="TA defensor:",IF(AA117="Calidad munición:",AD117/(-5),AB113/(-5)),"")</f>
        <v/>
      </c>
      <c r="AF113" s="1949" t="str">
        <f>IF(AND(AH107&lt;&gt;"",AH107&lt;&gt;"Armas naturales"),"Calidad:","")</f>
        <v/>
      </c>
      <c r="AG113" s="1951"/>
      <c r="AH113" s="5507" t="str">
        <f>IF(AF117="Calidad munición:",IF(AI117&lt;=0,"","TA defensor:"),IF(AG113&lt;=0,"","TA defensor:"))</f>
        <v/>
      </c>
      <c r="AI113" s="5507"/>
      <c r="AJ113" s="2423" t="str">
        <f>IF(AH113="TA defensor:",IF(AF117="Calidad munición:",AI117/(-5),AG113/(-5)),"")</f>
        <v/>
      </c>
      <c r="AK113" s="838"/>
      <c r="AL113" s="2456"/>
      <c r="AM113" s="1986"/>
      <c r="AN113" s="1986" t="s">
        <v>1737</v>
      </c>
      <c r="AO113" s="1986"/>
      <c r="AP113" s="1986"/>
      <c r="AQ113" s="1986"/>
      <c r="AR113" s="1986"/>
      <c r="AS113" s="1986"/>
      <c r="AT113" s="1986"/>
      <c r="AU113" s="1986"/>
      <c r="AV113" s="1986"/>
      <c r="AW113" s="1986"/>
      <c r="AX113" s="1986"/>
      <c r="AY113" s="1986"/>
      <c r="AZ113" s="1986"/>
      <c r="BA113" s="1986"/>
      <c r="BB113" s="1986"/>
      <c r="BC113" s="1986"/>
      <c r="BD113" s="1986"/>
      <c r="BE113" s="1986"/>
    </row>
    <row r="114" spans="1:57" ht="12" customHeight="1" thickBot="1" x14ac:dyDescent="0.25">
      <c r="A114" s="1076"/>
      <c r="B114" s="542"/>
      <c r="E114" s="5110"/>
      <c r="F114" s="5111"/>
      <c r="G114" s="5111"/>
      <c r="H114" s="5111"/>
      <c r="I114" s="5111"/>
      <c r="J114" s="5112"/>
      <c r="K114" s="1927"/>
      <c r="L114" s="5115"/>
      <c r="M114" s="5115"/>
      <c r="N114" s="5115"/>
      <c r="O114" s="5113"/>
      <c r="R114" s="1562"/>
      <c r="S114" s="1563"/>
      <c r="T114" s="1563"/>
      <c r="U114" s="1096"/>
      <c r="V114" s="5506"/>
      <c r="W114" s="1647" t="s">
        <v>1391</v>
      </c>
      <c r="X114" s="2424" t="str">
        <f>IF(Tablas!$H$982=0,"-",IF(Zen,FUE-2,MIN(11,FUE-2)))</f>
        <v>-</v>
      </c>
      <c r="Y114" s="2625"/>
      <c r="Z114" s="2513" t="str">
        <f>IFERROR(MIN(20,MIN(X114+Y114,IF(Zen,20,13))+IF(COUNTIF(W115:Z120,"Fuerza excepcional")&gt;0,IF(X114+6&lt;15,6,MAX(15-X114,0)),0)),"-")</f>
        <v>-</v>
      </c>
      <c r="AA114" s="5522" t="str">
        <f>IFERROR(IF(AC107="Armas naturales","",VLOOKUP(AC107,Tabla_ArmasyEscudos,19,0)),"")</f>
        <v/>
      </c>
      <c r="AB114" s="5523"/>
      <c r="AC114" s="5523"/>
      <c r="AD114" s="5523"/>
      <c r="AE114" s="5524"/>
      <c r="AF114" s="5522" t="str">
        <f>IFERROR(IF(AH107="Armas naturales","",VLOOKUP(AH107,Tabla_ArmasyEscudos,19,0)),"")</f>
        <v/>
      </c>
      <c r="AG114" s="5523"/>
      <c r="AH114" s="5523"/>
      <c r="AI114" s="5523"/>
      <c r="AJ114" s="5524"/>
      <c r="AK114" s="838"/>
      <c r="AL114" s="2456"/>
      <c r="AM114" s="1986"/>
      <c r="AN114" s="1986" t="str">
        <f>IF(COUNTIF(W115:Z120,"Tamaño excepcional")&gt;0,"Grande","")</f>
        <v/>
      </c>
      <c r="AO114" s="1986"/>
      <c r="AP114" s="1986"/>
      <c r="AQ114" s="1986"/>
      <c r="AR114" s="1986"/>
      <c r="AS114" s="1986"/>
      <c r="AT114" s="1986"/>
      <c r="AU114" s="1986"/>
      <c r="AV114" s="1986"/>
      <c r="AW114" s="1986"/>
      <c r="AX114" s="1986"/>
      <c r="AY114" s="1986"/>
      <c r="AZ114" s="1986"/>
      <c r="BA114" s="1986"/>
      <c r="BB114" s="1986"/>
      <c r="BC114" s="1986"/>
      <c r="BD114" s="1986"/>
      <c r="BE114" s="1986"/>
    </row>
    <row r="115" spans="1:57" ht="12" customHeight="1" x14ac:dyDescent="0.2">
      <c r="A115" s="1076"/>
      <c r="B115" s="542"/>
      <c r="E115" s="5120"/>
      <c r="F115" s="5121"/>
      <c r="G115" s="5121"/>
      <c r="H115" s="5121"/>
      <c r="I115" s="5121"/>
      <c r="J115" s="5122"/>
      <c r="K115" s="1933"/>
      <c r="L115" s="5115"/>
      <c r="M115" s="5115"/>
      <c r="N115" s="5115"/>
      <c r="O115" s="5113"/>
      <c r="R115" s="1562"/>
      <c r="S115" s="1563"/>
      <c r="T115" s="1563"/>
      <c r="U115" s="1096"/>
      <c r="V115" s="5505" t="s">
        <v>8874</v>
      </c>
      <c r="W115" s="3935"/>
      <c r="X115" s="3935"/>
      <c r="Y115" s="3935"/>
      <c r="Z115" s="3935"/>
      <c r="AA115" s="5530" t="str">
        <f>IFERROR(VLOOKUP(AD116,Tabla_ArmasyEscudos,19,0),"")</f>
        <v/>
      </c>
      <c r="AB115" s="5531"/>
      <c r="AC115" s="5531"/>
      <c r="AD115" s="5531"/>
      <c r="AE115" s="5532"/>
      <c r="AF115" s="5530" t="str">
        <f>IFERROR(VLOOKUP(AI116,Tabla_ArmasyEscudos,19,0),"")</f>
        <v/>
      </c>
      <c r="AG115" s="5531"/>
      <c r="AH115" s="5531"/>
      <c r="AI115" s="5531"/>
      <c r="AJ115" s="5532"/>
      <c r="AK115" s="838"/>
      <c r="AL115" s="1564"/>
      <c r="AM115" s="1986"/>
      <c r="AN115" s="1986" t="str">
        <f>IF(COUNTIF(W115:Z120,"Tamaño excepcional")&gt;0,"Enorme","")</f>
        <v/>
      </c>
      <c r="AO115" s="1986"/>
      <c r="AP115" s="1986"/>
      <c r="AQ115" s="1986"/>
      <c r="AR115" s="1986"/>
      <c r="AS115" s="1986"/>
      <c r="AT115" s="1986"/>
      <c r="AU115" s="1986"/>
      <c r="AV115" s="1986"/>
      <c r="AW115" s="1986"/>
      <c r="AX115" s="1986"/>
      <c r="AY115" s="1986"/>
      <c r="AZ115" s="1986"/>
      <c r="BA115" s="1986"/>
      <c r="BB115" s="1986"/>
      <c r="BC115" s="1986"/>
      <c r="BD115" s="1986"/>
      <c r="BE115" s="1986"/>
    </row>
    <row r="116" spans="1:57" ht="12" customHeight="1" thickBot="1" x14ac:dyDescent="0.25">
      <c r="A116" s="1076"/>
      <c r="B116" s="542"/>
      <c r="E116" s="5132"/>
      <c r="F116" s="5133"/>
      <c r="G116" s="5133"/>
      <c r="H116" s="5133"/>
      <c r="I116" s="5133"/>
      <c r="J116" s="5134"/>
      <c r="K116" s="2432"/>
      <c r="L116" s="5116"/>
      <c r="M116" s="5116"/>
      <c r="N116" s="5116"/>
      <c r="O116" s="5114"/>
      <c r="R116" s="1562"/>
      <c r="S116" s="1563"/>
      <c r="T116" s="1563"/>
      <c r="U116" s="1096"/>
      <c r="V116" s="5505"/>
      <c r="W116" s="5517"/>
      <c r="X116" s="5518"/>
      <c r="Y116" s="5518"/>
      <c r="Z116" s="5519"/>
      <c r="AA116" s="4551" t="str">
        <f>IFERROR(IF(AC107="Armas naturales", "Armas naturales Crit. 1:",IF(ISNUMBER(FIND("Proyectiles",VLOOKUP(AC107,Tabla_ArmasyEscudos,8,0))),"Munición:","")),"")</f>
        <v/>
      </c>
      <c r="AB116" s="4484"/>
      <c r="AC116" s="4484"/>
      <c r="AD116" s="5510"/>
      <c r="AE116" s="5511"/>
      <c r="AF116" s="4551" t="str">
        <f>IFERROR(IF(AH107="Armas naturales", "Armas naturales Crit. 1:",IF(ISNUMBER(FIND("Proyectiles",VLOOKUP(AH107,Tabla_ArmasyEscudos,8,0))),"Munición:","")),"")</f>
        <v/>
      </c>
      <c r="AG116" s="4484"/>
      <c r="AH116" s="4484"/>
      <c r="AI116" s="5510"/>
      <c r="AJ116" s="5511"/>
      <c r="AK116" s="1948"/>
      <c r="AL116" s="1564"/>
      <c r="AM116" s="1986"/>
      <c r="AN116" s="5062" t="s">
        <v>1928</v>
      </c>
      <c r="AO116" s="5062"/>
      <c r="AP116" s="1986"/>
      <c r="AQ116" s="1986"/>
      <c r="AR116" s="1986"/>
      <c r="AS116" s="1986"/>
      <c r="AT116" s="1986"/>
      <c r="AU116" s="1986"/>
      <c r="AV116" s="1986"/>
      <c r="AW116" s="1986"/>
      <c r="AX116" s="1986"/>
      <c r="AY116" s="1986"/>
      <c r="AZ116" s="1986"/>
      <c r="BA116" s="1986"/>
      <c r="BB116" s="1986"/>
      <c r="BC116" s="1986"/>
      <c r="BD116" s="1986"/>
      <c r="BE116" s="1986"/>
    </row>
    <row r="117" spans="1:57" ht="12" customHeight="1" x14ac:dyDescent="0.2">
      <c r="A117" s="1076"/>
      <c r="B117" s="542"/>
      <c r="R117" s="1562"/>
      <c r="S117" s="1563"/>
      <c r="T117" s="1563"/>
      <c r="U117" s="1096"/>
      <c r="V117" s="5505"/>
      <c r="W117" s="5517"/>
      <c r="X117" s="5518"/>
      <c r="Y117" s="5518"/>
      <c r="Z117" s="5519"/>
      <c r="AA117" s="5214" t="str">
        <f>IFERROR(IF(AC107="Armas naturales", "Armas naturales Crit. 2:",IF(ISNUMBER(FIND("Proyectiles",VLOOKUP(AC107,Tabla_ArmasyEscudos,8,0))),"Calidad Munición:","")),"")</f>
        <v/>
      </c>
      <c r="AB117" s="5521"/>
      <c r="AC117" s="5521"/>
      <c r="AD117" s="5512"/>
      <c r="AE117" s="5513"/>
      <c r="AF117" s="5214" t="str">
        <f>IFERROR(IF(AH107="Armas naturales", "Armas naturales Crit. 2:",IF(ISNUMBER(FIND("Proyectiles",VLOOKUP(AH107,Tabla_ArmasyEscudos,8,0))),"Calidad Munición:","")),"")</f>
        <v/>
      </c>
      <c r="AG117" s="5521"/>
      <c r="AH117" s="5521"/>
      <c r="AI117" s="5512"/>
      <c r="AJ117" s="5513"/>
      <c r="AK117" s="838"/>
      <c r="AL117" s="1564"/>
      <c r="AM117" s="1986"/>
      <c r="AN117" s="1986" t="s">
        <v>8900</v>
      </c>
      <c r="AO117" s="1986">
        <f>VLOOKUP(AF106,Tablas!$X$47:$AF$54,7,0)</f>
        <v>40</v>
      </c>
      <c r="AP117" s="1986"/>
      <c r="AQ117" s="1986"/>
      <c r="AR117" s="1986"/>
      <c r="AS117" s="1986"/>
      <c r="AT117" s="1986" t="s">
        <v>1464</v>
      </c>
      <c r="AU117" s="1986"/>
      <c r="AV117" s="1986"/>
      <c r="AW117" s="1986"/>
      <c r="AX117" s="1986"/>
      <c r="AY117" s="1986"/>
      <c r="AZ117" s="1986"/>
      <c r="BA117" s="1986"/>
      <c r="BB117" s="1986"/>
      <c r="BC117" s="1986"/>
      <c r="BD117" s="1986"/>
      <c r="BE117" s="1986"/>
    </row>
    <row r="118" spans="1:57" ht="12" customHeight="1" thickBot="1" x14ac:dyDescent="0.25">
      <c r="A118" s="1076"/>
      <c r="B118" s="542"/>
      <c r="R118" s="1562"/>
      <c r="S118" s="1563"/>
      <c r="T118" s="1563"/>
      <c r="U118" s="1096"/>
      <c r="V118" s="5505"/>
      <c r="W118" s="3935"/>
      <c r="X118" s="3935"/>
      <c r="Y118" s="3935"/>
      <c r="Z118" s="3935"/>
      <c r="AA118" s="1195" t="str">
        <f>IF(ISNUMBER(FIND("Proyectiles",VLOOKUP(AC107,Tabla_ArmasyEscudos,8,0))),"Rango:","")</f>
        <v/>
      </c>
      <c r="AB118" s="2532" t="str">
        <f>IFERROR(IF(AA118="Rango:",VLOOKUP(AC107,Tabla_ArmasyEscudos,17,0)+IF(AS110&gt;0,VLOOKUP(AS110,Tabla_AlcanceFUE,2,0),VLOOKUP(Z114,Tabla_AlcanceFUE,2,0))&amp;" m",""),"")</f>
        <v/>
      </c>
      <c r="AC118" s="5486" t="str">
        <f>IF(ISNUMBER(FIND("Proyectiles",VLOOKUP(AC107,Tabla_ArmasyEscudos,8,0))),"Recarga:","")</f>
        <v/>
      </c>
      <c r="AD118" s="5486"/>
      <c r="AE118" s="2512" t="str">
        <f>IFERROR(IF(AC118="Recarga:",VLOOKUP(AC107,Tabla_ArmasyEscudos,16,0),""),"")</f>
        <v/>
      </c>
      <c r="AF118" s="1195" t="str">
        <f>IF(ISNUMBER(FIND("Proyectiles",VLOOKUP(AH107,Tabla_ArmasyEscudos,8,0))),"Rango:","")</f>
        <v/>
      </c>
      <c r="AG118" s="2531" t="str">
        <f>IFERROR(IF(AF118="Rango:",VLOOKUP(AH107,Tabla_ArmasyEscudos,17,0)+IF(AS111&gt;0,VLOOKUP(AS111,Tabla_AlcanceFUE,2,0),VLOOKUP(Z114,Tabla_AlcanceFUE,2,0))&amp;" m",""),"")</f>
        <v/>
      </c>
      <c r="AH118" s="5486" t="str">
        <f>IF(ISNUMBER(FIND("Proyectiles",VLOOKUP(AH107,Tabla_ArmasyEscudos,8,0))),"Recarga:","")</f>
        <v/>
      </c>
      <c r="AI118" s="5486"/>
      <c r="AJ118" s="2512" t="str">
        <f>IFERROR(IF(AH118="Recarga:",VLOOKUP(AH107,Tabla_ArmasyEscudos,16,0),""),"")</f>
        <v/>
      </c>
      <c r="AK118" s="838"/>
      <c r="AL118" s="1564"/>
      <c r="AM118" s="1986"/>
      <c r="AN118" s="1986" t="s">
        <v>1401</v>
      </c>
      <c r="AO118" s="1986">
        <f>MIN(VLOOKUP(AF106,Tablas!$X$47:$AF$54,2,0),20)</f>
        <v>20</v>
      </c>
      <c r="AP118" s="1986"/>
      <c r="AQ118" s="1986"/>
      <c r="AR118" s="1986"/>
      <c r="AS118" s="1986"/>
      <c r="AT118" s="1986" t="s">
        <v>1464</v>
      </c>
      <c r="AU118" s="1986"/>
      <c r="AV118" s="1986"/>
      <c r="AW118" s="1986"/>
      <c r="AX118" s="1986"/>
      <c r="AY118" s="1986"/>
      <c r="AZ118" s="1986"/>
      <c r="BA118" s="1986"/>
      <c r="BB118" s="1986"/>
      <c r="BC118" s="1986"/>
      <c r="BD118" s="1986"/>
      <c r="BE118" s="1986"/>
    </row>
    <row r="119" spans="1:57" ht="12" customHeight="1" x14ac:dyDescent="0.2">
      <c r="A119" s="1076"/>
      <c r="B119" s="542"/>
      <c r="C119" s="5036" t="s">
        <v>9912</v>
      </c>
      <c r="D119" s="5037"/>
      <c r="E119" s="5037"/>
      <c r="F119" s="5037"/>
      <c r="G119" s="5037"/>
      <c r="H119" s="5037"/>
      <c r="I119" s="5037"/>
      <c r="J119" s="5037"/>
      <c r="K119" s="5037"/>
      <c r="L119" s="5037"/>
      <c r="M119" s="5037"/>
      <c r="N119" s="5037"/>
      <c r="O119" s="5037"/>
      <c r="P119" s="5037"/>
      <c r="Q119" s="5038"/>
      <c r="R119" s="1562"/>
      <c r="S119" s="1563"/>
      <c r="T119" s="1563"/>
      <c r="U119" s="1096"/>
      <c r="V119" s="5505"/>
      <c r="W119" s="5517"/>
      <c r="X119" s="5518"/>
      <c r="Y119" s="5518"/>
      <c r="Z119" s="5519"/>
      <c r="AA119" s="5487" t="s">
        <v>1004</v>
      </c>
      <c r="AB119" s="2427" t="s">
        <v>7483</v>
      </c>
      <c r="AC119" s="2598"/>
      <c r="AD119" s="2427" t="s">
        <v>1401</v>
      </c>
      <c r="AE119" s="2596"/>
      <c r="AF119" s="5487" t="s">
        <v>1004</v>
      </c>
      <c r="AG119" s="2427" t="s">
        <v>7483</v>
      </c>
      <c r="AH119" s="2598"/>
      <c r="AI119" s="2427" t="s">
        <v>1401</v>
      </c>
      <c r="AJ119" s="2596"/>
      <c r="AK119" s="838"/>
      <c r="AL119" s="1564"/>
      <c r="AM119" s="1986"/>
      <c r="AN119" s="1986" t="s">
        <v>1976</v>
      </c>
      <c r="AO119" s="1986">
        <f>VLOOKUP(AF106,Tablas!$X$47:$AF$54,9,0)</f>
        <v>12</v>
      </c>
      <c r="AP119" s="1986"/>
      <c r="AQ119" s="1986"/>
      <c r="AR119" s="1986"/>
      <c r="AS119" s="1986"/>
      <c r="AT119" s="1986" t="s">
        <v>1464</v>
      </c>
      <c r="AU119" s="1986"/>
      <c r="AV119" s="1986"/>
      <c r="AW119" s="1986"/>
      <c r="AX119" s="1986"/>
      <c r="AY119" s="1986"/>
      <c r="AZ119" s="1986"/>
      <c r="BA119" s="1986"/>
      <c r="BB119" s="1986"/>
      <c r="BC119" s="1986"/>
      <c r="BD119" s="1986"/>
      <c r="BE119" s="1986"/>
    </row>
    <row r="120" spans="1:57" ht="12" customHeight="1" thickBot="1" x14ac:dyDescent="0.25">
      <c r="A120" s="1076"/>
      <c r="B120" s="542"/>
      <c r="C120" s="3806"/>
      <c r="D120" s="3807"/>
      <c r="E120" s="3807"/>
      <c r="F120" s="3807"/>
      <c r="G120" s="3807"/>
      <c r="H120" s="3807"/>
      <c r="I120" s="3807"/>
      <c r="J120" s="3807"/>
      <c r="K120" s="3807"/>
      <c r="L120" s="3807"/>
      <c r="M120" s="3807"/>
      <c r="N120" s="3807"/>
      <c r="O120" s="3807"/>
      <c r="P120" s="3807"/>
      <c r="Q120" s="3808"/>
      <c r="R120" s="1562"/>
      <c r="S120" s="1563"/>
      <c r="T120" s="1563"/>
      <c r="U120" s="1096"/>
      <c r="V120" s="5506"/>
      <c r="W120" s="5533"/>
      <c r="X120" s="5533"/>
      <c r="Y120" s="5533"/>
      <c r="Z120" s="5533"/>
      <c r="AA120" s="5488"/>
      <c r="AB120" s="1570" t="s">
        <v>8606</v>
      </c>
      <c r="AC120" s="2599"/>
      <c r="AD120" s="2533" t="s">
        <v>1575</v>
      </c>
      <c r="AE120" s="2597"/>
      <c r="AF120" s="5488"/>
      <c r="AG120" s="1570" t="s">
        <v>8606</v>
      </c>
      <c r="AH120" s="2599"/>
      <c r="AI120" s="2533" t="s">
        <v>1575</v>
      </c>
      <c r="AJ120" s="2597"/>
      <c r="AK120" s="838"/>
      <c r="AL120" s="1564"/>
      <c r="AM120" s="1986"/>
      <c r="AN120" s="1986" t="s">
        <v>1579</v>
      </c>
      <c r="AO120" s="1986">
        <f>VLOOKUP(AF106,Tablas!$X$47:$AF$54,8,0)</f>
        <v>0</v>
      </c>
      <c r="AP120" s="1986"/>
      <c r="AQ120" s="1986"/>
      <c r="AR120" s="1986"/>
      <c r="AS120" s="1986"/>
      <c r="AT120" s="1986" t="s">
        <v>1464</v>
      </c>
      <c r="AU120" s="1986"/>
      <c r="AV120" s="1986"/>
      <c r="AW120" s="1986"/>
      <c r="AX120" s="1986"/>
      <c r="AY120" s="1986"/>
      <c r="AZ120" s="1986"/>
      <c r="BA120" s="1986"/>
      <c r="BB120" s="1986"/>
      <c r="BC120" s="1986"/>
      <c r="BD120" s="1986"/>
      <c r="BE120" s="1986"/>
    </row>
    <row r="121" spans="1:57" ht="12" customHeight="1" thickBot="1" x14ac:dyDescent="0.25">
      <c r="A121" s="1076"/>
      <c r="B121" s="542"/>
      <c r="R121" s="1562"/>
      <c r="S121" s="1563"/>
      <c r="T121" s="1563"/>
      <c r="U121" s="1096"/>
      <c r="AJ121" s="2438"/>
      <c r="AK121" s="838"/>
      <c r="AL121" s="1581"/>
      <c r="AM121" s="1986"/>
      <c r="AN121" s="1986"/>
      <c r="AO121" s="1986"/>
      <c r="AP121" s="2789"/>
      <c r="AQ121" s="2789"/>
      <c r="AR121" s="2789"/>
      <c r="AS121" s="2789"/>
      <c r="AT121" s="2789"/>
      <c r="AU121" s="2789"/>
      <c r="AV121" s="1986"/>
      <c r="AW121" s="1986"/>
      <c r="AX121" s="1986"/>
      <c r="AY121" s="1986"/>
      <c r="AZ121" s="1986"/>
      <c r="BA121" s="1986"/>
      <c r="BB121" s="1986"/>
      <c r="BC121" s="1986"/>
      <c r="BD121" s="1986"/>
      <c r="BE121" s="1986"/>
    </row>
    <row r="122" spans="1:57" ht="12" customHeight="1" thickBot="1" x14ac:dyDescent="0.25">
      <c r="A122" s="1076"/>
      <c r="B122" s="542"/>
      <c r="C122" s="3026" t="s">
        <v>9911</v>
      </c>
      <c r="D122" s="3027"/>
      <c r="E122" s="3027"/>
      <c r="F122" s="3027"/>
      <c r="G122" s="3027"/>
      <c r="H122" s="3027"/>
      <c r="I122" s="3027"/>
      <c r="J122" s="3027"/>
      <c r="K122" s="3027"/>
      <c r="L122" s="3027"/>
      <c r="M122" s="3027"/>
      <c r="N122" s="3027"/>
      <c r="O122" s="3027"/>
      <c r="P122" s="3027"/>
      <c r="Q122" s="3028"/>
      <c r="R122" s="1562"/>
      <c r="S122" s="1563"/>
      <c r="T122" s="1563"/>
      <c r="U122" s="1096"/>
      <c r="V122" s="5442" t="s">
        <v>1331</v>
      </c>
      <c r="W122" s="5443"/>
      <c r="X122" s="5526" t="s">
        <v>8883</v>
      </c>
      <c r="Y122" s="5526"/>
      <c r="Z122" s="5526"/>
      <c r="AA122" s="5526"/>
      <c r="AB122" s="5527"/>
      <c r="AC122" s="5458" t="s">
        <v>8897</v>
      </c>
      <c r="AD122" s="5525"/>
      <c r="AE122" s="5525"/>
      <c r="AF122" s="5427" t="s">
        <v>1737</v>
      </c>
      <c r="AG122" s="5428"/>
      <c r="AH122" s="5458" t="s">
        <v>8893</v>
      </c>
      <c r="AI122" s="5459"/>
      <c r="AJ122" s="2622"/>
      <c r="AK122" s="838"/>
      <c r="AL122" s="1564"/>
      <c r="AM122" s="1986"/>
      <c r="AN122" s="1986" t="s">
        <v>9602</v>
      </c>
      <c r="AO122" s="1986" t="s">
        <v>1401</v>
      </c>
      <c r="AP122" s="1986" t="s">
        <v>7483</v>
      </c>
      <c r="AQ122" s="1986" t="s">
        <v>8606</v>
      </c>
      <c r="AR122" s="1986" t="s">
        <v>1575</v>
      </c>
      <c r="AS122" s="1986"/>
      <c r="AT122" s="1986"/>
      <c r="AU122" s="1986"/>
      <c r="AV122" s="1986"/>
      <c r="AW122" s="1986"/>
      <c r="AX122" s="1986"/>
      <c r="AY122" s="1986"/>
      <c r="AZ122" s="1986"/>
      <c r="BA122" s="1986"/>
      <c r="BB122" s="1986"/>
      <c r="BC122" s="1986"/>
      <c r="BD122" s="1986"/>
      <c r="BE122" s="1986"/>
    </row>
    <row r="123" spans="1:57" ht="12" customHeight="1" x14ac:dyDescent="0.2">
      <c r="A123" s="1076"/>
      <c r="B123" s="542"/>
      <c r="C123" s="3793"/>
      <c r="D123" s="3794"/>
      <c r="E123" s="3794"/>
      <c r="F123" s="3794"/>
      <c r="G123" s="3794"/>
      <c r="H123" s="3794"/>
      <c r="I123" s="3794"/>
      <c r="J123" s="3794"/>
      <c r="K123" s="3794"/>
      <c r="L123" s="3794"/>
      <c r="M123" s="3794"/>
      <c r="N123" s="3794"/>
      <c r="O123" s="3794"/>
      <c r="P123" s="3794"/>
      <c r="Q123" s="3795"/>
      <c r="R123" s="1562"/>
      <c r="S123" s="1563"/>
      <c r="T123" s="1563"/>
      <c r="U123" s="1096"/>
      <c r="V123" s="5497" t="s">
        <v>8896</v>
      </c>
      <c r="W123" s="5498"/>
      <c r="X123" s="5499"/>
      <c r="Y123" s="5508" t="s">
        <v>1553</v>
      </c>
      <c r="Z123" s="5495">
        <f>IFERROR(VLOOKUP(V124,Tabla_CaracterísticasGéminis,2,0)+IF(COUNTIF(W131:Z136,"Metal")&gt;0,VLOOKUP(V124,Tabla_CaracterísticasGéminis,2,0),0)+IF(AF122="Grande",50,IF(AF122="Enorme",150,0)),0)</f>
        <v>0</v>
      </c>
      <c r="AA123" s="5450" t="s">
        <v>8904</v>
      </c>
      <c r="AB123" s="5451"/>
      <c r="AC123" s="5452"/>
      <c r="AD123" s="5453"/>
      <c r="AE123" s="5454"/>
      <c r="AF123" s="5450"/>
      <c r="AG123" s="5451"/>
      <c r="AH123" s="5452"/>
      <c r="AI123" s="5453"/>
      <c r="AJ123" s="5454"/>
      <c r="AK123" s="838"/>
      <c r="AL123" s="1564"/>
      <c r="AM123" s="1986"/>
      <c r="AN123" s="1986" t="b">
        <f>AA125&lt;&gt;"-"</f>
        <v>0</v>
      </c>
      <c r="AO123" s="1986" t="str">
        <f>IF(AN123,X122&amp;": "&amp;AD125&amp;" "&amp;AC123&amp;IF(AB129&gt;0," +"&amp;AB129,"")&amp;IF(AH123="",""," y "&amp;AH123&amp;IF(AG129&gt;0," +"&amp;AG129,"")),"")</f>
        <v/>
      </c>
      <c r="AP123" s="1986" t="str">
        <f>IF(AN123,X122&amp;": "&amp;AA125&amp;" "&amp;AC123&amp;IF(AB129&gt;0," +"&amp;AB129,"")&amp;IF(AH123="",""," y "&amp;AF125&amp;" "&amp;AH123&amp;IF(AG129&gt;0," +"&amp;AG129,"")),"")</f>
        <v/>
      </c>
      <c r="AQ123" s="1986" t="str">
        <f>IF(AN123,X122&amp;": "&amp;AB125&amp;" "&amp;AC123&amp;IF(AB129&gt;0," +"&amp;AB129,"")&amp;" ("&amp;AC125&amp;")"&amp;IF(AH123="",""," y "&amp;AG125&amp;" "&amp;AH123&amp;IF(AG129&gt;0," +"&amp;AG129,"")&amp;" ("&amp;AH125&amp;")"),"")</f>
        <v/>
      </c>
      <c r="AR123" s="1986" t="str">
        <f>IF(AN123,X122&amp;": "&amp;AE125&amp;" "&amp;AC123&amp;IF(AB129&gt;0," +"&amp;AB129,"")&amp;IF($AA128="-",""," ("&amp;$AA128&amp;IF($AB128="-",""," / "&amp;$AB128)&amp;")")&amp;IF(AH123="",""," y "&amp;AJ125&amp;" "&amp;AH123&amp;IF(AG129&gt;0," +"&amp;AG129,""))&amp;IF($AF128="-",""," ("&amp;$AF128&amp;IF($AG128="-",""," / "&amp;$AG128)&amp;")"),"")</f>
        <v/>
      </c>
      <c r="AS123" s="1986"/>
      <c r="AT123" s="1986"/>
      <c r="AU123" s="1986"/>
      <c r="AV123" s="1986"/>
      <c r="AW123" s="1986"/>
      <c r="AX123" s="1986"/>
      <c r="AY123" s="1986"/>
      <c r="AZ123" s="1986"/>
      <c r="BA123" s="1986"/>
      <c r="BB123" s="1986"/>
      <c r="BC123" s="1986"/>
      <c r="BD123" s="1986"/>
      <c r="BE123" s="1986"/>
    </row>
    <row r="124" spans="1:57" ht="12" customHeight="1" thickBot="1" x14ac:dyDescent="0.25">
      <c r="A124" s="1076"/>
      <c r="B124" s="542"/>
      <c r="C124" s="3796"/>
      <c r="D124" s="3330"/>
      <c r="E124" s="3330"/>
      <c r="F124" s="3330"/>
      <c r="G124" s="3330"/>
      <c r="H124" s="3330"/>
      <c r="I124" s="3330"/>
      <c r="J124" s="3330"/>
      <c r="K124" s="3330"/>
      <c r="L124" s="3330"/>
      <c r="M124" s="3330"/>
      <c r="N124" s="3330"/>
      <c r="O124" s="3330"/>
      <c r="P124" s="3330"/>
      <c r="Q124" s="3797"/>
      <c r="R124" s="1562"/>
      <c r="S124" s="1563"/>
      <c r="T124" s="1563"/>
      <c r="U124" s="1096"/>
      <c r="V124" s="5500"/>
      <c r="W124" s="5501"/>
      <c r="X124" s="5502"/>
      <c r="Y124" s="5509"/>
      <c r="Z124" s="5496"/>
      <c r="AA124" s="1574" t="s">
        <v>1573</v>
      </c>
      <c r="AB124" s="5063" t="s">
        <v>1574</v>
      </c>
      <c r="AC124" s="5064"/>
      <c r="AD124" s="2421" t="s">
        <v>1401</v>
      </c>
      <c r="AE124" s="1575" t="s">
        <v>1575</v>
      </c>
      <c r="AF124" s="1574" t="s">
        <v>1573</v>
      </c>
      <c r="AG124" s="5063" t="s">
        <v>1574</v>
      </c>
      <c r="AH124" s="5064"/>
      <c r="AI124" s="2421" t="s">
        <v>1401</v>
      </c>
      <c r="AJ124" s="1575" t="s">
        <v>1575</v>
      </c>
      <c r="AK124" s="838" t="e">
        <f>IF(Z130&lt;1,0,VLOOKUP(Z130,Tablas!$C$14:$D$33,2))</f>
        <v>#N/A</v>
      </c>
      <c r="AL124" s="1564"/>
      <c r="AM124" s="1986"/>
      <c r="AN124" s="1986"/>
      <c r="AO124" s="1986"/>
      <c r="AP124" s="1986"/>
      <c r="AQ124" s="1986"/>
      <c r="AR124" s="1986"/>
      <c r="AS124" s="1986"/>
      <c r="AT124" s="1986"/>
      <c r="AU124" s="1986"/>
      <c r="AV124" s="1986"/>
      <c r="AW124" s="1986"/>
      <c r="AX124" s="1986"/>
      <c r="AY124" s="1986"/>
      <c r="AZ124" s="1986"/>
      <c r="BA124" s="1986"/>
      <c r="BB124" s="1986"/>
      <c r="BC124" s="1986"/>
      <c r="BD124" s="1986"/>
      <c r="BE124" s="1986"/>
    </row>
    <row r="125" spans="1:57" ht="12" customHeight="1" x14ac:dyDescent="0.2">
      <c r="A125" s="1076"/>
      <c r="B125" s="542"/>
      <c r="C125" s="3796"/>
      <c r="D125" s="3330"/>
      <c r="E125" s="3330"/>
      <c r="F125" s="3330"/>
      <c r="G125" s="3330"/>
      <c r="H125" s="3330"/>
      <c r="I125" s="3330"/>
      <c r="J125" s="3330"/>
      <c r="K125" s="3330"/>
      <c r="L125" s="3330"/>
      <c r="M125" s="3330"/>
      <c r="N125" s="3330"/>
      <c r="O125" s="3330"/>
      <c r="P125" s="3330"/>
      <c r="Q125" s="3797"/>
      <c r="R125" s="1562"/>
      <c r="S125" s="1563"/>
      <c r="T125" s="1563"/>
      <c r="U125" s="1096"/>
      <c r="V125" s="5491" t="s">
        <v>8889</v>
      </c>
      <c r="W125" s="5492"/>
      <c r="X125" s="5503">
        <f>IFERROR(VLOOKUP(V124,Tabla_CaracterísticasGéminis,4,0),0)</f>
        <v>0</v>
      </c>
      <c r="Y125" s="5508" t="s">
        <v>8886</v>
      </c>
      <c r="Z125" s="5495">
        <f>IFERROR(VLOOKUP(V124,Tabla_CaracterísticasGéminis,3,0)+IF(COUNTIF(W131:Z136,"Metal")&gt;0,4,0),0)</f>
        <v>0</v>
      </c>
      <c r="AA125" s="5065" t="str">
        <f>IFERROR(IF(OR(AC123="",Tablas!$H$982=0),"-",IF(AC123="Armas naturales",Principal!$H$24,IF(VLOOKUP(AC123,Tabla_ArmasyEscudos,9,0)="Conocida",Principal!$H$24,"-"))+AC135+5*MIN(4,COUNTIF(W131:Z136,"Capacidad de combate"))-10*MAX(0,AR126-Z130)),"-")</f>
        <v>-</v>
      </c>
      <c r="AB125" s="5067" t="str">
        <f>IFERROR(IF(OR(AC123="",Tablas!$H$982=0),"-",IF(AC123="Armas naturales",Principal!$H$26,IF(AND(AC125="Par",VLOOKUP(AC123,Tabla_ArmasyEscudos,9,0)&lt;&gt;"Conocida"),"-",Principal!$H$26))+AC136+5*MIN(4,COUNTIF(W131:Z136,"Capacidad de combate"))-IF(AC125="Par",10*MAX(0,AR126-Z130),0)),"-")</f>
        <v>-</v>
      </c>
      <c r="AC125" s="5069" t="str">
        <f>IF(OR(AC123="",Tablas!$H$982=0),"",IF(Principal!$F$26="H. Esquiva:","Esq","Par"))</f>
        <v/>
      </c>
      <c r="AD125" s="5528" t="str">
        <f>IFERROR(IF(OR(AC123="",Tablas!$H$982=0),"-",IF(AC123="Armas naturales",Turno_Nat_final-20+AO134,Turno_Nat_final-20+IF(ISNA(AU127),AU126,IF(AU126=AU127,AU126-10,MIN(AU126,AU127))))),"-")</f>
        <v>-</v>
      </c>
      <c r="AE125" s="5489"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65" t="str">
        <f>IFERROR(IF(OR(AH123="",Tablas!$H$982=0),"-",IF(AH123="Armas naturales",Principal!$H$24,IF(VLOOKUP(AH123,Tabla_ArmasyEscudos,9,0)="Conocida",Principal!$H$24,"-"))+AH135+5*MIN(4,COUNTIF(W131:Z136,"Capacidad de combate"))-10*MAX(0,AR127-Z130)),"-")</f>
        <v>-</v>
      </c>
      <c r="AG125" s="5067" t="str">
        <f>IFERROR(IF(OR(AH123="",Tablas!$H$982=0),"-",IF(AH123="Armas naturales",Principal!$H$26,IF(AND(AH125="Par",VLOOKUP(AH123,Tabla_ArmasyEscudos,9,0)&lt;&gt;"Conocida"),"-",Principal!$H$26))+AH136+5*MIN(4,COUNTIF(W131:Z136,"Capacidad de combate"))-IF(AH125="Par",10*MAX(0,AR127-Z130),0)),"-")</f>
        <v>-</v>
      </c>
      <c r="AH125" s="5069" t="str">
        <f>IF(OR(AH123="",Tablas!$H$982=0),"",IF(Principal!$F$26="H. Esquiva","Esq","Par"))</f>
        <v/>
      </c>
      <c r="AI125" s="5528" t="s">
        <v>1587</v>
      </c>
      <c r="AJ125" s="5489"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1986"/>
      <c r="AN125" s="1986" t="s">
        <v>8898</v>
      </c>
      <c r="AO125" s="1986"/>
      <c r="AP125" s="1986"/>
      <c r="AQ125" s="1986" t="s">
        <v>8906</v>
      </c>
      <c r="AR125" s="1986" t="s">
        <v>8908</v>
      </c>
      <c r="AS125" s="1986" t="s">
        <v>8907</v>
      </c>
      <c r="AT125" s="1986" t="s">
        <v>1375</v>
      </c>
      <c r="AU125" s="1986" t="s">
        <v>8909</v>
      </c>
      <c r="AV125" s="1986"/>
      <c r="AW125" s="1986"/>
      <c r="AX125" s="1986"/>
      <c r="AY125" s="1986"/>
      <c r="AZ125" s="1986"/>
      <c r="BA125" s="1986"/>
      <c r="BB125" s="1986"/>
      <c r="BC125" s="1986"/>
      <c r="BD125" s="1986"/>
      <c r="BE125" s="1986"/>
    </row>
    <row r="126" spans="1:57" ht="12" customHeight="1" thickBot="1" x14ac:dyDescent="0.25">
      <c r="A126" s="1076"/>
      <c r="B126" s="542"/>
      <c r="C126" s="3796"/>
      <c r="D126" s="3330"/>
      <c r="E126" s="3330"/>
      <c r="F126" s="3330"/>
      <c r="G126" s="3330"/>
      <c r="H126" s="3330"/>
      <c r="I126" s="3330"/>
      <c r="J126" s="3330"/>
      <c r="K126" s="3330"/>
      <c r="L126" s="3330"/>
      <c r="M126" s="3330"/>
      <c r="N126" s="3330"/>
      <c r="O126" s="3330"/>
      <c r="P126" s="3330"/>
      <c r="Q126" s="3797"/>
      <c r="R126" s="1562"/>
      <c r="S126" s="1563"/>
      <c r="T126" s="1563"/>
      <c r="U126" s="1096"/>
      <c r="V126" s="5493"/>
      <c r="W126" s="5494"/>
      <c r="X126" s="5504"/>
      <c r="Y126" s="5509"/>
      <c r="Z126" s="5496"/>
      <c r="AA126" s="5066"/>
      <c r="AB126" s="5068"/>
      <c r="AC126" s="5070"/>
      <c r="AD126" s="5529"/>
      <c r="AE126" s="5490"/>
      <c r="AF126" s="5066"/>
      <c r="AG126" s="5068"/>
      <c r="AH126" s="5070"/>
      <c r="AI126" s="5529"/>
      <c r="AJ126" s="5490"/>
      <c r="AK126" s="838"/>
      <c r="AL126" s="1564"/>
      <c r="AM126" s="2759"/>
      <c r="AN126" s="1986" t="str">
        <f>ADDRESS(ROW(AN127),COLUMN(AN127))&amp;":"&amp;IF(AN131="",ADDRESS(ROW(AN129),COLUMN(AN129)),ADDRESS(ROW(AN131),COLUMN(AN131)))</f>
        <v>$AN$127:$AN$129</v>
      </c>
      <c r="AO126" s="1986"/>
      <c r="AP126" s="1986">
        <f>AC123</f>
        <v>0</v>
      </c>
      <c r="AQ126" s="1986" t="str">
        <f>IF(OR(AA123="A 2 manos",AA123="Proy. 2M"),"2M","")</f>
        <v/>
      </c>
      <c r="AR126" s="1986">
        <f>IFERROR(VLOOKUP(AC123,Tabla_ArmasyEscudos,IF(AQ126="2M",5,4),0),0)</f>
        <v>0</v>
      </c>
      <c r="AS126" s="1986">
        <f>IFERROR(IF(VLOOKUP(AC123,Tabla_ArmasyEscudos,18,0)&gt;0,VLOOKUP(AC123,Tabla_ArmasyEscudos,18,0)+AB129/5,0),0)</f>
        <v>0</v>
      </c>
      <c r="AT126" s="1986">
        <f>IF(AS126&lt;1,0,VLOOKUP(AS126,Tablas!$C$14:$D$33,2))</f>
        <v>0</v>
      </c>
      <c r="AU126" s="1986" t="e">
        <f>VLOOKUP(AC123,Tabla_ArmasyEscudos,3,FALSE)+AE135</f>
        <v>#N/A</v>
      </c>
      <c r="AV126" s="1986"/>
      <c r="AW126" s="1986"/>
      <c r="AX126" s="1986"/>
      <c r="AY126" s="1986"/>
      <c r="AZ126" s="1986"/>
      <c r="BA126" s="1986"/>
      <c r="BB126" s="1986"/>
      <c r="BC126" s="1986"/>
      <c r="BD126" s="1986"/>
      <c r="BE126" s="1986"/>
    </row>
    <row r="127" spans="1:57" ht="12" customHeight="1" x14ac:dyDescent="0.2">
      <c r="A127" s="1076"/>
      <c r="B127" s="542"/>
      <c r="C127" s="3796"/>
      <c r="D127" s="3330"/>
      <c r="E127" s="3330"/>
      <c r="F127" s="3330"/>
      <c r="G127" s="3330"/>
      <c r="H127" s="3330"/>
      <c r="I127" s="3330"/>
      <c r="J127" s="3330"/>
      <c r="K127" s="3330"/>
      <c r="L127" s="3330"/>
      <c r="M127" s="3330"/>
      <c r="N127" s="3330"/>
      <c r="O127" s="3330"/>
      <c r="P127" s="3330"/>
      <c r="Q127" s="3797"/>
      <c r="R127" s="1562"/>
      <c r="S127" s="1563"/>
      <c r="T127" s="1563"/>
      <c r="U127" s="1096"/>
      <c r="V127" s="5520" t="s">
        <v>8894</v>
      </c>
      <c r="W127" s="2422"/>
      <c r="X127" s="2528" t="s">
        <v>1373</v>
      </c>
      <c r="Y127" s="2528" t="s">
        <v>8895</v>
      </c>
      <c r="Z127" s="2528" t="s">
        <v>1357</v>
      </c>
      <c r="AA127" s="2514" t="s">
        <v>8902</v>
      </c>
      <c r="AB127" s="2515" t="s">
        <v>8903</v>
      </c>
      <c r="AC127" s="2515" t="s">
        <v>1566</v>
      </c>
      <c r="AD127" s="2515" t="s">
        <v>1579</v>
      </c>
      <c r="AE127" s="1573" t="s">
        <v>1567</v>
      </c>
      <c r="AF127" s="2514" t="s">
        <v>8902</v>
      </c>
      <c r="AG127" s="2515" t="s">
        <v>8903</v>
      </c>
      <c r="AH127" s="2515" t="s">
        <v>1566</v>
      </c>
      <c r="AI127" s="2515" t="s">
        <v>1579</v>
      </c>
      <c r="AJ127" s="1573" t="s">
        <v>1567</v>
      </c>
      <c r="AK127" s="838"/>
      <c r="AL127" s="1564"/>
      <c r="AM127" s="1986"/>
      <c r="AN127" s="1986" t="s">
        <v>1977</v>
      </c>
      <c r="AO127" s="1986"/>
      <c r="AP127" s="1986">
        <f>AH123</f>
        <v>0</v>
      </c>
      <c r="AQ127" s="1986" t="str">
        <f>IF(OR(AF123="A 2 manos",AF123="Proy. 2M"),"2M","")</f>
        <v/>
      </c>
      <c r="AR127" s="1986">
        <f>IFERROR(VLOOKUP(AH123,Tabla_ArmasyEscudos,IF(AQ127="2M",5,4),0),0)</f>
        <v>0</v>
      </c>
      <c r="AS127" s="1986">
        <f>IFERROR(IF(VLOOKUP(AC125,Tabla_ArmasyEscudos,18,0)&gt;0,VLOOKUP(AC125,Tabla_ArmasyEscudos,18,0)+AG129/5,0),0)</f>
        <v>0</v>
      </c>
      <c r="AT127" s="1986">
        <f>IF(AS127&lt;1,0,VLOOKUP(AS127,Tablas!$C$14:$D$33,2))</f>
        <v>0</v>
      </c>
      <c r="AU127" s="1986" t="e">
        <f>VLOOKUP(AH123,Tabla_ArmasyEscudos,3,FALSE)+AJ135</f>
        <v>#N/A</v>
      </c>
      <c r="AV127" s="1986"/>
      <c r="AW127" s="1986"/>
      <c r="AX127" s="1986"/>
      <c r="AY127" s="1986"/>
      <c r="AZ127" s="1986"/>
      <c r="BA127" s="1986"/>
      <c r="BB127" s="1986"/>
      <c r="BC127" s="1986"/>
      <c r="BD127" s="1986"/>
      <c r="BE127" s="1986"/>
    </row>
    <row r="128" spans="1:57" ht="12" customHeight="1" x14ac:dyDescent="0.2">
      <c r="A128" s="1076"/>
      <c r="B128" s="542"/>
      <c r="C128" s="3796"/>
      <c r="D128" s="3330"/>
      <c r="E128" s="3330"/>
      <c r="F128" s="3330"/>
      <c r="G128" s="3330"/>
      <c r="H128" s="3330"/>
      <c r="I128" s="3330"/>
      <c r="J128" s="3330"/>
      <c r="K128" s="3330"/>
      <c r="L128" s="3330"/>
      <c r="M128" s="3330"/>
      <c r="N128" s="3330"/>
      <c r="O128" s="3330"/>
      <c r="P128" s="3330"/>
      <c r="Q128" s="3797"/>
      <c r="R128" s="1562"/>
      <c r="S128" s="1563"/>
      <c r="T128" s="1563"/>
      <c r="U128" s="1096"/>
      <c r="V128" s="5505"/>
      <c r="W128" s="1646" t="s">
        <v>1381</v>
      </c>
      <c r="X128" s="1945" t="str">
        <f>IF(Tablas!$H$982=0,"-",IF(Zen,DES,MIN(13,DES)))</f>
        <v>-</v>
      </c>
      <c r="Y128" s="2626"/>
      <c r="Z128" s="2515" t="str">
        <f>IFERROR(MIN(X128+Y128,IF(Zen,20,13)),"-")</f>
        <v>-</v>
      </c>
      <c r="AA128" s="1576" t="str">
        <f>IFERROR(IF(AC123="Armas naturales",IF(AD132="","-",AD132),VLOOKUP(AC123,Tabla_ArmasyEscudos,6,0)),"-")</f>
        <v>-</v>
      </c>
      <c r="AB128" s="2529" t="str">
        <f>IFERROR(IF(AC123="Armas naturales",IF(AD133="","-",AD133),VLOOKUP(AC123,Tabla_ArmasyEscudos,7,0)),"-")</f>
        <v>-</v>
      </c>
      <c r="AC128" s="2530" t="str">
        <f>IFERROR(IF(OR(AC123="",Tablas!$H$982=0),"-",IF(AC123="Armas naturales",AO135,VLOOKUP(AC123,Tabla_ArmasyEscudos,10,0)+10*AB129/5&amp;IFERROR("/"&amp;VLOOKUP(AD132,Tabla_ArmasyEscudos,10,0)+10*AD133/5,""))),"-")</f>
        <v>-</v>
      </c>
      <c r="AD128" s="2530" t="str">
        <f>IFERROR(IF(OR(AC123="",Tablas!$H$982=0),"-",IF(AC123="Armas naturales",AO136,VLOOKUP(AC123,Tabla_ArmasyEscudos,11,0)+2*AB129/5&amp;IFERROR("/"&amp;VLOOKUP(AD132,Tabla_ArmasyEscudos,11,0)+2*AD133/5,""))),"-")</f>
        <v>-</v>
      </c>
      <c r="AE128" s="2516"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9" t="str">
        <f>IFERROR(IF(AH123="Armas naturales",IF(AI133="","-",AI133),VLOOKUP(AH123,Tabla_ArmasyEscudos,7,0)),"-")</f>
        <v>-</v>
      </c>
      <c r="AH128" s="2530" t="str">
        <f>IFERROR(IF(OR(AH123="",Tablas!$H$982=0),"-",IF(AH123="Armas naturales",AT135,VLOOKUP(AH123,Tabla_ArmasyEscudos,10,0)+10*AG129/5&amp;IFERROR("/"&amp;VLOOKUP(AI132,Tabla_ArmasyEscudos,10,0)+10*AI133/5,""))),"-")</f>
        <v>-</v>
      </c>
      <c r="AI128" s="2530" t="str">
        <f>IFERROR(IF(OR(AH123="",Tablas!$H$982=0),"-",IF(AH123="Armas naturales",AT136,VLOOKUP(AH123,Tabla_ArmasyEscudos,11,0)+2*AG129/5&amp;IFERROR("/"&amp;VLOOKUP(AI132,Tabla_ArmasyEscudos,11,0)+2*AI133/5,""))),"-")</f>
        <v>-</v>
      </c>
      <c r="AJ128" s="2516" t="str">
        <f>IFERROR(IF(OR(AH123="",Tablas!$H$982=0),"-",IF(AH123="Armas naturales",Presencia_final,VLOOKUP(AH123,Tabla_ArmasyEscudos,12,0)+50*MAX(AG129/5,0)&amp;IFERROR("/"&amp;VLOOKUP(AI132,Tabla_ArmasyEscudos,12,0)+50*MAX(AI133/5,0),""))),"-")</f>
        <v>-</v>
      </c>
      <c r="AK128" s="838"/>
      <c r="AL128" s="1564"/>
      <c r="AM128" s="1986"/>
      <c r="AN128" s="1986" t="s">
        <v>1978</v>
      </c>
      <c r="AO128" s="1986"/>
      <c r="AP128" s="1986"/>
      <c r="AQ128" s="1986"/>
      <c r="AR128" s="1986"/>
      <c r="AS128" s="1986"/>
      <c r="AT128" s="1986"/>
      <c r="AU128" s="1986"/>
      <c r="AV128" s="1986"/>
      <c r="AW128" s="1986"/>
      <c r="AX128" s="1986"/>
      <c r="AY128" s="1986"/>
      <c r="AZ128" s="1986"/>
      <c r="BA128" s="1986"/>
      <c r="BB128" s="1986"/>
      <c r="BC128" s="1986"/>
      <c r="BD128" s="1986"/>
      <c r="BE128" s="1986"/>
    </row>
    <row r="129" spans="1:57" ht="12" customHeight="1" x14ac:dyDescent="0.2">
      <c r="A129" s="1076"/>
      <c r="B129" s="542"/>
      <c r="C129" s="3796"/>
      <c r="D129" s="3330"/>
      <c r="E129" s="3330"/>
      <c r="F129" s="3330"/>
      <c r="G129" s="3330"/>
      <c r="H129" s="3330"/>
      <c r="I129" s="3330"/>
      <c r="J129" s="3330"/>
      <c r="K129" s="3330"/>
      <c r="L129" s="3330"/>
      <c r="M129" s="3330"/>
      <c r="N129" s="3330"/>
      <c r="O129" s="3330"/>
      <c r="P129" s="3330"/>
      <c r="Q129" s="3797"/>
      <c r="R129" s="1562"/>
      <c r="S129" s="1563"/>
      <c r="T129" s="1563"/>
      <c r="U129" s="1096"/>
      <c r="V129" s="5505"/>
      <c r="W129" s="1646" t="s">
        <v>1386</v>
      </c>
      <c r="X129" s="1946" t="str">
        <f>IF(Tablas!$H$982=0,"-",IF(Zen,DES,MIN(13,DES)))</f>
        <v>-</v>
      </c>
      <c r="Y129" s="2627"/>
      <c r="Z129" s="2531" t="str">
        <f>IFERROR(MIN(X129+Y129,IF(Zen,20,13)),"-")</f>
        <v>-</v>
      </c>
      <c r="AA129" s="1949" t="str">
        <f>IF(AND(AC123&lt;&gt;"",AC123&lt;&gt;"Armas naturales"),"Calidad:","")</f>
        <v/>
      </c>
      <c r="AB129" s="1951"/>
      <c r="AC129" s="5507" t="str">
        <f>IF(AA133="Calidad munición:",IF(AD133&lt;=0,"","TA defensor:"),IF(AB129&lt;=0,"","TA defensor:"))</f>
        <v/>
      </c>
      <c r="AD129" s="5507"/>
      <c r="AE129" s="2423" t="str">
        <f>IF(AC129="TA defensor:",IF(AA133="Calidad munición:",AD133/(-5),AB129/(-5)),"")</f>
        <v/>
      </c>
      <c r="AF129" s="1949" t="str">
        <f>IF(AND(AH123&lt;&gt;"",AH123&lt;&gt;"Armas naturales"),"Calidad:","")</f>
        <v/>
      </c>
      <c r="AG129" s="1951"/>
      <c r="AH129" s="5507" t="str">
        <f>IF(AF133="Calidad munición:",IF(AI133&lt;=0,"","TA defensor:"),IF(AG129&lt;=0,"","TA defensor:"))</f>
        <v/>
      </c>
      <c r="AI129" s="5507"/>
      <c r="AJ129" s="2423" t="str">
        <f>IF(AH129="TA defensor:",IF(AF133="Calidad munición:",AI133/(-5),AG129/(-5)),"")</f>
        <v/>
      </c>
      <c r="AK129" s="838"/>
      <c r="AL129" s="1564"/>
      <c r="AM129" s="1986"/>
      <c r="AN129" s="1986" t="s">
        <v>1737</v>
      </c>
      <c r="AO129" s="1986"/>
      <c r="AP129" s="1986"/>
      <c r="AQ129" s="1986"/>
      <c r="AR129" s="1986"/>
      <c r="AS129" s="1986"/>
      <c r="AT129" s="1986"/>
      <c r="AU129" s="1986"/>
      <c r="AV129" s="1986"/>
      <c r="AW129" s="1986"/>
      <c r="AX129" s="1986"/>
      <c r="AY129" s="1986"/>
      <c r="AZ129" s="1986"/>
      <c r="BA129" s="1986"/>
      <c r="BB129" s="1986"/>
      <c r="BC129" s="1986"/>
      <c r="BD129" s="1986"/>
      <c r="BE129" s="1986"/>
    </row>
    <row r="130" spans="1:57" ht="12" customHeight="1" thickBot="1" x14ac:dyDescent="0.25">
      <c r="A130" s="1076"/>
      <c r="B130" s="542"/>
      <c r="C130" s="3796"/>
      <c r="D130" s="3330"/>
      <c r="E130" s="3330"/>
      <c r="F130" s="3330"/>
      <c r="G130" s="3330"/>
      <c r="H130" s="3330"/>
      <c r="I130" s="3330"/>
      <c r="J130" s="3330"/>
      <c r="K130" s="3330"/>
      <c r="L130" s="3330"/>
      <c r="M130" s="3330"/>
      <c r="N130" s="3330"/>
      <c r="O130" s="3330"/>
      <c r="P130" s="3330"/>
      <c r="Q130" s="3797"/>
      <c r="R130" s="1562"/>
      <c r="S130" s="1563"/>
      <c r="T130" s="1563"/>
      <c r="U130" s="1096"/>
      <c r="V130" s="5506"/>
      <c r="W130" s="1647" t="s">
        <v>1391</v>
      </c>
      <c r="X130" s="2424" t="str">
        <f>IF(Tablas!$H$982=0,"-",IF(Zen,FUE-2,MIN(11,FUE-2)))</f>
        <v>-</v>
      </c>
      <c r="Y130" s="2628"/>
      <c r="Z130" s="2513" t="str">
        <f>IFERROR(MIN(20,MIN(X130+Y130,IF(Zen,20,13))+IF(COUNTIF(W131:Z136,"Fuerza excepcional")&gt;0,IF(X130+6&lt;15,6,MAX(15-X130,0)),0)),"-")</f>
        <v>-</v>
      </c>
      <c r="AA130" s="5522" t="str">
        <f>IFERROR(IF(AC123="Armas naturales","",VLOOKUP(AC123,Tabla_ArmasyEscudos,19,0)),"")</f>
        <v/>
      </c>
      <c r="AB130" s="5523"/>
      <c r="AC130" s="5523"/>
      <c r="AD130" s="5523"/>
      <c r="AE130" s="5524"/>
      <c r="AF130" s="5522" t="str">
        <f>IFERROR(IF(AH123="Armas naturales","",VLOOKUP(AH123,Tabla_ArmasyEscudos,19,0)),"")</f>
        <v/>
      </c>
      <c r="AG130" s="5523"/>
      <c r="AH130" s="5523"/>
      <c r="AI130" s="5523"/>
      <c r="AJ130" s="5524"/>
      <c r="AK130" s="838"/>
      <c r="AL130" s="1564"/>
      <c r="AM130" s="1986"/>
      <c r="AN130" s="1986" t="str">
        <f>IF(COUNTIF(W131:Z136,"Tamaño excepcional")&gt;0,"Grande","")</f>
        <v/>
      </c>
      <c r="AO130" s="1986"/>
      <c r="AP130" s="1986"/>
      <c r="AQ130" s="1986"/>
      <c r="AR130" s="1986"/>
      <c r="AS130" s="1986"/>
      <c r="AT130" s="1986"/>
      <c r="AU130" s="1986"/>
      <c r="AV130" s="1986"/>
      <c r="AW130" s="1986"/>
      <c r="AX130" s="1986"/>
      <c r="AY130" s="1986"/>
      <c r="AZ130" s="1986"/>
      <c r="BA130" s="1986"/>
      <c r="BB130" s="1986"/>
      <c r="BC130" s="1986"/>
      <c r="BD130" s="1986"/>
      <c r="BE130" s="1986"/>
    </row>
    <row r="131" spans="1:57" ht="12" customHeight="1" x14ac:dyDescent="0.2">
      <c r="A131" s="1076"/>
      <c r="B131" s="542"/>
      <c r="C131" s="3796"/>
      <c r="D131" s="3330"/>
      <c r="E131" s="3330"/>
      <c r="F131" s="3330"/>
      <c r="G131" s="3330"/>
      <c r="H131" s="3330"/>
      <c r="I131" s="3330"/>
      <c r="J131" s="3330"/>
      <c r="K131" s="3330"/>
      <c r="L131" s="3330"/>
      <c r="M131" s="3330"/>
      <c r="N131" s="3330"/>
      <c r="O131" s="3330"/>
      <c r="P131" s="3330"/>
      <c r="Q131" s="3797"/>
      <c r="R131" s="1562"/>
      <c r="S131" s="1563"/>
      <c r="T131" s="1563"/>
      <c r="U131" s="1096"/>
      <c r="V131" s="5505" t="s">
        <v>8874</v>
      </c>
      <c r="W131" s="3935"/>
      <c r="X131" s="3935"/>
      <c r="Y131" s="3935"/>
      <c r="Z131" s="3935"/>
      <c r="AA131" s="5530" t="str">
        <f>IFERROR(VLOOKUP(AD132,Tabla_ArmasyEscudos,19,0),"")</f>
        <v/>
      </c>
      <c r="AB131" s="5531"/>
      <c r="AC131" s="5531"/>
      <c r="AD131" s="5531"/>
      <c r="AE131" s="5532"/>
      <c r="AF131" s="5530" t="str">
        <f>IFERROR(VLOOKUP(AI132,Tabla_ArmasyEscudos,19,0),"")</f>
        <v/>
      </c>
      <c r="AG131" s="5531"/>
      <c r="AH131" s="5531"/>
      <c r="AI131" s="5531"/>
      <c r="AJ131" s="5532"/>
      <c r="AK131" s="838"/>
      <c r="AL131" s="1564"/>
      <c r="AM131" s="1986"/>
      <c r="AN131" s="1986" t="str">
        <f>IF(COUNTIF(W131:Z136,"Tamaño excepcional")&gt;0,"Enorme","")</f>
        <v/>
      </c>
      <c r="AO131" s="1986"/>
      <c r="AP131" s="1986"/>
      <c r="AQ131" s="1986"/>
      <c r="AR131" s="1986"/>
      <c r="AS131" s="1986"/>
      <c r="AT131" s="1986"/>
      <c r="AU131" s="1986"/>
      <c r="AV131" s="1986"/>
      <c r="AW131" s="1986"/>
      <c r="AX131" s="1986"/>
      <c r="AY131" s="1986"/>
      <c r="AZ131" s="1986"/>
      <c r="BA131" s="1986"/>
      <c r="BB131" s="1986"/>
      <c r="BC131" s="1986"/>
      <c r="BD131" s="1986"/>
      <c r="BE131" s="1986"/>
    </row>
    <row r="132" spans="1:57" ht="12" customHeight="1" x14ac:dyDescent="0.2">
      <c r="A132" s="1076"/>
      <c r="B132" s="542"/>
      <c r="C132" s="3796"/>
      <c r="D132" s="3330"/>
      <c r="E132" s="3330"/>
      <c r="F132" s="3330"/>
      <c r="G132" s="3330"/>
      <c r="H132" s="3330"/>
      <c r="I132" s="3330"/>
      <c r="J132" s="3330"/>
      <c r="K132" s="3330"/>
      <c r="L132" s="3330"/>
      <c r="M132" s="3330"/>
      <c r="N132" s="3330"/>
      <c r="O132" s="3330"/>
      <c r="P132" s="3330"/>
      <c r="Q132" s="3797"/>
      <c r="R132" s="1562"/>
      <c r="S132" s="1563"/>
      <c r="T132" s="1563"/>
      <c r="U132" s="1096"/>
      <c r="V132" s="5505"/>
      <c r="W132" s="5517"/>
      <c r="X132" s="5518"/>
      <c r="Y132" s="5518"/>
      <c r="Z132" s="5519"/>
      <c r="AA132" s="4551" t="str">
        <f>IFERROR(IF(AC123="Armas naturales", "Armas naturales Crit. 1:",IF(ISNUMBER(FIND("Proyectiles",VLOOKUP(AC123,Tabla_ArmasyEscudos,8,0))),"Munición:","")),"")</f>
        <v/>
      </c>
      <c r="AB132" s="4484"/>
      <c r="AC132" s="4484"/>
      <c r="AD132" s="5510"/>
      <c r="AE132" s="5511"/>
      <c r="AF132" s="4551" t="str">
        <f>IFERROR(IF(AH123="Armas naturales", "Armas naturales Crit. 1:",IF(ISNUMBER(FIND("Proyectiles",VLOOKUP(AH123,Tabla_ArmasyEscudos,8,0))),"Munición:","")),"")</f>
        <v/>
      </c>
      <c r="AG132" s="4484"/>
      <c r="AH132" s="4484"/>
      <c r="AI132" s="5510"/>
      <c r="AJ132" s="5511"/>
      <c r="AK132" s="838"/>
      <c r="AL132" s="1564"/>
      <c r="AM132" s="1986"/>
      <c r="AN132" s="5062" t="s">
        <v>1928</v>
      </c>
      <c r="AO132" s="5062"/>
      <c r="AP132" s="1986"/>
      <c r="AQ132" s="1986"/>
      <c r="AR132" s="1986"/>
      <c r="AS132" s="1986"/>
      <c r="AT132" s="1986"/>
      <c r="AU132" s="1986"/>
      <c r="AV132" s="1986"/>
      <c r="AW132" s="1986"/>
      <c r="AX132" s="1986"/>
      <c r="AY132" s="1986"/>
      <c r="AZ132" s="1986"/>
      <c r="BA132" s="1986"/>
      <c r="BB132" s="1986"/>
      <c r="BC132" s="1986"/>
      <c r="BD132" s="1986"/>
      <c r="BE132" s="1986"/>
    </row>
    <row r="133" spans="1:57" ht="12" customHeight="1" x14ac:dyDescent="0.2">
      <c r="A133" s="1076"/>
      <c r="B133" s="542"/>
      <c r="C133" s="3796"/>
      <c r="D133" s="3330"/>
      <c r="E133" s="3330"/>
      <c r="F133" s="3330"/>
      <c r="G133" s="3330"/>
      <c r="H133" s="3330"/>
      <c r="I133" s="3330"/>
      <c r="J133" s="3330"/>
      <c r="K133" s="3330"/>
      <c r="L133" s="3330"/>
      <c r="M133" s="3330"/>
      <c r="N133" s="3330"/>
      <c r="O133" s="3330"/>
      <c r="P133" s="3330"/>
      <c r="Q133" s="3797"/>
      <c r="R133" s="1562"/>
      <c r="S133" s="1563"/>
      <c r="T133" s="1563"/>
      <c r="U133" s="1096"/>
      <c r="V133" s="5505"/>
      <c r="W133" s="5517"/>
      <c r="X133" s="5518"/>
      <c r="Y133" s="5518"/>
      <c r="Z133" s="5519"/>
      <c r="AA133" s="5214" t="str">
        <f>IFERROR(IF(AC123="Armas naturales", "Armas naturales Crit. 2:",IF(ISNUMBER(FIND("Proyectiles",VLOOKUP(AC123,Tabla_ArmasyEscudos,8,0))),"Calidad Munición:","")),"")</f>
        <v/>
      </c>
      <c r="AB133" s="5521"/>
      <c r="AC133" s="5521"/>
      <c r="AD133" s="5512"/>
      <c r="AE133" s="5513"/>
      <c r="AF133" s="5214" t="str">
        <f>IFERROR(IF(AH123="Armas naturales", "Armas naturales Crit. 2:",IF(ISNUMBER(FIND("Proyectiles",VLOOKUP(AH123,Tabla_ArmasyEscudos,8,0))),"Calidad Munición:","")),"")</f>
        <v/>
      </c>
      <c r="AG133" s="5521"/>
      <c r="AH133" s="5521"/>
      <c r="AI133" s="5512"/>
      <c r="AJ133" s="5513"/>
      <c r="AK133" s="838"/>
      <c r="AL133" s="1564"/>
      <c r="AM133" s="1986"/>
      <c r="AN133" s="1986" t="s">
        <v>8900</v>
      </c>
      <c r="AO133" s="1986">
        <f>VLOOKUP(AF122,Tablas!$X$47:$AF$54,7,0)</f>
        <v>40</v>
      </c>
      <c r="AP133" s="1986"/>
      <c r="AQ133" s="1986"/>
      <c r="AR133" s="1986"/>
      <c r="AS133" s="1986"/>
      <c r="AT133" s="1986" t="s">
        <v>1464</v>
      </c>
      <c r="AU133" s="1986"/>
      <c r="AV133" s="1986"/>
      <c r="AW133" s="1986"/>
      <c r="AX133" s="1986"/>
      <c r="AY133" s="1986"/>
      <c r="AZ133" s="1986"/>
      <c r="BA133" s="1986"/>
      <c r="BB133" s="1986"/>
      <c r="BC133" s="1986"/>
      <c r="BD133" s="1986"/>
      <c r="BE133" s="1986"/>
    </row>
    <row r="134" spans="1:57" ht="12" customHeight="1" x14ac:dyDescent="0.2">
      <c r="A134" s="1076"/>
      <c r="B134" s="542"/>
      <c r="C134" s="3796"/>
      <c r="D134" s="3330"/>
      <c r="E134" s="3330"/>
      <c r="F134" s="3330"/>
      <c r="G134" s="3330"/>
      <c r="H134" s="3330"/>
      <c r="I134" s="3330"/>
      <c r="J134" s="3330"/>
      <c r="K134" s="3330"/>
      <c r="L134" s="3330"/>
      <c r="M134" s="3330"/>
      <c r="N134" s="3330"/>
      <c r="O134" s="3330"/>
      <c r="P134" s="3330"/>
      <c r="Q134" s="3797"/>
      <c r="R134" s="1562"/>
      <c r="S134" s="1563"/>
      <c r="T134" s="1563"/>
      <c r="U134" s="1096"/>
      <c r="V134" s="5505"/>
      <c r="W134" s="3935"/>
      <c r="X134" s="3935"/>
      <c r="Y134" s="3935"/>
      <c r="Z134" s="3935"/>
      <c r="AA134" s="1195" t="str">
        <f>IF(ISNUMBER(FIND("Proyectiles",VLOOKUP(AC123,Tabla_ArmasyEscudos,8,0))),"Rango:","")</f>
        <v/>
      </c>
      <c r="AB134" s="2532" t="str">
        <f>IFERROR(IF(AA134="Rango:",VLOOKUP(AC123,Tabla_ArmasyEscudos,17,0)+IF(AS126&gt;0,VLOOKUP(AS126,Tabla_AlcanceFUE,2,0),VLOOKUP(Z130,Tabla_AlcanceFUE,2,0))&amp;" m",""),"")</f>
        <v/>
      </c>
      <c r="AC134" s="5486" t="str">
        <f>IF(ISNUMBER(FIND("Proyectiles",VLOOKUP(AC123,Tabla_ArmasyEscudos,8,0))),"Recarga:","")</f>
        <v/>
      </c>
      <c r="AD134" s="5486"/>
      <c r="AE134" s="2512" t="str">
        <f>IFERROR(IF(AC134="Recarga:",VLOOKUP(AC123,Tabla_ArmasyEscudos,16,0),""),"")</f>
        <v/>
      </c>
      <c r="AF134" s="1195" t="str">
        <f>IF(ISNUMBER(FIND("Proyectiles",VLOOKUP(AH123,Tabla_ArmasyEscudos,8,0))),"Rango:","")</f>
        <v/>
      </c>
      <c r="AG134" s="2531" t="str">
        <f>IFERROR(IF(AF134="Rango:",VLOOKUP(AH123,Tabla_ArmasyEscudos,17,0)+IF(AS127&gt;0,VLOOKUP(AS127,Tabla_AlcanceFUE,2,0),VLOOKUP(Z130,Tabla_AlcanceFUE,2,0))&amp;" m",""),"")</f>
        <v/>
      </c>
      <c r="AH134" s="5486" t="str">
        <f>IF(ISNUMBER(FIND("Proyectiles",VLOOKUP(AH123,Tabla_ArmasyEscudos,8,0))),"Recarga:","")</f>
        <v/>
      </c>
      <c r="AI134" s="5486"/>
      <c r="AJ134" s="2512" t="str">
        <f>IFERROR(IF(AH134="Recarga:",VLOOKUP(AH123,Tabla_ArmasyEscudos,16,0),""),"")</f>
        <v/>
      </c>
      <c r="AK134" s="838"/>
      <c r="AL134" s="1564"/>
      <c r="AM134" s="1986"/>
      <c r="AN134" s="1986" t="s">
        <v>1401</v>
      </c>
      <c r="AO134" s="1986">
        <f>MIN(VLOOKUP(AF122,Tablas!$X$47:$AF$54,2,0),20)</f>
        <v>20</v>
      </c>
      <c r="AP134" s="1986"/>
      <c r="AQ134" s="1986"/>
      <c r="AR134" s="1986"/>
      <c r="AS134" s="1986"/>
      <c r="AT134" s="1986" t="s">
        <v>1464</v>
      </c>
      <c r="AU134" s="1986"/>
      <c r="AV134" s="1986"/>
      <c r="AW134" s="1986"/>
      <c r="AX134" s="1986"/>
      <c r="AY134" s="1986"/>
      <c r="AZ134" s="1986"/>
      <c r="BA134" s="1986"/>
      <c r="BB134" s="1986"/>
      <c r="BC134" s="1986"/>
      <c r="BD134" s="1986"/>
      <c r="BE134" s="1986"/>
    </row>
    <row r="135" spans="1:57" ht="12" customHeight="1" x14ac:dyDescent="0.2">
      <c r="A135" s="1076"/>
      <c r="B135" s="542"/>
      <c r="C135" s="3796"/>
      <c r="D135" s="3330"/>
      <c r="E135" s="3330"/>
      <c r="F135" s="3330"/>
      <c r="G135" s="3330"/>
      <c r="H135" s="3330"/>
      <c r="I135" s="3330"/>
      <c r="J135" s="3330"/>
      <c r="K135" s="3330"/>
      <c r="L135" s="3330"/>
      <c r="M135" s="3330"/>
      <c r="N135" s="3330"/>
      <c r="O135" s="3330"/>
      <c r="P135" s="3330"/>
      <c r="Q135" s="3797"/>
      <c r="R135" s="1562"/>
      <c r="S135" s="1563"/>
      <c r="T135" s="1563"/>
      <c r="U135" s="1096"/>
      <c r="V135" s="5505"/>
      <c r="W135" s="5517"/>
      <c r="X135" s="5518"/>
      <c r="Y135" s="5518"/>
      <c r="Z135" s="5519"/>
      <c r="AA135" s="5487" t="s">
        <v>1004</v>
      </c>
      <c r="AB135" s="2427" t="s">
        <v>7483</v>
      </c>
      <c r="AC135" s="2598"/>
      <c r="AD135" s="2427" t="s">
        <v>1401</v>
      </c>
      <c r="AE135" s="2596"/>
      <c r="AF135" s="5487" t="s">
        <v>1004</v>
      </c>
      <c r="AG135" s="2427" t="s">
        <v>7483</v>
      </c>
      <c r="AH135" s="2598"/>
      <c r="AI135" s="2427" t="s">
        <v>1401</v>
      </c>
      <c r="AJ135" s="2596"/>
      <c r="AK135" s="838"/>
      <c r="AL135" s="1564"/>
      <c r="AM135" s="1986"/>
      <c r="AN135" s="1986" t="s">
        <v>1976</v>
      </c>
      <c r="AO135" s="1986">
        <f>VLOOKUP(AF122,Tablas!$X$47:$AF$54,9,0)</f>
        <v>12</v>
      </c>
      <c r="AP135" s="1986"/>
      <c r="AQ135" s="1986"/>
      <c r="AR135" s="1986"/>
      <c r="AS135" s="1986"/>
      <c r="AT135" s="1986" t="s">
        <v>1464</v>
      </c>
      <c r="AU135" s="1986"/>
      <c r="AV135" s="1986"/>
      <c r="AW135" s="1986"/>
      <c r="AX135" s="1986"/>
      <c r="AY135" s="1986"/>
      <c r="AZ135" s="1986"/>
      <c r="BA135" s="1986"/>
      <c r="BB135" s="1986"/>
      <c r="BC135" s="1986"/>
      <c r="BD135" s="1986"/>
      <c r="BE135" s="1986"/>
    </row>
    <row r="136" spans="1:57" ht="12" customHeight="1" thickBot="1" x14ac:dyDescent="0.25">
      <c r="A136" s="1076"/>
      <c r="B136" s="542"/>
      <c r="C136" s="3798"/>
      <c r="D136" s="3799"/>
      <c r="E136" s="3799"/>
      <c r="F136" s="3799"/>
      <c r="G136" s="3799"/>
      <c r="H136" s="3799"/>
      <c r="I136" s="3799"/>
      <c r="J136" s="3799"/>
      <c r="K136" s="3799"/>
      <c r="L136" s="3799"/>
      <c r="M136" s="3799"/>
      <c r="N136" s="3799"/>
      <c r="O136" s="3799"/>
      <c r="P136" s="3799"/>
      <c r="Q136" s="3800"/>
      <c r="R136" s="1562"/>
      <c r="S136" s="1563"/>
      <c r="T136" s="1563"/>
      <c r="U136" s="1096"/>
      <c r="V136" s="5506"/>
      <c r="W136" s="5533"/>
      <c r="X136" s="5533"/>
      <c r="Y136" s="5533"/>
      <c r="Z136" s="5533"/>
      <c r="AA136" s="5488"/>
      <c r="AB136" s="1570" t="s">
        <v>8606</v>
      </c>
      <c r="AC136" s="2599"/>
      <c r="AD136" s="2533" t="s">
        <v>1575</v>
      </c>
      <c r="AE136" s="2597"/>
      <c r="AF136" s="5488"/>
      <c r="AG136" s="1570" t="s">
        <v>8606</v>
      </c>
      <c r="AH136" s="2599"/>
      <c r="AI136" s="2533" t="s">
        <v>1575</v>
      </c>
      <c r="AJ136" s="2597"/>
      <c r="AK136" s="838"/>
      <c r="AL136" s="1564"/>
      <c r="AM136" s="1986"/>
      <c r="AN136" s="1986" t="s">
        <v>1579</v>
      </c>
      <c r="AO136" s="1986">
        <f>VLOOKUP(AF122,Tablas!$X$47:$AF$54,8,0)</f>
        <v>0</v>
      </c>
      <c r="AP136" s="1986"/>
      <c r="AQ136" s="1986"/>
      <c r="AR136" s="1986"/>
      <c r="AS136" s="1986"/>
      <c r="AT136" s="1986" t="s">
        <v>1464</v>
      </c>
      <c r="AU136" s="1986"/>
      <c r="AV136" s="1986"/>
      <c r="AW136" s="1986"/>
      <c r="AX136" s="1986"/>
      <c r="AY136" s="1986"/>
      <c r="AZ136" s="1986"/>
      <c r="BA136" s="1986"/>
      <c r="BB136" s="1986"/>
      <c r="BC136" s="1986"/>
      <c r="BD136" s="1986"/>
      <c r="BE136" s="1986"/>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4"/>
      <c r="U137" s="1577"/>
      <c r="V137" s="648"/>
      <c r="W137" s="648"/>
      <c r="X137" s="648"/>
      <c r="Y137" s="648"/>
      <c r="Z137" s="648"/>
      <c r="AA137" s="648"/>
      <c r="AB137" s="648"/>
      <c r="AC137" s="648"/>
      <c r="AD137" s="648"/>
      <c r="AE137" s="648"/>
      <c r="AF137" s="648"/>
      <c r="AG137" s="648"/>
      <c r="AH137" s="648"/>
      <c r="AI137" s="648"/>
      <c r="AJ137" s="648"/>
      <c r="AK137" s="841"/>
      <c r="AL137" s="1564"/>
      <c r="AM137" s="1986"/>
      <c r="AN137" s="1986"/>
      <c r="AO137" s="1986"/>
      <c r="AP137" s="1986"/>
      <c r="AQ137" s="1986"/>
      <c r="AR137" s="1986"/>
      <c r="AS137" s="1986"/>
      <c r="AT137" s="1986"/>
      <c r="AU137" s="1986"/>
      <c r="AV137" s="1986"/>
      <c r="AW137" s="1986"/>
      <c r="AX137" s="1986"/>
      <c r="AY137" s="1986"/>
      <c r="AZ137" s="1986"/>
      <c r="BA137" s="1986"/>
      <c r="BB137" s="1986"/>
      <c r="BC137" s="1986"/>
      <c r="BD137" s="1986"/>
      <c r="BE137" s="1986"/>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1986"/>
      <c r="AN138" s="1986"/>
      <c r="AO138" s="1986"/>
      <c r="AP138" s="1986"/>
      <c r="AQ138" s="1986"/>
      <c r="AR138" s="1986"/>
      <c r="AS138" s="1986"/>
      <c r="AT138" s="1986"/>
      <c r="AU138" s="1986"/>
      <c r="AV138" s="1986"/>
      <c r="AW138" s="1986"/>
      <c r="AX138" s="1986"/>
      <c r="AY138" s="1986"/>
      <c r="AZ138" s="1986"/>
      <c r="BA138" s="1986"/>
      <c r="BB138" s="1986"/>
      <c r="BC138" s="1986"/>
      <c r="BD138" s="1986"/>
      <c r="BE138" s="1986"/>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620" priority="199" stopIfTrue="1" operator="equal">
      <formula>"Armas naturales"</formula>
    </cfRule>
  </conditionalFormatting>
  <conditionalFormatting sqref="Y33:Z33 AF33:AG33">
    <cfRule type="cellIs" dxfId="619" priority="203" stopIfTrue="1" operator="greaterThan">
      <formula>0</formula>
    </cfRule>
  </conditionalFormatting>
  <conditionalFormatting sqref="AE55 AE57 AE59 AE61">
    <cfRule type="cellIs" dxfId="618" priority="204" stopIfTrue="1" operator="equal">
      <formula>0</formula>
    </cfRule>
  </conditionalFormatting>
  <conditionalFormatting sqref="AE56 AE58 AE60">
    <cfRule type="cellIs" dxfId="617" priority="205" stopIfTrue="1" operator="equal">
      <formula>0</formula>
    </cfRule>
  </conditionalFormatting>
  <conditionalFormatting sqref="V56">
    <cfRule type="cellIs" dxfId="616" priority="212" stopIfTrue="1" operator="equal">
      <formula>"Armas naturales"</formula>
    </cfRule>
  </conditionalFormatting>
  <conditionalFormatting sqref="V57">
    <cfRule type="cellIs" dxfId="615" priority="213" stopIfTrue="1" operator="equal">
      <formula>"Armas naturales"</formula>
    </cfRule>
  </conditionalFormatting>
  <conditionalFormatting sqref="V58">
    <cfRule type="cellIs" dxfId="614" priority="214" stopIfTrue="1" operator="equal">
      <formula>"Armas naturales"</formula>
    </cfRule>
  </conditionalFormatting>
  <conditionalFormatting sqref="V59">
    <cfRule type="cellIs" dxfId="613" priority="215" stopIfTrue="1" operator="equal">
      <formula>"Armas naturales"</formula>
    </cfRule>
  </conditionalFormatting>
  <conditionalFormatting sqref="V60">
    <cfRule type="cellIs" dxfId="612" priority="216" stopIfTrue="1" operator="equal">
      <formula>"Armas naturales"</formula>
    </cfRule>
  </conditionalFormatting>
  <conditionalFormatting sqref="E20">
    <cfRule type="expression" dxfId="611" priority="178" stopIfTrue="1">
      <formula>NOT(#REF!="")</formula>
    </cfRule>
  </conditionalFormatting>
  <conditionalFormatting sqref="E23:G24">
    <cfRule type="expression" dxfId="610" priority="4845">
      <formula>$C23=""</formula>
    </cfRule>
  </conditionalFormatting>
  <conditionalFormatting sqref="AD86">
    <cfRule type="expression" dxfId="609" priority="5837">
      <formula>$AF$83="No"</formula>
    </cfRule>
  </conditionalFormatting>
  <conditionalFormatting sqref="AD101:AE101">
    <cfRule type="expression" dxfId="608" priority="50">
      <formula>AA101&lt;&gt;""</formula>
    </cfRule>
  </conditionalFormatting>
  <conditionalFormatting sqref="AD100:AE100">
    <cfRule type="expression" dxfId="607" priority="61">
      <formula>AA100&lt;&gt;""</formula>
    </cfRule>
    <cfRule type="expression" dxfId="606" priority="149">
      <formula>OR(AD100="-",AD100="FIL",AD100="PEN",AD100="CON")</formula>
    </cfRule>
  </conditionalFormatting>
  <conditionalFormatting sqref="N39:Q39">
    <cfRule type="expression" dxfId="605" priority="73">
      <formula>$I$41="Exceso de bonos de transformación"</formula>
    </cfRule>
  </conditionalFormatting>
  <conditionalFormatting sqref="AJ19:AJ20">
    <cfRule type="expression" dxfId="604" priority="69">
      <formula>$AG20&lt;&gt;""</formula>
    </cfRule>
  </conditionalFormatting>
  <conditionalFormatting sqref="AJ23">
    <cfRule type="expression" dxfId="603" priority="68">
      <formula>$AG23&lt;&gt;""</formula>
    </cfRule>
  </conditionalFormatting>
  <conditionalFormatting sqref="AJ27">
    <cfRule type="expression" dxfId="602" priority="67">
      <formula>$AG27&lt;&gt;""</formula>
    </cfRule>
  </conditionalFormatting>
  <conditionalFormatting sqref="AJ24">
    <cfRule type="expression" dxfId="601" priority="66">
      <formula>$AG25&lt;&gt;""</formula>
    </cfRule>
  </conditionalFormatting>
  <conditionalFormatting sqref="AJ28">
    <cfRule type="expression" dxfId="600" priority="65">
      <formula>$AG29&lt;&gt;""</formula>
    </cfRule>
  </conditionalFormatting>
  <conditionalFormatting sqref="AJ21">
    <cfRule type="expression" dxfId="599" priority="64">
      <formula>$AG21&lt;&gt;""</formula>
    </cfRule>
  </conditionalFormatting>
  <conditionalFormatting sqref="AJ25">
    <cfRule type="expression" dxfId="598" priority="63">
      <formula>$AG25&lt;&gt;""</formula>
    </cfRule>
  </conditionalFormatting>
  <conditionalFormatting sqref="AJ29">
    <cfRule type="expression" dxfId="597" priority="62">
      <formula>$AG29&lt;&gt;""</formula>
    </cfRule>
  </conditionalFormatting>
  <conditionalFormatting sqref="AI100:AJ100">
    <cfRule type="expression" dxfId="596" priority="59">
      <formula>AF100&lt;&gt;""</formula>
    </cfRule>
    <cfRule type="expression" dxfId="595" priority="60">
      <formula>OR(AI100="-",AI100="FIL",AI100="PEN",AI100="CON")</formula>
    </cfRule>
  </conditionalFormatting>
  <conditionalFormatting sqref="AD116:AE116">
    <cfRule type="expression" dxfId="594" priority="57">
      <formula>AA116&lt;&gt;""</formula>
    </cfRule>
    <cfRule type="expression" dxfId="593" priority="58">
      <formula>OR(AD116="-",AD116="FIL",AD116="PEN",AD116="CON")</formula>
    </cfRule>
  </conditionalFormatting>
  <conditionalFormatting sqref="AI116:AJ116">
    <cfRule type="expression" dxfId="592" priority="55">
      <formula>AF116&lt;&gt;""</formula>
    </cfRule>
    <cfRule type="expression" dxfId="591" priority="56">
      <formula>OR(AI116="-",AI116="FIL",AI116="PEN",AI116="CON")</formula>
    </cfRule>
  </conditionalFormatting>
  <conditionalFormatting sqref="AD132:AE132">
    <cfRule type="expression" dxfId="590" priority="53">
      <formula>AA132&lt;&gt;""</formula>
    </cfRule>
    <cfRule type="expression" dxfId="589" priority="54">
      <formula>OR(AD132="-",AD132="FIL",AD132="PEN",AD132="CON")</formula>
    </cfRule>
  </conditionalFormatting>
  <conditionalFormatting sqref="AI132:AJ132">
    <cfRule type="expression" dxfId="588" priority="51">
      <formula>AF132&lt;&gt;""</formula>
    </cfRule>
    <cfRule type="expression" dxfId="587" priority="52">
      <formula>OR(AI132="-",AI132="FIL",AI132="PEN",AI132="CON")</formula>
    </cfRule>
  </conditionalFormatting>
  <conditionalFormatting sqref="AB97">
    <cfRule type="expression" dxfId="586" priority="39">
      <formula>AA97&lt;&gt;""</formula>
    </cfRule>
  </conditionalFormatting>
  <conditionalFormatting sqref="AG97">
    <cfRule type="expression" dxfId="585" priority="37">
      <formula>AF97&lt;&gt;""</formula>
    </cfRule>
  </conditionalFormatting>
  <conditionalFormatting sqref="AG113">
    <cfRule type="expression" dxfId="584" priority="36">
      <formula>AF113&lt;&gt;""</formula>
    </cfRule>
  </conditionalFormatting>
  <conditionalFormatting sqref="AB113">
    <cfRule type="expression" dxfId="583" priority="35">
      <formula>AA113&lt;&gt;""</formula>
    </cfRule>
  </conditionalFormatting>
  <conditionalFormatting sqref="AB129">
    <cfRule type="expression" dxfId="582" priority="34">
      <formula>AA129&lt;&gt;""</formula>
    </cfRule>
  </conditionalFormatting>
  <conditionalFormatting sqref="AG129">
    <cfRule type="expression" dxfId="581" priority="33">
      <formula>AF129&lt;&gt;""</formula>
    </cfRule>
  </conditionalFormatting>
  <conditionalFormatting sqref="AC91:AE91 AH91:AI91 AH107:AI107 AH123:AJ123">
    <cfRule type="expression" dxfId="580" priority="11">
      <formula>OR(AA93="-",AD93="-")</formula>
    </cfRule>
    <cfRule type="expression" dxfId="579" priority="32">
      <formula>AA91&lt;&gt;""</formula>
    </cfRule>
  </conditionalFormatting>
  <conditionalFormatting sqref="AI101:AJ101">
    <cfRule type="expression" dxfId="578" priority="25">
      <formula>AF101&lt;&gt;""</formula>
    </cfRule>
  </conditionalFormatting>
  <conditionalFormatting sqref="AD117:AE117">
    <cfRule type="expression" dxfId="577" priority="24">
      <formula>AA117&lt;&gt;""</formula>
    </cfRule>
  </conditionalFormatting>
  <conditionalFormatting sqref="AI117:AJ117">
    <cfRule type="expression" dxfId="576" priority="23">
      <formula>AF117&lt;&gt;""</formula>
    </cfRule>
  </conditionalFormatting>
  <conditionalFormatting sqref="AD133:AE133">
    <cfRule type="expression" dxfId="575" priority="22">
      <formula>AA133&lt;&gt;""</formula>
    </cfRule>
  </conditionalFormatting>
  <conditionalFormatting sqref="AI133:AJ133">
    <cfRule type="expression" dxfId="574" priority="21">
      <formula>AF133&lt;&gt;""</formula>
    </cfRule>
  </conditionalFormatting>
  <conditionalFormatting sqref="E23:G23">
    <cfRule type="expression" dxfId="573" priority="20">
      <formula>C23&lt;&gt;""</formula>
    </cfRule>
  </conditionalFormatting>
  <conditionalFormatting sqref="E24:G24">
    <cfRule type="expression" dxfId="572" priority="19">
      <formula>C24&lt;&gt;""</formula>
    </cfRule>
  </conditionalFormatting>
  <conditionalFormatting sqref="E42:G42">
    <cfRule type="expression" dxfId="571" priority="8652">
      <formula>AND($AN$14,Raza="Ebudan")</formula>
    </cfRule>
  </conditionalFormatting>
  <conditionalFormatting sqref="E42:G42">
    <cfRule type="expression" dxfId="570" priority="8653">
      <formula>AND($AN$14,Raza="Ebudan")</formula>
    </cfRule>
  </conditionalFormatting>
  <conditionalFormatting sqref="C42:D42">
    <cfRule type="expression" dxfId="569" priority="8654">
      <formula>AND($AN$14,Raza="Ebudan")</formula>
    </cfRule>
  </conditionalFormatting>
  <conditionalFormatting sqref="C42:D42">
    <cfRule type="expression" dxfId="568" priority="8655">
      <formula>AND($AN$14,Raza="Ebudan")</formula>
    </cfRule>
  </conditionalFormatting>
  <conditionalFormatting sqref="AF91:AG91">
    <cfRule type="expression" dxfId="567" priority="18">
      <formula>OR(AC91="Armas naturales",AA91="A 2 manos",AA91="Proy. 2M")</formula>
    </cfRule>
  </conditionalFormatting>
  <conditionalFormatting sqref="AF107:AG107">
    <cfRule type="expression" dxfId="566" priority="15">
      <formula>OR(AC107="Armas naturales",AA107="A 2 manos",AA107="Proy. 2M")</formula>
    </cfRule>
  </conditionalFormatting>
  <conditionalFormatting sqref="AF123:AG123">
    <cfRule type="expression" dxfId="565" priority="12">
      <formula>OR(AC123="Armas naturales",AA123="A 2 manos",AA123="Proy. 2M")</formula>
    </cfRule>
  </conditionalFormatting>
  <conditionalFormatting sqref="AF55:AJ61">
    <cfRule type="expression" dxfId="564" priority="8661">
      <formula>$AJ55&gt;$AE55</formula>
    </cfRule>
  </conditionalFormatting>
  <conditionalFormatting sqref="AC21:AE21 AC25:AE25 AC29:AE29">
    <cfRule type="cellIs" dxfId="563" priority="8673" stopIfTrue="1" operator="greaterThan">
      <formula>$K$78</formula>
    </cfRule>
  </conditionalFormatting>
  <conditionalFormatting sqref="AF122:AG122 AF106:AG106 AF90:AG90">
    <cfRule type="expression" dxfId="562" priority="8677">
      <formula>COUNTIF($AN95:$AN99,$AF90)=0</formula>
    </cfRule>
  </conditionalFormatting>
  <conditionalFormatting sqref="AC107:AE107">
    <cfRule type="expression" dxfId="561" priority="7">
      <formula>OR(AA109="-",AD109="-")</formula>
    </cfRule>
    <cfRule type="expression" dxfId="560" priority="8">
      <formula>AA107&lt;&gt;""</formula>
    </cfRule>
  </conditionalFormatting>
  <conditionalFormatting sqref="AC123:AE123">
    <cfRule type="expression" dxfId="559" priority="3">
      <formula>OR(AA125="-",AD125="-")</formula>
    </cfRule>
    <cfRule type="expression" dxfId="558" priority="4">
      <formula>AA123&lt;&gt;""</formula>
    </cfRule>
  </conditionalFormatting>
  <conditionalFormatting sqref="AJ91">
    <cfRule type="expression" dxfId="557" priority="8685">
      <formula>OR(AH93="-",AK109="-")</formula>
    </cfRule>
    <cfRule type="expression" dxfId="556" priority="8686">
      <formula>AH91&lt;&gt;""</formula>
    </cfRule>
  </conditionalFormatting>
  <conditionalFormatting sqref="AJ107">
    <cfRule type="expression" dxfId="555" priority="8689">
      <formula>OR(AH109="-",#REF!="-")</formula>
    </cfRule>
    <cfRule type="expression" dxfId="554"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739" zoomScaleNormal="100" workbookViewId="0">
      <selection activeCell="Z586" sqref="Z586"/>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664"/>
      <c r="C2" s="5534" t="s">
        <v>7576</v>
      </c>
      <c r="D2" s="5534"/>
      <c r="E2" s="5534"/>
      <c r="F2" s="5534"/>
      <c r="G2" s="5534"/>
      <c r="H2" s="5534"/>
      <c r="I2" s="5534"/>
      <c r="J2" s="5534"/>
      <c r="K2" s="5534"/>
      <c r="L2" s="5534"/>
      <c r="M2" s="5534"/>
      <c r="N2" s="5534"/>
      <c r="O2" s="5534"/>
      <c r="P2" s="5534"/>
      <c r="Q2" s="5534"/>
      <c r="R2" s="5534"/>
      <c r="S2" s="5534"/>
      <c r="T2" s="5534"/>
      <c r="U2" s="5534"/>
      <c r="V2" s="5534"/>
      <c r="W2" s="5534"/>
      <c r="X2" s="5534"/>
      <c r="Y2" s="5534"/>
      <c r="Z2" s="5534"/>
      <c r="AA2" s="5534"/>
      <c r="AB2" s="5534"/>
      <c r="AC2" s="5534"/>
      <c r="AD2" s="5534"/>
      <c r="AE2" s="5534"/>
      <c r="AF2" s="5534"/>
      <c r="AG2" s="5534"/>
      <c r="AH2" s="5534"/>
      <c r="AI2" s="5534"/>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664"/>
      <c r="C3" s="5534"/>
      <c r="D3" s="5534"/>
      <c r="E3" s="5534"/>
      <c r="F3" s="5534"/>
      <c r="G3" s="5534"/>
      <c r="H3" s="5534"/>
      <c r="I3" s="5534"/>
      <c r="J3" s="5534"/>
      <c r="K3" s="5534"/>
      <c r="L3" s="5534"/>
      <c r="M3" s="5534"/>
      <c r="N3" s="5534"/>
      <c r="O3" s="5534"/>
      <c r="P3" s="5534"/>
      <c r="Q3" s="5534"/>
      <c r="R3" s="5534"/>
      <c r="S3" s="5534"/>
      <c r="T3" s="5534"/>
      <c r="U3" s="5534"/>
      <c r="V3" s="5534"/>
      <c r="W3" s="5534"/>
      <c r="X3" s="5534"/>
      <c r="Y3" s="5534"/>
      <c r="Z3" s="5534"/>
      <c r="AA3" s="5534"/>
      <c r="AB3" s="5534"/>
      <c r="AC3" s="5534"/>
      <c r="AD3" s="5534"/>
      <c r="AE3" s="5534"/>
      <c r="AF3" s="5534"/>
      <c r="AG3" s="5534"/>
      <c r="AH3" s="5534"/>
      <c r="AI3" s="5534"/>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664"/>
      <c r="C4" s="5534"/>
      <c r="D4" s="5534"/>
      <c r="E4" s="5534"/>
      <c r="F4" s="5534"/>
      <c r="G4" s="5534"/>
      <c r="H4" s="5534"/>
      <c r="I4" s="5534"/>
      <c r="J4" s="5534"/>
      <c r="K4" s="5534"/>
      <c r="L4" s="5534"/>
      <c r="M4" s="5534"/>
      <c r="N4" s="5534"/>
      <c r="O4" s="5534"/>
      <c r="P4" s="5534"/>
      <c r="Q4" s="5534"/>
      <c r="R4" s="5534"/>
      <c r="S4" s="5534"/>
      <c r="T4" s="5534"/>
      <c r="U4" s="5534"/>
      <c r="V4" s="5534"/>
      <c r="W4" s="5534"/>
      <c r="X4" s="5534"/>
      <c r="Y4" s="5534"/>
      <c r="Z4" s="5534"/>
      <c r="AA4" s="5534"/>
      <c r="AB4" s="5534"/>
      <c r="AC4" s="5534"/>
      <c r="AD4" s="5534"/>
      <c r="AE4" s="5534"/>
      <c r="AF4" s="5534"/>
      <c r="AG4" s="5534"/>
      <c r="AH4" s="5534"/>
      <c r="AI4" s="5534"/>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664"/>
      <c r="H5"/>
      <c r="I5" s="624"/>
      <c r="N5"/>
      <c r="O5" s="624"/>
    </row>
    <row r="6" spans="1:109" ht="12.75" customHeight="1" thickBot="1" x14ac:dyDescent="0.25">
      <c r="A6" s="242">
        <v>6</v>
      </c>
      <c r="B6" s="5664"/>
      <c r="C6" s="3156" t="s">
        <v>2120</v>
      </c>
      <c r="E6" s="3156" t="s">
        <v>1311</v>
      </c>
      <c r="G6" s="3156" t="s">
        <v>813</v>
      </c>
      <c r="H6" s="3156"/>
      <c r="I6" s="624"/>
      <c r="J6" s="5767" t="s">
        <v>8947</v>
      </c>
      <c r="K6" s="5767"/>
      <c r="L6" s="5767"/>
      <c r="M6" s="5767"/>
      <c r="N6" s="5767"/>
      <c r="O6" s="5767"/>
      <c r="P6" s="5767"/>
      <c r="Q6" s="5767"/>
      <c r="S6" s="5768" t="s">
        <v>6750</v>
      </c>
      <c r="T6" s="5769"/>
      <c r="U6" s="5769"/>
      <c r="V6" s="5769"/>
      <c r="W6" s="5769"/>
      <c r="X6" s="5770"/>
      <c r="Y6" s="1370"/>
      <c r="Z6" s="1370"/>
    </row>
    <row r="7" spans="1:109" ht="12.75" customHeight="1" thickBot="1" x14ac:dyDescent="0.25">
      <c r="A7" s="242">
        <v>7</v>
      </c>
      <c r="B7" s="5664"/>
      <c r="C7" s="3156"/>
      <c r="E7" s="3156"/>
      <c r="G7" s="3156"/>
      <c r="H7" s="3156"/>
      <c r="I7" s="624"/>
      <c r="J7" s="5767" t="s">
        <v>8948</v>
      </c>
      <c r="K7" s="5767"/>
      <c r="L7" s="5767"/>
      <c r="M7" s="5767"/>
      <c r="N7" s="5767"/>
      <c r="O7" s="5767"/>
      <c r="P7" s="5767"/>
      <c r="Q7" s="5767"/>
      <c r="S7" s="5771"/>
      <c r="T7" s="5772"/>
      <c r="U7" s="5772"/>
      <c r="V7" s="5772"/>
      <c r="W7" s="5772"/>
      <c r="X7" s="5773"/>
      <c r="Y7" s="1370"/>
      <c r="Z7" s="1370"/>
    </row>
    <row r="8" spans="1:109" ht="12.75" customHeight="1" thickBot="1" x14ac:dyDescent="0.25">
      <c r="A8" s="242">
        <v>8</v>
      </c>
      <c r="B8" s="5664"/>
      <c r="C8" s="223" t="s">
        <v>2121</v>
      </c>
      <c r="E8" s="239" t="s">
        <v>1312</v>
      </c>
      <c r="G8" s="192" t="s">
        <v>814</v>
      </c>
      <c r="H8" s="40"/>
      <c r="I8" s="624"/>
      <c r="J8" s="5782" t="s">
        <v>10257</v>
      </c>
      <c r="K8" s="5782"/>
      <c r="L8" s="5782"/>
      <c r="M8" s="5782"/>
      <c r="N8" s="5782"/>
      <c r="O8" s="5782"/>
      <c r="P8" s="5782"/>
      <c r="Q8" s="5782"/>
      <c r="S8" s="773"/>
      <c r="T8" s="183" t="s">
        <v>6760</v>
      </c>
      <c r="U8" s="196" t="s">
        <v>6759</v>
      </c>
      <c r="V8" s="196" t="s">
        <v>6754</v>
      </c>
      <c r="W8" s="196" t="s">
        <v>6755</v>
      </c>
      <c r="X8" s="774" t="s">
        <v>650</v>
      </c>
    </row>
    <row r="9" spans="1:109" ht="12.75" customHeight="1" thickBot="1" x14ac:dyDescent="0.25">
      <c r="A9" s="242">
        <v>9</v>
      </c>
      <c r="B9" s="5664"/>
      <c r="C9" s="224" t="s">
        <v>1389</v>
      </c>
      <c r="E9" s="240" t="s">
        <v>1313</v>
      </c>
      <c r="G9" s="193" t="s">
        <v>815</v>
      </c>
      <c r="H9" s="78"/>
      <c r="I9" s="624"/>
      <c r="J9" s="5782"/>
      <c r="K9" s="5782"/>
      <c r="L9" s="5782"/>
      <c r="M9" s="5782"/>
      <c r="N9" s="5782"/>
      <c r="O9" s="5782"/>
      <c r="P9" s="5782"/>
      <c r="Q9" s="5782"/>
      <c r="S9" s="694" t="s">
        <v>6751</v>
      </c>
      <c r="T9" s="95">
        <f>VLOOKUP($S9&amp;$X$15,$U$14:$W$22,2,FALSE)</f>
        <v>0</v>
      </c>
      <c r="U9" s="95">
        <f>VLOOKUP($S9&amp;$X$15,$U$14:$W$22,3,FALSE)</f>
        <v>0</v>
      </c>
      <c r="V9" s="95">
        <f>1/4</f>
        <v>0.25</v>
      </c>
      <c r="W9" s="95"/>
      <c r="X9" s="543">
        <v>0</v>
      </c>
    </row>
    <row r="10" spans="1:109" ht="12.75" customHeight="1" thickBot="1" x14ac:dyDescent="0.25">
      <c r="A10" s="242">
        <v>10</v>
      </c>
      <c r="B10" s="5664"/>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664"/>
      <c r="C11" s="5707" t="s">
        <v>1993</v>
      </c>
      <c r="D11" s="5707"/>
      <c r="E11" s="5707"/>
      <c r="G11" s="5708" t="s">
        <v>2035</v>
      </c>
      <c r="H11" s="5708"/>
      <c r="I11" s="5708"/>
      <c r="J11" s="5708"/>
      <c r="L11" s="5576" t="s">
        <v>1152</v>
      </c>
      <c r="M11" s="5577"/>
      <c r="N11" s="5578"/>
      <c r="O11" s="624"/>
      <c r="P11" s="4400" t="s">
        <v>1210</v>
      </c>
      <c r="Q11" s="4400"/>
      <c r="S11" s="694" t="s">
        <v>6752</v>
      </c>
      <c r="T11" s="95">
        <f>VLOOKUP($S11&amp;$X$15,$U$14:$W$22,2,FALSE)</f>
        <v>20</v>
      </c>
      <c r="U11" s="95">
        <f>VLOOKUP($S11&amp;$X$15,$U$14:$W$22,3,FALSE)</f>
        <v>0.25</v>
      </c>
      <c r="V11" s="95">
        <v>1</v>
      </c>
      <c r="W11" s="95"/>
      <c r="X11" s="543">
        <v>1</v>
      </c>
    </row>
    <row r="12" spans="1:109" ht="12.75" customHeight="1" thickBot="1" x14ac:dyDescent="0.25">
      <c r="A12" s="242">
        <v>12</v>
      </c>
      <c r="B12" s="5664"/>
      <c r="C12" s="5707"/>
      <c r="D12" s="5707"/>
      <c r="E12" s="5707"/>
      <c r="G12" s="5708"/>
      <c r="H12" s="5708"/>
      <c r="I12" s="5708"/>
      <c r="J12" s="5708"/>
      <c r="L12" s="5579"/>
      <c r="M12" s="4400"/>
      <c r="N12" s="5580"/>
      <c r="O12" s="624"/>
      <c r="P12" s="4400"/>
      <c r="Q12" s="4400"/>
      <c r="S12" s="844" t="s">
        <v>7326</v>
      </c>
      <c r="T12" s="547" t="s">
        <v>1464</v>
      </c>
      <c r="U12" s="547" t="s">
        <v>1464</v>
      </c>
      <c r="V12" s="547" t="s">
        <v>1464</v>
      </c>
      <c r="W12" s="547" t="s">
        <v>1464</v>
      </c>
      <c r="X12" s="775" t="s">
        <v>1464</v>
      </c>
    </row>
    <row r="13" spans="1:109" ht="12.75" customHeight="1" thickBot="1" x14ac:dyDescent="0.25">
      <c r="A13" s="242">
        <v>13</v>
      </c>
      <c r="B13" s="5664"/>
      <c r="C13" s="673" t="s">
        <v>1994</v>
      </c>
      <c r="D13" s="183" t="s">
        <v>1375</v>
      </c>
      <c r="E13" s="184" t="s">
        <v>1498</v>
      </c>
      <c r="G13" s="182" t="s">
        <v>1391</v>
      </c>
      <c r="H13" s="183" t="s">
        <v>2036</v>
      </c>
      <c r="I13" s="183" t="s">
        <v>2037</v>
      </c>
      <c r="J13" s="184" t="s">
        <v>2038</v>
      </c>
      <c r="L13" s="1588" t="s">
        <v>1391</v>
      </c>
      <c r="M13" s="1589" t="s">
        <v>1153</v>
      </c>
      <c r="N13" s="1590" t="s">
        <v>8934</v>
      </c>
      <c r="O13" s="624"/>
      <c r="P13" s="209" t="s">
        <v>1211</v>
      </c>
      <c r="Q13" s="211" t="s">
        <v>1212</v>
      </c>
      <c r="S13" s="779"/>
      <c r="T13" s="782" t="s">
        <v>2080</v>
      </c>
      <c r="U13" s="848" t="s">
        <v>6758</v>
      </c>
      <c r="V13" s="783" t="s">
        <v>6753</v>
      </c>
      <c r="W13" s="784" t="s">
        <v>2885</v>
      </c>
      <c r="X13" s="776" t="s">
        <v>6757</v>
      </c>
    </row>
    <row r="14" spans="1:109" ht="12.75" customHeight="1" x14ac:dyDescent="0.2">
      <c r="A14" s="242">
        <v>14</v>
      </c>
      <c r="B14" s="5664"/>
      <c r="C14" s="674">
        <v>1</v>
      </c>
      <c r="D14" s="201">
        <v>-30</v>
      </c>
      <c r="E14" s="202">
        <v>1</v>
      </c>
      <c r="G14" s="203">
        <v>1</v>
      </c>
      <c r="H14" s="95">
        <v>0</v>
      </c>
      <c r="I14" s="95">
        <v>0.5</v>
      </c>
      <c r="J14" s="59">
        <v>1</v>
      </c>
      <c r="L14" s="1587">
        <v>1</v>
      </c>
      <c r="M14" s="1511">
        <v>-30</v>
      </c>
      <c r="N14" s="1512"/>
      <c r="O14" s="624"/>
      <c r="P14" s="80">
        <v>1</v>
      </c>
      <c r="Q14" s="247">
        <v>1</v>
      </c>
      <c r="S14" s="779" t="s">
        <v>6751</v>
      </c>
      <c r="T14" s="1126" t="s">
        <v>2097</v>
      </c>
      <c r="U14" s="849" t="str">
        <f>S14&amp;T14</f>
        <v>BajoMístico</v>
      </c>
      <c r="V14" s="95">
        <v>40</v>
      </c>
      <c r="W14" s="785">
        <f>0.3</f>
        <v>0.3</v>
      </c>
      <c r="X14" s="777" t="str">
        <f>IF(PDs!P5="","",VLOOKUP(PDs!P5,$D$202:$CH$223,83,FALSE))</f>
        <v>SinSin</v>
      </c>
    </row>
    <row r="15" spans="1:109" ht="12.75" customHeight="1" thickBot="1" x14ac:dyDescent="0.25">
      <c r="A15" s="242">
        <v>15</v>
      </c>
      <c r="B15" s="5664"/>
      <c r="C15" s="675">
        <v>2</v>
      </c>
      <c r="D15" s="95">
        <v>-20</v>
      </c>
      <c r="E15" s="59">
        <v>2</v>
      </c>
      <c r="G15" s="203">
        <v>2</v>
      </c>
      <c r="H15" s="95">
        <v>0</v>
      </c>
      <c r="I15" s="95">
        <v>5</v>
      </c>
      <c r="J15" s="59">
        <v>10</v>
      </c>
      <c r="L15" s="694">
        <v>2</v>
      </c>
      <c r="M15" s="95">
        <v>-30</v>
      </c>
      <c r="N15" s="543"/>
      <c r="O15" s="624"/>
      <c r="P15" s="80">
        <v>2</v>
      </c>
      <c r="Q15" s="247">
        <v>1</v>
      </c>
      <c r="S15" s="780" t="s">
        <v>6751</v>
      </c>
      <c r="T15" s="1126" t="s">
        <v>6756</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664"/>
      <c r="C16" s="675">
        <v>3</v>
      </c>
      <c r="D16" s="95">
        <v>-10</v>
      </c>
      <c r="E16" s="59">
        <v>3</v>
      </c>
      <c r="G16" s="203">
        <v>3</v>
      </c>
      <c r="H16" s="95">
        <v>0</v>
      </c>
      <c r="I16" s="95">
        <v>10</v>
      </c>
      <c r="J16" s="59">
        <v>20</v>
      </c>
      <c r="L16" s="694">
        <v>3</v>
      </c>
      <c r="M16" s="95">
        <v>-30</v>
      </c>
      <c r="N16" s="543"/>
      <c r="O16" s="624"/>
      <c r="P16" s="80">
        <v>3</v>
      </c>
      <c r="Q16" s="247">
        <v>1</v>
      </c>
      <c r="S16" s="780" t="s">
        <v>6751</v>
      </c>
      <c r="T16" s="1126" t="s">
        <v>6557</v>
      </c>
      <c r="U16" s="849" t="str">
        <f t="shared" si="0"/>
        <v>BajoOtros</v>
      </c>
      <c r="V16" s="95">
        <v>0</v>
      </c>
      <c r="W16" s="785">
        <v>0</v>
      </c>
    </row>
    <row r="17" spans="1:36" ht="12.75" customHeight="1" x14ac:dyDescent="0.2">
      <c r="A17" s="242">
        <v>17</v>
      </c>
      <c r="B17" s="5664"/>
      <c r="C17" s="675">
        <v>4</v>
      </c>
      <c r="D17" s="95">
        <v>-5</v>
      </c>
      <c r="E17" s="59">
        <v>4</v>
      </c>
      <c r="G17" s="203">
        <v>4</v>
      </c>
      <c r="H17" s="95">
        <v>0</v>
      </c>
      <c r="I17" s="95">
        <v>15</v>
      </c>
      <c r="J17" s="59">
        <v>40</v>
      </c>
      <c r="L17" s="694">
        <v>4</v>
      </c>
      <c r="M17" s="95">
        <v>-10</v>
      </c>
      <c r="N17" s="543"/>
      <c r="O17" s="624"/>
      <c r="P17" s="80">
        <v>4</v>
      </c>
      <c r="Q17" s="247">
        <v>1</v>
      </c>
      <c r="S17" s="779" t="s">
        <v>1737</v>
      </c>
      <c r="T17" s="1127" t="s">
        <v>2097</v>
      </c>
      <c r="U17" s="850" t="str">
        <f t="shared" si="0"/>
        <v>MedioMístico</v>
      </c>
      <c r="V17" s="787">
        <v>50</v>
      </c>
      <c r="W17" s="788">
        <v>0.5</v>
      </c>
    </row>
    <row r="18" spans="1:36" ht="12.75" customHeight="1" thickBot="1" x14ac:dyDescent="0.25">
      <c r="A18" s="242">
        <v>18</v>
      </c>
      <c r="B18" s="5664"/>
      <c r="C18" s="675">
        <v>5</v>
      </c>
      <c r="D18" s="95">
        <v>0</v>
      </c>
      <c r="E18" s="59">
        <v>5</v>
      </c>
      <c r="G18" s="203">
        <v>5</v>
      </c>
      <c r="H18" s="95">
        <v>0</v>
      </c>
      <c r="I18" s="95">
        <v>25</v>
      </c>
      <c r="J18" s="59">
        <v>60</v>
      </c>
      <c r="L18" s="694">
        <v>5</v>
      </c>
      <c r="M18" s="95">
        <v>0</v>
      </c>
      <c r="N18" s="543"/>
      <c r="O18" s="624"/>
      <c r="P18" s="80">
        <v>5</v>
      </c>
      <c r="Q18" s="247">
        <v>1</v>
      </c>
      <c r="S18" s="780" t="s">
        <v>1737</v>
      </c>
      <c r="T18" s="1126" t="s">
        <v>6756</v>
      </c>
      <c r="U18" s="849" t="str">
        <f t="shared" si="0"/>
        <v>MedioMixto</v>
      </c>
      <c r="V18" s="95">
        <v>40</v>
      </c>
      <c r="W18" s="785">
        <v>0.4</v>
      </c>
    </row>
    <row r="19" spans="1:36" ht="12.75" customHeight="1" x14ac:dyDescent="0.2">
      <c r="A19" s="242">
        <v>19</v>
      </c>
      <c r="B19" s="5664"/>
      <c r="C19" s="676">
        <v>6</v>
      </c>
      <c r="D19" s="95">
        <v>5</v>
      </c>
      <c r="E19" s="59">
        <v>6</v>
      </c>
      <c r="G19" s="97">
        <v>6</v>
      </c>
      <c r="H19" s="95">
        <v>0</v>
      </c>
      <c r="I19" s="95">
        <v>40</v>
      </c>
      <c r="J19" s="59">
        <v>120</v>
      </c>
      <c r="L19" s="694">
        <v>6</v>
      </c>
      <c r="M19" s="95">
        <v>0</v>
      </c>
      <c r="N19" s="543"/>
      <c r="O19" s="624"/>
      <c r="P19" s="80">
        <v>6</v>
      </c>
      <c r="Q19" s="247">
        <v>1</v>
      </c>
      <c r="S19" s="781" t="s">
        <v>1737</v>
      </c>
      <c r="T19" s="1128" t="s">
        <v>6557</v>
      </c>
      <c r="U19" s="851" t="str">
        <f t="shared" si="0"/>
        <v>MedioOtros</v>
      </c>
      <c r="V19" s="786">
        <v>10</v>
      </c>
      <c r="W19" s="786">
        <v>0.1</v>
      </c>
      <c r="X19" s="5776" t="s">
        <v>7410</v>
      </c>
    </row>
    <row r="20" spans="1:36" ht="12.75" customHeight="1" x14ac:dyDescent="0.2">
      <c r="A20" s="242">
        <v>20</v>
      </c>
      <c r="B20" s="5664"/>
      <c r="C20" s="676">
        <v>7</v>
      </c>
      <c r="D20" s="95">
        <v>5</v>
      </c>
      <c r="E20" s="59">
        <v>7</v>
      </c>
      <c r="G20" s="97">
        <v>7</v>
      </c>
      <c r="H20" s="95">
        <v>0</v>
      </c>
      <c r="I20" s="95">
        <v>60</v>
      </c>
      <c r="J20" s="59">
        <v>180</v>
      </c>
      <c r="L20" s="694">
        <v>7</v>
      </c>
      <c r="M20" s="95">
        <v>10</v>
      </c>
      <c r="N20" s="543"/>
      <c r="O20" s="624"/>
      <c r="P20" s="80">
        <v>7</v>
      </c>
      <c r="Q20" s="247">
        <v>1</v>
      </c>
      <c r="S20" s="780" t="s">
        <v>6752</v>
      </c>
      <c r="T20" s="1126" t="s">
        <v>2097</v>
      </c>
      <c r="U20" s="849" t="str">
        <f t="shared" si="0"/>
        <v>AltoMístico</v>
      </c>
      <c r="V20" s="95">
        <v>60</v>
      </c>
      <c r="W20" s="95">
        <v>0.8</v>
      </c>
      <c r="X20" s="5777"/>
    </row>
    <row r="21" spans="1:36" ht="12.75" customHeight="1" x14ac:dyDescent="0.2">
      <c r="A21" s="242">
        <v>21</v>
      </c>
      <c r="B21" s="5664"/>
      <c r="C21" s="676">
        <v>8</v>
      </c>
      <c r="D21" s="95">
        <v>10</v>
      </c>
      <c r="E21" s="59">
        <v>8</v>
      </c>
      <c r="G21" s="97">
        <v>8</v>
      </c>
      <c r="H21" s="95">
        <v>1</v>
      </c>
      <c r="I21" s="95">
        <v>80</v>
      </c>
      <c r="J21" s="59">
        <v>260</v>
      </c>
      <c r="L21" s="694">
        <v>8</v>
      </c>
      <c r="M21" s="95">
        <v>20</v>
      </c>
      <c r="N21" s="543"/>
      <c r="O21" s="624"/>
      <c r="P21" s="80">
        <v>8</v>
      </c>
      <c r="Q21" s="247">
        <v>1</v>
      </c>
      <c r="S21" s="780" t="s">
        <v>6752</v>
      </c>
      <c r="T21" s="1126" t="s">
        <v>6756</v>
      </c>
      <c r="U21" s="849" t="str">
        <f t="shared" si="0"/>
        <v>AltoMixto</v>
      </c>
      <c r="V21" s="95">
        <v>50</v>
      </c>
      <c r="W21" s="95">
        <v>0.6</v>
      </c>
      <c r="X21" s="5801" t="b">
        <f>AND(Nivel_Sobrenatural&lt;&gt;Tablas!S12,General!$X$12="")</f>
        <v>0</v>
      </c>
    </row>
    <row r="22" spans="1:36" ht="12.75" customHeight="1" thickBot="1" x14ac:dyDescent="0.25">
      <c r="A22" s="242">
        <v>22</v>
      </c>
      <c r="B22" s="5664"/>
      <c r="C22" s="676">
        <v>9</v>
      </c>
      <c r="D22" s="95">
        <v>10</v>
      </c>
      <c r="E22" s="59">
        <v>10</v>
      </c>
      <c r="G22" s="97">
        <v>9</v>
      </c>
      <c r="H22" s="95">
        <v>1</v>
      </c>
      <c r="I22" s="95">
        <v>100</v>
      </c>
      <c r="J22" s="59">
        <v>350</v>
      </c>
      <c r="L22" s="694">
        <v>9</v>
      </c>
      <c r="M22" s="95">
        <v>30</v>
      </c>
      <c r="N22" s="543"/>
      <c r="O22" s="624"/>
      <c r="P22" s="80">
        <v>9</v>
      </c>
      <c r="Q22" s="247">
        <v>1</v>
      </c>
      <c r="S22" s="781" t="s">
        <v>6752</v>
      </c>
      <c r="T22" s="1128" t="s">
        <v>6557</v>
      </c>
      <c r="U22" s="851" t="str">
        <f t="shared" si="0"/>
        <v>AltoOtros</v>
      </c>
      <c r="V22" s="786">
        <v>20</v>
      </c>
      <c r="W22" s="786">
        <v>0.25</v>
      </c>
      <c r="X22" s="5802"/>
    </row>
    <row r="23" spans="1:36" ht="12.75" customHeight="1" thickBot="1" x14ac:dyDescent="0.25">
      <c r="A23" s="242">
        <v>23</v>
      </c>
      <c r="B23" s="5664"/>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664"/>
      <c r="C24" s="676">
        <v>11</v>
      </c>
      <c r="D24" s="95">
        <v>20</v>
      </c>
      <c r="E24" s="59">
        <v>20</v>
      </c>
      <c r="G24" s="97">
        <v>11</v>
      </c>
      <c r="H24" s="95">
        <v>3</v>
      </c>
      <c r="I24" s="95">
        <v>200</v>
      </c>
      <c r="J24" s="59">
        <v>600</v>
      </c>
      <c r="L24" s="694">
        <v>11</v>
      </c>
      <c r="M24" s="95">
        <v>100</v>
      </c>
      <c r="N24" s="543">
        <v>5</v>
      </c>
      <c r="O24" s="624"/>
      <c r="P24" s="80">
        <v>11</v>
      </c>
      <c r="Q24" s="247">
        <v>2</v>
      </c>
      <c r="T24" s="5778" t="s">
        <v>7430</v>
      </c>
      <c r="U24" s="5779"/>
      <c r="W24" s="5576" t="s">
        <v>1150</v>
      </c>
      <c r="X24" s="5577"/>
      <c r="Y24" s="5578"/>
      <c r="AA24" s="5783" t="s">
        <v>2106</v>
      </c>
      <c r="AB24" s="5784"/>
      <c r="AC24" s="5785"/>
      <c r="AE24" s="5783" t="s">
        <v>2109</v>
      </c>
      <c r="AF24" s="5784"/>
      <c r="AG24" s="5785"/>
      <c r="AI24" s="5849" t="s">
        <v>1483</v>
      </c>
      <c r="AJ24" s="5850"/>
    </row>
    <row r="25" spans="1:36" ht="12.75" customHeight="1" x14ac:dyDescent="0.2">
      <c r="A25" s="242">
        <v>25</v>
      </c>
      <c r="B25" s="5664"/>
      <c r="C25" s="676">
        <v>12</v>
      </c>
      <c r="D25" s="95">
        <v>20</v>
      </c>
      <c r="E25" s="59">
        <v>30</v>
      </c>
      <c r="G25" s="97">
        <v>12</v>
      </c>
      <c r="H25" s="95">
        <v>3</v>
      </c>
      <c r="I25" s="95">
        <v>350</v>
      </c>
      <c r="J25" s="59">
        <v>1000</v>
      </c>
      <c r="L25" s="694">
        <v>12</v>
      </c>
      <c r="M25" s="95">
        <v>250</v>
      </c>
      <c r="N25" s="543">
        <v>10</v>
      </c>
      <c r="O25" s="624"/>
      <c r="P25" s="80">
        <v>12</v>
      </c>
      <c r="Q25" s="247">
        <v>2</v>
      </c>
      <c r="T25" s="5780"/>
      <c r="U25" s="5781"/>
      <c r="W25" s="5579"/>
      <c r="X25" s="4400"/>
      <c r="Y25" s="5580"/>
      <c r="AA25" s="5786"/>
      <c r="AB25" s="5787"/>
      <c r="AC25" s="5788"/>
      <c r="AE25" s="5786"/>
      <c r="AF25" s="5787"/>
      <c r="AG25" s="5788"/>
      <c r="AI25" s="5851"/>
      <c r="AJ25" s="5852"/>
    </row>
    <row r="26" spans="1:36" ht="13.5" customHeight="1" thickBot="1" x14ac:dyDescent="0.25">
      <c r="A26" s="242">
        <v>26</v>
      </c>
      <c r="B26" s="5664"/>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2107</v>
      </c>
      <c r="AB26" s="1346" t="s">
        <v>1366</v>
      </c>
      <c r="AC26" s="1373" t="s">
        <v>2108</v>
      </c>
      <c r="AE26" s="1372" t="s">
        <v>2110</v>
      </c>
      <c r="AF26" s="1374" t="s">
        <v>2111</v>
      </c>
      <c r="AG26" s="1373" t="s">
        <v>2108</v>
      </c>
      <c r="AI26" s="1375" t="s">
        <v>1394</v>
      </c>
      <c r="AJ26" s="1376" t="s">
        <v>1149</v>
      </c>
    </row>
    <row r="27" spans="1:36" ht="12.75" customHeight="1" x14ac:dyDescent="0.2">
      <c r="A27" s="242">
        <v>27</v>
      </c>
      <c r="B27" s="5664"/>
      <c r="C27" s="676">
        <v>14</v>
      </c>
      <c r="D27" s="95">
        <v>25</v>
      </c>
      <c r="E27" s="59">
        <v>50</v>
      </c>
      <c r="G27" s="97">
        <v>14</v>
      </c>
      <c r="H27" s="95">
        <v>4</v>
      </c>
      <c r="I27" s="95">
        <v>5000</v>
      </c>
      <c r="J27" s="59">
        <v>25000</v>
      </c>
      <c r="L27" s="694">
        <v>14</v>
      </c>
      <c r="M27" s="95">
        <v>1000</v>
      </c>
      <c r="N27" s="543">
        <v>15</v>
      </c>
      <c r="O27" s="624"/>
      <c r="P27" s="80">
        <v>14</v>
      </c>
      <c r="Q27" s="247">
        <v>3</v>
      </c>
      <c r="T27" s="694">
        <v>20</v>
      </c>
      <c r="U27" s="543" t="s">
        <v>7431</v>
      </c>
      <c r="W27" s="97">
        <v>0</v>
      </c>
      <c r="X27" s="95">
        <v>0</v>
      </c>
      <c r="Y27" s="1377"/>
      <c r="AA27" s="676">
        <v>0</v>
      </c>
      <c r="AB27" s="56" t="s">
        <v>1464</v>
      </c>
      <c r="AC27" s="1377" t="s">
        <v>1464</v>
      </c>
      <c r="AE27" s="676">
        <v>0</v>
      </c>
      <c r="AF27" s="56" t="s">
        <v>2112</v>
      </c>
      <c r="AG27" s="1377">
        <v>0</v>
      </c>
      <c r="AI27" s="1378">
        <v>1</v>
      </c>
      <c r="AJ27" s="1377">
        <v>1</v>
      </c>
    </row>
    <row r="28" spans="1:36" ht="12.75" customHeight="1" x14ac:dyDescent="0.2">
      <c r="A28" s="242">
        <v>28</v>
      </c>
      <c r="B28" s="5664"/>
      <c r="C28" s="675">
        <v>15</v>
      </c>
      <c r="D28" s="95">
        <v>30</v>
      </c>
      <c r="E28" s="59">
        <v>60</v>
      </c>
      <c r="G28" s="203">
        <v>15</v>
      </c>
      <c r="H28" s="95">
        <v>5</v>
      </c>
      <c r="I28" s="95">
        <v>15000</v>
      </c>
      <c r="J28" s="59">
        <v>100000</v>
      </c>
      <c r="L28" s="694">
        <v>15</v>
      </c>
      <c r="M28" s="95">
        <v>5000</v>
      </c>
      <c r="N28" s="543">
        <v>15</v>
      </c>
      <c r="O28" s="624"/>
      <c r="P28" s="80">
        <v>15</v>
      </c>
      <c r="Q28" s="247">
        <v>3</v>
      </c>
      <c r="T28" s="694">
        <v>40</v>
      </c>
      <c r="U28" s="543" t="s">
        <v>7432</v>
      </c>
      <c r="W28" s="97">
        <v>5</v>
      </c>
      <c r="X28" s="95">
        <v>0</v>
      </c>
      <c r="Y28" s="1377"/>
      <c r="AA28" s="676">
        <v>9</v>
      </c>
      <c r="AB28" s="56">
        <v>20</v>
      </c>
      <c r="AC28" s="144">
        <v>5</v>
      </c>
      <c r="AE28" s="676">
        <v>10</v>
      </c>
      <c r="AF28" s="56" t="s">
        <v>2113</v>
      </c>
      <c r="AG28" s="144">
        <v>-1</v>
      </c>
      <c r="AI28" s="1378">
        <v>2</v>
      </c>
      <c r="AJ28" s="1377">
        <v>1</v>
      </c>
    </row>
    <row r="29" spans="1:36" ht="12.75" customHeight="1" x14ac:dyDescent="0.2">
      <c r="A29" s="242">
        <v>29</v>
      </c>
      <c r="B29" s="5664"/>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7433</v>
      </c>
      <c r="W29" s="97">
        <v>10</v>
      </c>
      <c r="X29" s="95">
        <v>0</v>
      </c>
      <c r="Y29" s="1377"/>
      <c r="AA29" s="676">
        <v>13</v>
      </c>
      <c r="AB29" s="56">
        <v>30</v>
      </c>
      <c r="AC29" s="144">
        <v>10</v>
      </c>
      <c r="AE29" s="676">
        <v>20</v>
      </c>
      <c r="AF29" s="56" t="s">
        <v>2114</v>
      </c>
      <c r="AG29" s="144">
        <v>-3</v>
      </c>
      <c r="AI29" s="1378">
        <v>3</v>
      </c>
      <c r="AJ29" s="1377">
        <v>1</v>
      </c>
    </row>
    <row r="30" spans="1:36" ht="12.75" customHeight="1" x14ac:dyDescent="0.2">
      <c r="A30" s="242">
        <v>30</v>
      </c>
      <c r="B30" s="5664"/>
      <c r="C30" s="676">
        <v>17</v>
      </c>
      <c r="D30" s="95">
        <v>35</v>
      </c>
      <c r="E30" s="59">
        <v>80</v>
      </c>
      <c r="G30" s="97">
        <v>17</v>
      </c>
      <c r="H30" s="95">
        <v>5</v>
      </c>
      <c r="I30" s="95">
        <v>500000</v>
      </c>
      <c r="J30" s="2812">
        <v>2500000</v>
      </c>
      <c r="L30" s="694">
        <v>17</v>
      </c>
      <c r="M30" s="95">
        <v>10000</v>
      </c>
      <c r="N30" s="543">
        <v>20</v>
      </c>
      <c r="O30" s="624"/>
      <c r="P30" s="80">
        <v>17</v>
      </c>
      <c r="Q30" s="247">
        <v>4</v>
      </c>
      <c r="T30" s="991">
        <v>120</v>
      </c>
      <c r="U30" s="543" t="s">
        <v>7442</v>
      </c>
      <c r="W30" s="97">
        <v>15</v>
      </c>
      <c r="X30" s="95">
        <v>0</v>
      </c>
      <c r="Y30" s="1377"/>
      <c r="AA30" s="676">
        <v>16</v>
      </c>
      <c r="AB30" s="56">
        <v>50</v>
      </c>
      <c r="AC30" s="144">
        <v>15</v>
      </c>
      <c r="AE30" s="676">
        <v>30</v>
      </c>
      <c r="AF30" s="56" t="s">
        <v>2115</v>
      </c>
      <c r="AG30" s="144">
        <v>-5</v>
      </c>
      <c r="AI30" s="1378">
        <v>4</v>
      </c>
      <c r="AJ30" s="1377">
        <v>1</v>
      </c>
    </row>
    <row r="31" spans="1:36" s="624" customFormat="1" ht="14.85" customHeight="1" x14ac:dyDescent="0.2">
      <c r="A31" s="242">
        <v>31</v>
      </c>
      <c r="B31" s="5664"/>
      <c r="C31" s="676">
        <v>18</v>
      </c>
      <c r="D31" s="95">
        <v>40</v>
      </c>
      <c r="E31" s="59">
        <v>90</v>
      </c>
      <c r="F31"/>
      <c r="G31" s="97">
        <v>18</v>
      </c>
      <c r="H31" s="95">
        <v>5</v>
      </c>
      <c r="I31" s="2816">
        <v>1000000</v>
      </c>
      <c r="J31" s="59">
        <v>10000000</v>
      </c>
      <c r="K31"/>
      <c r="L31" s="694">
        <v>18</v>
      </c>
      <c r="M31" s="95">
        <v>10000</v>
      </c>
      <c r="N31" s="543">
        <v>20</v>
      </c>
      <c r="P31" s="80">
        <v>18</v>
      </c>
      <c r="Q31" s="247">
        <v>4</v>
      </c>
      <c r="R31"/>
      <c r="T31" s="991">
        <v>140</v>
      </c>
      <c r="U31" s="543" t="s">
        <v>7434</v>
      </c>
      <c r="W31" s="97">
        <v>20</v>
      </c>
      <c r="X31" s="95">
        <v>0</v>
      </c>
      <c r="Y31" s="1377"/>
      <c r="AA31" s="676">
        <v>19</v>
      </c>
      <c r="AB31" s="56">
        <v>80</v>
      </c>
      <c r="AC31" s="144">
        <v>20</v>
      </c>
      <c r="AE31" s="676">
        <v>40</v>
      </c>
      <c r="AF31" s="56" t="s">
        <v>2116</v>
      </c>
      <c r="AG31" s="144">
        <v>-10</v>
      </c>
      <c r="AI31" s="1378">
        <v>5</v>
      </c>
      <c r="AJ31" s="1377">
        <v>1</v>
      </c>
    </row>
    <row r="32" spans="1:36" s="624" customFormat="1" ht="12.75" customHeight="1" x14ac:dyDescent="0.2">
      <c r="A32" s="242">
        <v>32</v>
      </c>
      <c r="B32" s="5664"/>
      <c r="C32" s="676">
        <v>19</v>
      </c>
      <c r="D32" s="95">
        <v>40</v>
      </c>
      <c r="E32" s="59">
        <v>100</v>
      </c>
      <c r="F32"/>
      <c r="G32" s="97">
        <v>19</v>
      </c>
      <c r="H32" s="95">
        <v>5</v>
      </c>
      <c r="I32" s="2813">
        <v>10000000</v>
      </c>
      <c r="J32" s="2812">
        <v>150000000</v>
      </c>
      <c r="K32"/>
      <c r="L32" s="694">
        <v>19</v>
      </c>
      <c r="M32" s="95">
        <v>10000</v>
      </c>
      <c r="N32" s="543">
        <v>20</v>
      </c>
      <c r="P32" s="80">
        <v>19</v>
      </c>
      <c r="Q32" s="247">
        <v>4</v>
      </c>
      <c r="R32"/>
      <c r="T32" s="991">
        <v>180</v>
      </c>
      <c r="U32" s="543" t="s">
        <v>7435</v>
      </c>
      <c r="W32" s="97">
        <v>25</v>
      </c>
      <c r="X32" s="95">
        <v>0</v>
      </c>
      <c r="Y32" s="1377"/>
      <c r="AA32" s="676">
        <v>22</v>
      </c>
      <c r="AB32" s="56">
        <v>120</v>
      </c>
      <c r="AC32" s="144">
        <v>25</v>
      </c>
      <c r="AE32" s="676">
        <v>50</v>
      </c>
      <c r="AF32" s="56" t="s">
        <v>2117</v>
      </c>
      <c r="AG32" s="144">
        <v>-15</v>
      </c>
      <c r="AI32" s="1378">
        <v>6</v>
      </c>
      <c r="AJ32" s="1377">
        <v>2</v>
      </c>
    </row>
    <row r="33" spans="1:41" s="238" customFormat="1" ht="14.85" customHeight="1" thickBot="1" x14ac:dyDescent="0.25">
      <c r="A33" s="242">
        <v>33</v>
      </c>
      <c r="B33" s="5664"/>
      <c r="C33" s="677">
        <v>20</v>
      </c>
      <c r="D33" s="199">
        <v>45</v>
      </c>
      <c r="E33" s="191">
        <v>150</v>
      </c>
      <c r="F33"/>
      <c r="G33" s="204">
        <v>20</v>
      </c>
      <c r="H33" s="199">
        <v>5</v>
      </c>
      <c r="I33" s="2815">
        <v>1E+100</v>
      </c>
      <c r="J33" s="2814">
        <v>1E+100</v>
      </c>
      <c r="K33"/>
      <c r="L33" s="809">
        <v>20</v>
      </c>
      <c r="M33" s="547">
        <v>10000</v>
      </c>
      <c r="N33" s="775">
        <v>20</v>
      </c>
      <c r="O33" s="624"/>
      <c r="P33" s="264">
        <v>20</v>
      </c>
      <c r="Q33" s="248">
        <v>4</v>
      </c>
      <c r="R33"/>
      <c r="T33" s="991">
        <v>240</v>
      </c>
      <c r="U33" s="543" t="s">
        <v>7436</v>
      </c>
      <c r="W33" s="97">
        <v>30</v>
      </c>
      <c r="X33" s="95">
        <v>50</v>
      </c>
      <c r="Y33" s="1377">
        <v>1</v>
      </c>
      <c r="Z33" s="624"/>
      <c r="AA33" s="676">
        <v>25</v>
      </c>
      <c r="AB33" s="56">
        <v>150</v>
      </c>
      <c r="AC33" s="144">
        <v>30</v>
      </c>
      <c r="AD33" s="624"/>
      <c r="AE33" s="676">
        <v>70</v>
      </c>
      <c r="AF33" s="56" t="s">
        <v>2118</v>
      </c>
      <c r="AG33" s="144">
        <v>-25</v>
      </c>
      <c r="AH33" s="624"/>
      <c r="AI33" s="1378">
        <v>7</v>
      </c>
      <c r="AJ33" s="1377">
        <v>3</v>
      </c>
      <c r="AK33" s="624"/>
      <c r="AL33" s="624"/>
      <c r="AM33" s="624"/>
      <c r="AN33" s="624"/>
      <c r="AO33" s="624"/>
    </row>
    <row r="34" spans="1:41" s="624" customFormat="1" ht="14.85" customHeight="1" thickBot="1" x14ac:dyDescent="0.25">
      <c r="A34" s="242">
        <v>34</v>
      </c>
      <c r="B34" s="5664"/>
      <c r="C34"/>
      <c r="D34"/>
      <c r="E34"/>
      <c r="F34"/>
      <c r="G34"/>
      <c r="H34"/>
      <c r="J34"/>
      <c r="K34"/>
      <c r="L34"/>
      <c r="M34"/>
      <c r="N34"/>
      <c r="P34"/>
      <c r="Q34"/>
      <c r="R34"/>
      <c r="T34" s="991">
        <v>280</v>
      </c>
      <c r="U34" s="543" t="s">
        <v>7437</v>
      </c>
      <c r="W34" s="97">
        <v>35</v>
      </c>
      <c r="X34" s="95">
        <v>150</v>
      </c>
      <c r="Y34" s="1377">
        <v>3</v>
      </c>
      <c r="AA34" s="676">
        <v>29</v>
      </c>
      <c r="AB34" s="56">
        <v>200</v>
      </c>
      <c r="AC34" s="144">
        <v>40</v>
      </c>
      <c r="AE34" s="1379">
        <v>100</v>
      </c>
      <c r="AF34" s="679" t="s">
        <v>2119</v>
      </c>
      <c r="AG34" s="685" t="s">
        <v>1464</v>
      </c>
      <c r="AI34" s="1378">
        <v>8</v>
      </c>
      <c r="AJ34" s="1377">
        <v>4</v>
      </c>
    </row>
    <row r="35" spans="1:41" ht="14.85" customHeight="1" x14ac:dyDescent="0.2">
      <c r="A35" s="242">
        <v>35</v>
      </c>
      <c r="B35" s="5664"/>
      <c r="C35" s="2847" t="s">
        <v>1995</v>
      </c>
      <c r="D35" s="2848"/>
      <c r="E35" s="2848"/>
      <c r="F35" s="2848"/>
      <c r="G35" s="2848"/>
      <c r="H35" s="2849"/>
      <c r="J35" s="5774" t="s">
        <v>2039</v>
      </c>
      <c r="K35" s="5775"/>
      <c r="M35" s="5768" t="s">
        <v>2125</v>
      </c>
      <c r="N35" s="5769"/>
      <c r="O35" s="5770"/>
      <c r="Q35" s="2847" t="s">
        <v>2122</v>
      </c>
      <c r="R35" s="2849"/>
      <c r="T35" s="991">
        <v>320</v>
      </c>
      <c r="U35" s="543" t="s">
        <v>7438</v>
      </c>
      <c r="W35" s="97">
        <v>40</v>
      </c>
      <c r="X35" s="95">
        <v>300</v>
      </c>
      <c r="Y35" s="1377">
        <v>6</v>
      </c>
      <c r="AA35" s="676">
        <v>32</v>
      </c>
      <c r="AB35" s="56">
        <v>350</v>
      </c>
      <c r="AC35" s="144">
        <v>50</v>
      </c>
      <c r="AI35" s="1378">
        <v>9</v>
      </c>
      <c r="AJ35" s="1377">
        <v>4</v>
      </c>
    </row>
    <row r="36" spans="1:41" ht="14.85" customHeight="1" thickBot="1" x14ac:dyDescent="0.25">
      <c r="A36" s="242">
        <v>36</v>
      </c>
      <c r="B36" s="5664"/>
      <c r="C36" s="2861"/>
      <c r="D36" s="2862"/>
      <c r="E36" s="2862"/>
      <c r="F36" s="2862"/>
      <c r="G36" s="2862"/>
      <c r="H36" s="2863"/>
      <c r="J36" s="5774"/>
      <c r="K36" s="5775"/>
      <c r="M36" s="1353" t="s">
        <v>2126</v>
      </c>
      <c r="N36" s="183" t="s">
        <v>2127</v>
      </c>
      <c r="O36" s="1332" t="s">
        <v>2128</v>
      </c>
      <c r="Q36" s="2861"/>
      <c r="R36" s="2863"/>
      <c r="T36" s="991">
        <v>440</v>
      </c>
      <c r="U36" s="543" t="s">
        <v>7439</v>
      </c>
      <c r="W36" s="97">
        <v>45</v>
      </c>
      <c r="X36" s="95">
        <v>500</v>
      </c>
      <c r="Y36" s="1377">
        <v>10</v>
      </c>
      <c r="AA36" s="1379">
        <v>35</v>
      </c>
      <c r="AB36" s="679">
        <v>500</v>
      </c>
      <c r="AC36" s="685">
        <v>60</v>
      </c>
      <c r="AI36" s="1378">
        <v>10</v>
      </c>
      <c r="AJ36" s="1377">
        <v>5</v>
      </c>
    </row>
    <row r="37" spans="1:41" ht="14.85" customHeight="1" thickBot="1" x14ac:dyDescent="0.25">
      <c r="A37" s="242">
        <v>37</v>
      </c>
      <c r="B37" s="5664"/>
      <c r="C37" s="1345" t="s">
        <v>1506</v>
      </c>
      <c r="D37" s="1346" t="s">
        <v>1376</v>
      </c>
      <c r="E37" s="5766" t="s">
        <v>1996</v>
      </c>
      <c r="F37" s="5766"/>
      <c r="G37" s="1347" t="s">
        <v>1997</v>
      </c>
      <c r="H37" s="1348" t="s">
        <v>1485</v>
      </c>
      <c r="J37" s="182" t="s">
        <v>2040</v>
      </c>
      <c r="K37" s="197" t="s">
        <v>1395</v>
      </c>
      <c r="M37" s="1354">
        <v>1</v>
      </c>
      <c r="N37" s="95">
        <v>5</v>
      </c>
      <c r="O37" s="1278">
        <v>0</v>
      </c>
      <c r="Q37" s="773" t="s">
        <v>2123</v>
      </c>
      <c r="R37" s="774" t="s">
        <v>2124</v>
      </c>
      <c r="T37" s="991" t="s">
        <v>7440</v>
      </c>
      <c r="U37" s="543" t="s">
        <v>7439</v>
      </c>
      <c r="W37" s="198">
        <v>50</v>
      </c>
      <c r="X37" s="199">
        <v>750</v>
      </c>
      <c r="Y37" s="1380">
        <v>15</v>
      </c>
      <c r="AI37" s="1378">
        <v>11</v>
      </c>
      <c r="AJ37" s="1377">
        <v>6</v>
      </c>
    </row>
    <row r="38" spans="1:41" ht="14.85" customHeight="1" thickBot="1" x14ac:dyDescent="0.25">
      <c r="A38" s="242">
        <v>38</v>
      </c>
      <c r="B38" s="5664"/>
      <c r="C38" s="694">
        <v>1</v>
      </c>
      <c r="D38" s="56">
        <v>0</v>
      </c>
      <c r="E38" s="5761" t="s">
        <v>1998</v>
      </c>
      <c r="F38" s="5761"/>
      <c r="G38" s="279" t="s">
        <v>1998</v>
      </c>
      <c r="H38" s="1349" t="str">
        <f>""</f>
        <v/>
      </c>
      <c r="J38" s="97">
        <v>1</v>
      </c>
      <c r="K38" s="205" t="s">
        <v>2041</v>
      </c>
      <c r="M38" s="1354">
        <v>2</v>
      </c>
      <c r="N38" s="95">
        <v>20</v>
      </c>
      <c r="O38" s="1278">
        <v>0</v>
      </c>
      <c r="Q38" s="694">
        <v>0</v>
      </c>
      <c r="R38" s="543">
        <v>1</v>
      </c>
      <c r="T38" s="992" t="s">
        <v>7441</v>
      </c>
      <c r="U38" s="775" t="s">
        <v>7439</v>
      </c>
      <c r="AI38" s="1378">
        <v>12</v>
      </c>
      <c r="AJ38" s="1377">
        <v>7</v>
      </c>
    </row>
    <row r="39" spans="1:41" ht="12.75" customHeight="1" thickBot="1" x14ac:dyDescent="0.25">
      <c r="A39" s="242">
        <v>39</v>
      </c>
      <c r="B39" s="5664"/>
      <c r="C39" s="694">
        <v>2</v>
      </c>
      <c r="D39" s="56">
        <v>0</v>
      </c>
      <c r="E39" s="5761" t="s">
        <v>1998</v>
      </c>
      <c r="F39" s="5761"/>
      <c r="G39" s="279" t="s">
        <v>1998</v>
      </c>
      <c r="H39" s="1327" t="str">
        <f>""</f>
        <v/>
      </c>
      <c r="J39" s="97">
        <v>2</v>
      </c>
      <c r="K39" s="205" t="s">
        <v>2042</v>
      </c>
      <c r="M39" s="1354">
        <v>3</v>
      </c>
      <c r="N39" s="95">
        <v>40</v>
      </c>
      <c r="O39" s="1278">
        <v>0</v>
      </c>
      <c r="Q39" s="694">
        <v>11</v>
      </c>
      <c r="R39" s="543">
        <v>2</v>
      </c>
      <c r="W39" s="5576" t="s">
        <v>7319</v>
      </c>
      <c r="X39" s="5578"/>
      <c r="AI39" s="1378">
        <v>13</v>
      </c>
      <c r="AJ39" s="1377">
        <v>8</v>
      </c>
    </row>
    <row r="40" spans="1:41" ht="12.75" customHeight="1" thickBot="1" x14ac:dyDescent="0.25">
      <c r="A40" s="242">
        <v>40</v>
      </c>
      <c r="B40" s="5664"/>
      <c r="C40" s="694">
        <v>3</v>
      </c>
      <c r="D40" s="56">
        <v>1</v>
      </c>
      <c r="E40" s="5761" t="s">
        <v>1999</v>
      </c>
      <c r="F40" s="5761"/>
      <c r="G40" s="1350" t="s">
        <v>2000</v>
      </c>
      <c r="H40" s="1327" t="str">
        <f>""</f>
        <v/>
      </c>
      <c r="J40" s="97">
        <v>3</v>
      </c>
      <c r="K40" s="205" t="s">
        <v>2043</v>
      </c>
      <c r="M40" s="1354">
        <v>4</v>
      </c>
      <c r="N40" s="95">
        <v>55</v>
      </c>
      <c r="O40" s="1278">
        <v>0</v>
      </c>
      <c r="Q40" s="694">
        <v>15</v>
      </c>
      <c r="R40" s="543">
        <v>3</v>
      </c>
      <c r="T40" s="2847" t="s">
        <v>1254</v>
      </c>
      <c r="U40" s="2849"/>
      <c r="W40" s="5789"/>
      <c r="X40" s="5790"/>
      <c r="AI40" s="1378">
        <v>14</v>
      </c>
      <c r="AJ40" s="1377">
        <v>9</v>
      </c>
    </row>
    <row r="41" spans="1:41" ht="12.75" customHeight="1" x14ac:dyDescent="0.2">
      <c r="A41" s="242">
        <v>41</v>
      </c>
      <c r="B41" s="5664"/>
      <c r="C41" s="694">
        <v>4</v>
      </c>
      <c r="D41" s="56">
        <v>1</v>
      </c>
      <c r="E41" s="5761" t="s">
        <v>1999</v>
      </c>
      <c r="F41" s="5761"/>
      <c r="G41" s="1350" t="s">
        <v>2000</v>
      </c>
      <c r="H41" s="1327" t="str">
        <f>""</f>
        <v/>
      </c>
      <c r="J41" s="97">
        <v>4</v>
      </c>
      <c r="K41" s="205" t="s">
        <v>2044</v>
      </c>
      <c r="M41" s="1354">
        <v>5</v>
      </c>
      <c r="N41" s="95">
        <v>70</v>
      </c>
      <c r="O41" s="1278">
        <v>5</v>
      </c>
      <c r="Q41" s="694">
        <v>20</v>
      </c>
      <c r="R41" s="543">
        <v>4</v>
      </c>
      <c r="T41" s="2861"/>
      <c r="U41" s="2863"/>
      <c r="W41" s="351" t="s">
        <v>1385</v>
      </c>
      <c r="X41" s="696"/>
      <c r="AI41" s="1378">
        <v>15</v>
      </c>
      <c r="AJ41" s="1377">
        <v>10</v>
      </c>
    </row>
    <row r="42" spans="1:41" ht="12.75" customHeight="1" thickBot="1" x14ac:dyDescent="0.25">
      <c r="A42" s="242">
        <v>42</v>
      </c>
      <c r="B42" s="5664"/>
      <c r="C42" s="694">
        <v>5</v>
      </c>
      <c r="D42" s="56">
        <v>1</v>
      </c>
      <c r="E42" s="5761" t="s">
        <v>1999</v>
      </c>
      <c r="F42" s="5761"/>
      <c r="G42" s="1350" t="s">
        <v>2000</v>
      </c>
      <c r="H42" s="1327" t="str">
        <f>""</f>
        <v/>
      </c>
      <c r="J42" s="97">
        <v>5</v>
      </c>
      <c r="K42" s="205" t="s">
        <v>2045</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664"/>
      <c r="C43" s="694">
        <v>6</v>
      </c>
      <c r="D43" s="56">
        <v>1</v>
      </c>
      <c r="E43" s="5761" t="s">
        <v>1999</v>
      </c>
      <c r="F43" s="5761"/>
      <c r="G43" s="1350" t="s">
        <v>2000</v>
      </c>
      <c r="H43" s="1327" t="str">
        <f>""</f>
        <v/>
      </c>
      <c r="J43" s="97">
        <v>6</v>
      </c>
      <c r="K43" s="205" t="s">
        <v>2046</v>
      </c>
      <c r="M43" s="1354">
        <v>7</v>
      </c>
      <c r="N43" s="95">
        <v>95</v>
      </c>
      <c r="O43" s="1278">
        <v>5</v>
      </c>
      <c r="Q43" s="694">
        <v>26</v>
      </c>
      <c r="R43" s="543">
        <v>6</v>
      </c>
      <c r="T43" s="1359">
        <v>4</v>
      </c>
      <c r="U43" s="543">
        <v>280</v>
      </c>
      <c r="AI43" s="1378">
        <v>17</v>
      </c>
      <c r="AJ43" s="1377">
        <v>10</v>
      </c>
    </row>
    <row r="44" spans="1:41" ht="14.85" customHeight="1" x14ac:dyDescent="0.2">
      <c r="A44" s="242">
        <v>44</v>
      </c>
      <c r="B44" s="5664"/>
      <c r="C44" s="694">
        <v>7</v>
      </c>
      <c r="D44" s="56">
        <v>1</v>
      </c>
      <c r="E44" s="5761" t="s">
        <v>1999</v>
      </c>
      <c r="F44" s="5761"/>
      <c r="G44" s="1350" t="s">
        <v>2000</v>
      </c>
      <c r="H44" s="1327" t="str">
        <f>""</f>
        <v/>
      </c>
      <c r="J44" s="97">
        <v>7</v>
      </c>
      <c r="K44" s="205" t="s">
        <v>2047</v>
      </c>
      <c r="M44" s="1354">
        <v>8</v>
      </c>
      <c r="N44" s="95">
        <v>110</v>
      </c>
      <c r="O44" s="1278">
        <v>10</v>
      </c>
      <c r="Q44" s="694">
        <v>29</v>
      </c>
      <c r="R44" s="543">
        <v>8</v>
      </c>
      <c r="T44" s="1359">
        <v>7</v>
      </c>
      <c r="U44" s="543">
        <v>320</v>
      </c>
      <c r="W44" s="5576" t="s">
        <v>1969</v>
      </c>
      <c r="X44" s="5577"/>
      <c r="Y44" s="5577"/>
      <c r="Z44" s="5577"/>
      <c r="AA44" s="5577"/>
      <c r="AB44" s="5577"/>
      <c r="AC44" s="5577"/>
      <c r="AD44" s="5577"/>
      <c r="AE44" s="5577"/>
      <c r="AF44" s="5578"/>
      <c r="AI44" s="1378">
        <v>18</v>
      </c>
      <c r="AJ44" s="1377">
        <v>10</v>
      </c>
    </row>
    <row r="45" spans="1:41" ht="14.85" customHeight="1" thickBot="1" x14ac:dyDescent="0.25">
      <c r="A45" s="242">
        <v>45</v>
      </c>
      <c r="B45" s="5664"/>
      <c r="C45" s="694">
        <v>8</v>
      </c>
      <c r="D45" s="56">
        <v>2</v>
      </c>
      <c r="E45" s="5761" t="s">
        <v>2001</v>
      </c>
      <c r="F45" s="5761"/>
      <c r="G45" s="1350" t="s">
        <v>2000</v>
      </c>
      <c r="H45" s="1327" t="str">
        <f>""</f>
        <v/>
      </c>
      <c r="J45" s="97">
        <v>8</v>
      </c>
      <c r="K45" s="205" t="s">
        <v>2048</v>
      </c>
      <c r="M45" s="1354">
        <v>9</v>
      </c>
      <c r="N45" s="95">
        <v>120</v>
      </c>
      <c r="O45" s="1278">
        <v>10</v>
      </c>
      <c r="Q45" s="809">
        <v>32</v>
      </c>
      <c r="R45" s="775">
        <v>10</v>
      </c>
      <c r="T45" s="1360">
        <v>10</v>
      </c>
      <c r="U45" s="775">
        <v>1000</v>
      </c>
      <c r="W45" s="5789"/>
      <c r="X45" s="5791"/>
      <c r="Y45" s="5791"/>
      <c r="Z45" s="5791"/>
      <c r="AA45" s="5791"/>
      <c r="AB45" s="5791"/>
      <c r="AC45" s="5791"/>
      <c r="AD45" s="5791"/>
      <c r="AE45" s="5791"/>
      <c r="AF45" s="5790"/>
      <c r="AI45" s="1378">
        <v>19</v>
      </c>
      <c r="AJ45" s="1377">
        <v>10</v>
      </c>
    </row>
    <row r="46" spans="1:41" ht="14.85" customHeight="1" thickBot="1" x14ac:dyDescent="0.25">
      <c r="A46" s="242">
        <v>46</v>
      </c>
      <c r="B46" s="5664"/>
      <c r="C46" s="694">
        <v>9</v>
      </c>
      <c r="D46" s="56">
        <v>2</v>
      </c>
      <c r="E46" s="5761" t="s">
        <v>2001</v>
      </c>
      <c r="F46" s="5761"/>
      <c r="G46" s="1350" t="s">
        <v>2000</v>
      </c>
      <c r="H46" s="1327" t="str">
        <f>""</f>
        <v/>
      </c>
      <c r="J46" s="97">
        <v>9</v>
      </c>
      <c r="K46" s="205" t="s">
        <v>2049</v>
      </c>
      <c r="M46" s="1354">
        <v>10</v>
      </c>
      <c r="N46" s="95">
        <v>135</v>
      </c>
      <c r="O46" s="1278">
        <v>10</v>
      </c>
      <c r="W46" s="195" t="s">
        <v>1970</v>
      </c>
      <c r="X46" s="196" t="s">
        <v>1913</v>
      </c>
      <c r="Y46" s="678" t="s">
        <v>1971</v>
      </c>
      <c r="Z46" s="678" t="s">
        <v>1972</v>
      </c>
      <c r="AA46" s="678" t="s">
        <v>1973</v>
      </c>
      <c r="AB46" s="678" t="s">
        <v>1557</v>
      </c>
      <c r="AC46" s="678" t="s">
        <v>1974</v>
      </c>
      <c r="AD46" s="1381" t="s">
        <v>1975</v>
      </c>
      <c r="AE46" s="678" t="s">
        <v>1579</v>
      </c>
      <c r="AF46" s="1382" t="s">
        <v>1976</v>
      </c>
      <c r="AI46" s="1383">
        <v>20</v>
      </c>
      <c r="AJ46" s="1384">
        <v>10</v>
      </c>
    </row>
    <row r="47" spans="1:41" ht="14.85" customHeight="1" thickBot="1" x14ac:dyDescent="0.25">
      <c r="A47" s="242">
        <v>47</v>
      </c>
      <c r="B47" s="5664"/>
      <c r="C47" s="694">
        <v>10</v>
      </c>
      <c r="D47" s="56">
        <v>3</v>
      </c>
      <c r="E47" s="5761" t="s">
        <v>2002</v>
      </c>
      <c r="F47" s="5761"/>
      <c r="G47" s="1350" t="s">
        <v>2000</v>
      </c>
      <c r="H47" s="1327" t="str">
        <f>""</f>
        <v/>
      </c>
      <c r="J47" s="97">
        <v>10</v>
      </c>
      <c r="K47" s="205" t="s">
        <v>2050</v>
      </c>
      <c r="M47" s="1354">
        <v>11</v>
      </c>
      <c r="N47" s="95">
        <v>150</v>
      </c>
      <c r="O47" s="1278">
        <v>10</v>
      </c>
      <c r="Q47" s="3156" t="s">
        <v>864</v>
      </c>
      <c r="W47" s="97">
        <v>-5</v>
      </c>
      <c r="X47" s="95" t="s">
        <v>1977</v>
      </c>
      <c r="Y47" s="56">
        <v>40</v>
      </c>
      <c r="Z47" s="56">
        <v>-4</v>
      </c>
      <c r="AA47" s="56">
        <v>1</v>
      </c>
      <c r="AB47" s="56">
        <v>1</v>
      </c>
      <c r="AC47" s="56">
        <f>5</f>
        <v>5</v>
      </c>
      <c r="AD47" s="56">
        <f>20-IF(Raza="Daimah",10,0)</f>
        <v>20</v>
      </c>
      <c r="AE47" s="56">
        <v>-4</v>
      </c>
      <c r="AF47" s="144">
        <v>4</v>
      </c>
    </row>
    <row r="48" spans="1:41" ht="14.85" customHeight="1" thickBot="1" x14ac:dyDescent="0.25">
      <c r="A48" s="242">
        <v>48</v>
      </c>
      <c r="B48" s="5664"/>
      <c r="C48" s="694">
        <v>11</v>
      </c>
      <c r="D48" s="56">
        <v>4</v>
      </c>
      <c r="E48" s="5761" t="s">
        <v>2003</v>
      </c>
      <c r="F48" s="5761"/>
      <c r="G48" s="1350" t="s">
        <v>2004</v>
      </c>
      <c r="H48" s="1327" t="str">
        <f>""</f>
        <v/>
      </c>
      <c r="J48" s="97">
        <v>11</v>
      </c>
      <c r="K48" s="205" t="s">
        <v>2051</v>
      </c>
      <c r="M48" s="1354">
        <v>12</v>
      </c>
      <c r="N48" s="95">
        <v>160</v>
      </c>
      <c r="O48" s="1278">
        <v>15</v>
      </c>
      <c r="Q48" s="3156"/>
      <c r="W48" s="97">
        <v>1</v>
      </c>
      <c r="X48" s="95" t="s">
        <v>1977</v>
      </c>
      <c r="Y48" s="56">
        <v>40</v>
      </c>
      <c r="Z48" s="56">
        <v>-4</v>
      </c>
      <c r="AA48" s="56">
        <v>1</v>
      </c>
      <c r="AB48" s="56">
        <v>1</v>
      </c>
      <c r="AC48" s="56">
        <f>5</f>
        <v>5</v>
      </c>
      <c r="AD48" s="56">
        <f>20-IF(Raza="Daimah",10,0)</f>
        <v>20</v>
      </c>
      <c r="AE48" s="56">
        <v>-4</v>
      </c>
      <c r="AF48" s="144">
        <v>4</v>
      </c>
      <c r="AH48" s="5797" t="s">
        <v>9979</v>
      </c>
      <c r="AI48" s="5798"/>
      <c r="AJ48" s="5799"/>
    </row>
    <row r="49" spans="1:36" ht="14.85" customHeight="1" thickBot="1" x14ac:dyDescent="0.25">
      <c r="A49" s="242">
        <v>49</v>
      </c>
      <c r="B49" s="5664"/>
      <c r="C49" s="694">
        <v>12</v>
      </c>
      <c r="D49" s="56">
        <v>5</v>
      </c>
      <c r="E49" s="5761" t="s">
        <v>2005</v>
      </c>
      <c r="F49" s="5761"/>
      <c r="G49" s="1350" t="s">
        <v>2004</v>
      </c>
      <c r="H49" s="1327" t="s">
        <v>8681</v>
      </c>
      <c r="J49" s="97">
        <v>12</v>
      </c>
      <c r="K49" s="205" t="s">
        <v>2052</v>
      </c>
      <c r="M49" s="1354">
        <v>13</v>
      </c>
      <c r="N49" s="95">
        <v>175</v>
      </c>
      <c r="O49" s="1278">
        <v>15</v>
      </c>
      <c r="Q49" s="271" t="s">
        <v>1464</v>
      </c>
      <c r="W49" s="97">
        <v>4</v>
      </c>
      <c r="X49" s="95" t="s">
        <v>1978</v>
      </c>
      <c r="Y49" s="56">
        <v>30</v>
      </c>
      <c r="Z49" s="56">
        <v>-2</v>
      </c>
      <c r="AA49" s="56">
        <v>2</v>
      </c>
      <c r="AB49" s="56">
        <v>2</v>
      </c>
      <c r="AC49" s="56">
        <f>10</f>
        <v>10</v>
      </c>
      <c r="AD49" s="56">
        <f>30-IF(Raza="Daimah",10,0)</f>
        <v>30</v>
      </c>
      <c r="AE49" s="56">
        <v>-2</v>
      </c>
      <c r="AF49" s="144">
        <v>8</v>
      </c>
      <c r="AH49" s="2738" t="s">
        <v>9980</v>
      </c>
      <c r="AI49" s="2739" t="s">
        <v>1691</v>
      </c>
      <c r="AJ49" s="2740" t="s">
        <v>1692</v>
      </c>
    </row>
    <row r="50" spans="1:36" ht="14.85" customHeight="1" x14ac:dyDescent="0.2">
      <c r="A50" s="242">
        <v>50</v>
      </c>
      <c r="B50" s="5664"/>
      <c r="C50" s="694">
        <v>13</v>
      </c>
      <c r="D50" s="56">
        <v>6</v>
      </c>
      <c r="E50" s="5761" t="s">
        <v>2006</v>
      </c>
      <c r="F50" s="5761"/>
      <c r="G50" s="1350" t="s">
        <v>2004</v>
      </c>
      <c r="H50" s="1327" t="s">
        <v>8682</v>
      </c>
      <c r="J50" s="97">
        <v>13</v>
      </c>
      <c r="K50" s="205" t="s">
        <v>2053</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6" t="s">
        <v>2908</v>
      </c>
      <c r="AI50" s="2747" t="b">
        <f>OR(Ki!$P$63="-",Ki!$H$63="-")</f>
        <v>0</v>
      </c>
      <c r="AJ50" s="2748" t="b">
        <f>OR(Ki!$P$64="-",Ki!$H$64="-")</f>
        <v>0</v>
      </c>
    </row>
    <row r="51" spans="1:36" ht="12.75" customHeight="1" x14ac:dyDescent="0.2">
      <c r="A51" s="242">
        <v>51</v>
      </c>
      <c r="B51" s="5664"/>
      <c r="C51" s="694">
        <v>14</v>
      </c>
      <c r="D51" s="56">
        <v>7</v>
      </c>
      <c r="E51" s="5761" t="s">
        <v>2007</v>
      </c>
      <c r="F51" s="5761"/>
      <c r="G51" s="1350" t="s">
        <v>2008</v>
      </c>
      <c r="H51" s="1327" t="s">
        <v>8683</v>
      </c>
      <c r="J51" s="97">
        <v>14</v>
      </c>
      <c r="K51" s="205" t="s">
        <v>2054</v>
      </c>
      <c r="M51" s="1354">
        <v>15</v>
      </c>
      <c r="N51" s="95">
        <v>200</v>
      </c>
      <c r="O51" s="1278">
        <v>20</v>
      </c>
      <c r="Q51" s="271" t="s">
        <v>1506</v>
      </c>
      <c r="W51" s="97">
        <v>23</v>
      </c>
      <c r="X51" s="95" t="s">
        <v>1979</v>
      </c>
      <c r="Y51" s="56">
        <v>10</v>
      </c>
      <c r="Z51" s="56">
        <v>0</v>
      </c>
      <c r="AA51" s="56">
        <v>5</v>
      </c>
      <c r="AB51" s="56">
        <v>4</v>
      </c>
      <c r="AC51" s="56">
        <f>20</f>
        <v>20</v>
      </c>
      <c r="AD51" s="56">
        <f>60-IF(Raza="Daimah",10,0)</f>
        <v>60</v>
      </c>
      <c r="AE51" s="56">
        <v>4</v>
      </c>
      <c r="AF51" s="144">
        <v>16</v>
      </c>
      <c r="AH51" s="2741" t="s">
        <v>1461</v>
      </c>
      <c r="AI51" s="2742" t="b">
        <f>OR(Raza="Sylvain",Raza="Duk'zarist")</f>
        <v>0</v>
      </c>
      <c r="AJ51" s="2743" t="b">
        <f>FALSE</f>
        <v>0</v>
      </c>
    </row>
    <row r="52" spans="1:36" ht="12.75" customHeight="1" x14ac:dyDescent="0.2">
      <c r="A52" s="242">
        <v>52</v>
      </c>
      <c r="B52" s="5664"/>
      <c r="C52" s="694">
        <v>15</v>
      </c>
      <c r="D52" s="56">
        <v>8</v>
      </c>
      <c r="E52" s="5761" t="s">
        <v>2009</v>
      </c>
      <c r="F52" s="5761"/>
      <c r="G52" s="1350" t="s">
        <v>2010</v>
      </c>
      <c r="H52" s="1327" t="s">
        <v>8684</v>
      </c>
      <c r="J52" s="97">
        <v>15</v>
      </c>
      <c r="K52" s="205" t="s">
        <v>2055</v>
      </c>
      <c r="M52" s="1354">
        <v>16</v>
      </c>
      <c r="N52" s="95">
        <v>215</v>
      </c>
      <c r="O52" s="1278">
        <v>25</v>
      </c>
      <c r="Q52" s="271" t="s">
        <v>1561</v>
      </c>
      <c r="W52" s="97">
        <v>25</v>
      </c>
      <c r="X52" s="95" t="s">
        <v>1980</v>
      </c>
      <c r="Y52" s="56">
        <v>0</v>
      </c>
      <c r="Z52" s="56">
        <v>1</v>
      </c>
      <c r="AA52" s="56">
        <v>10</v>
      </c>
      <c r="AB52" s="56">
        <v>6</v>
      </c>
      <c r="AC52" s="56">
        <f>30</f>
        <v>30</v>
      </c>
      <c r="AD52" s="56">
        <f>100-IF(Raza="Daimah",10,0)</f>
        <v>100</v>
      </c>
      <c r="AE52" s="56">
        <v>8</v>
      </c>
      <c r="AF52" s="144">
        <v>20</v>
      </c>
      <c r="AH52" s="2741" t="s">
        <v>9981</v>
      </c>
      <c r="AI52" s="2742" t="b">
        <f>$H$1270&gt;0</f>
        <v>0</v>
      </c>
      <c r="AJ52" s="2743" t="b">
        <f>$H$1271&gt;0</f>
        <v>0</v>
      </c>
    </row>
    <row r="53" spans="1:36" ht="12.75" customHeight="1" thickBot="1" x14ac:dyDescent="0.25">
      <c r="A53" s="242">
        <v>53</v>
      </c>
      <c r="B53" s="5664"/>
      <c r="C53" s="694">
        <v>16</v>
      </c>
      <c r="D53" s="56">
        <v>9</v>
      </c>
      <c r="E53" s="5761" t="s">
        <v>2011</v>
      </c>
      <c r="F53" s="5761"/>
      <c r="G53" s="1350" t="s">
        <v>2012</v>
      </c>
      <c r="H53" s="1327" t="s">
        <v>8685</v>
      </c>
      <c r="J53" s="97">
        <v>16</v>
      </c>
      <c r="K53" s="205" t="s">
        <v>2056</v>
      </c>
      <c r="M53" s="1354">
        <v>17</v>
      </c>
      <c r="N53" s="95">
        <v>225</v>
      </c>
      <c r="O53" s="1278">
        <v>25</v>
      </c>
      <c r="Q53" s="271" t="s">
        <v>1562</v>
      </c>
      <c r="W53" s="97">
        <v>29</v>
      </c>
      <c r="X53" s="95" t="s">
        <v>1981</v>
      </c>
      <c r="Y53" s="56">
        <v>-10</v>
      </c>
      <c r="Z53" s="56">
        <v>2</v>
      </c>
      <c r="AA53" s="56">
        <v>15</v>
      </c>
      <c r="AB53" s="56">
        <v>8</v>
      </c>
      <c r="AC53" s="56">
        <f>40</f>
        <v>40</v>
      </c>
      <c r="AD53" s="56">
        <f>120-IF(Raza="Daimah",10,0)</f>
        <v>120</v>
      </c>
      <c r="AE53" s="56">
        <v>12</v>
      </c>
      <c r="AF53" s="144">
        <v>28</v>
      </c>
      <c r="AH53" s="2741" t="s">
        <v>9604</v>
      </c>
      <c r="AI53" s="2742" t="b">
        <f>OR($P$258&gt;0,$P$259&gt;0)</f>
        <v>0</v>
      </c>
      <c r="AJ53" s="2743" t="b">
        <f>FALSE</f>
        <v>0</v>
      </c>
    </row>
    <row r="54" spans="1:36" ht="12.75" customHeight="1" thickBot="1" x14ac:dyDescent="0.25">
      <c r="A54" s="242">
        <v>54</v>
      </c>
      <c r="B54" s="5664"/>
      <c r="C54" s="694">
        <v>17</v>
      </c>
      <c r="D54" s="56">
        <v>10</v>
      </c>
      <c r="E54" s="5761" t="s">
        <v>2013</v>
      </c>
      <c r="F54" s="5761"/>
      <c r="G54" s="1350" t="s">
        <v>2014</v>
      </c>
      <c r="H54" s="1327" t="s">
        <v>8686</v>
      </c>
      <c r="J54" s="97">
        <v>17</v>
      </c>
      <c r="K54" s="205" t="s">
        <v>2057</v>
      </c>
      <c r="M54" s="1354">
        <v>18</v>
      </c>
      <c r="N54" s="95">
        <v>240</v>
      </c>
      <c r="O54" s="1278">
        <v>30</v>
      </c>
      <c r="Q54" s="271" t="s">
        <v>1563</v>
      </c>
      <c r="W54" s="198">
        <v>34</v>
      </c>
      <c r="X54" s="199" t="s">
        <v>1982</v>
      </c>
      <c r="Y54" s="679">
        <v>-20</v>
      </c>
      <c r="Z54" s="679">
        <v>3</v>
      </c>
      <c r="AA54" s="679">
        <v>20</v>
      </c>
      <c r="AB54" s="679">
        <v>10</v>
      </c>
      <c r="AC54" s="679">
        <f>60</f>
        <v>60</v>
      </c>
      <c r="AD54" s="679">
        <f>140-IF(Raza="Daimah",10,0)</f>
        <v>140</v>
      </c>
      <c r="AE54" s="679">
        <v>16</v>
      </c>
      <c r="AF54" s="685">
        <v>34</v>
      </c>
      <c r="AH54" s="2750" t="s">
        <v>10233</v>
      </c>
      <c r="AI54" s="2744" t="b">
        <f>OR($AI$50,$AI$51,$AI$52,$AI$53,Zen)</f>
        <v>0</v>
      </c>
      <c r="AJ54" s="2745" t="b">
        <f>OR($AJ$50,$AJ$51,$AJ$52,$AJ$53)</f>
        <v>0</v>
      </c>
    </row>
    <row r="55" spans="1:36" ht="12.75" customHeight="1" thickBot="1" x14ac:dyDescent="0.25">
      <c r="A55" s="242">
        <v>55</v>
      </c>
      <c r="B55" s="5664"/>
      <c r="C55" s="694">
        <v>18</v>
      </c>
      <c r="D55" s="56">
        <v>11</v>
      </c>
      <c r="E55" s="5761" t="s">
        <v>2015</v>
      </c>
      <c r="F55" s="5761"/>
      <c r="G55" s="1350" t="s">
        <v>2016</v>
      </c>
      <c r="H55" s="1327" t="s">
        <v>8687</v>
      </c>
      <c r="J55" s="97">
        <v>18</v>
      </c>
      <c r="K55" s="205" t="s">
        <v>2058</v>
      </c>
      <c r="M55" s="1354">
        <v>19</v>
      </c>
      <c r="N55" s="95">
        <v>250</v>
      </c>
      <c r="O55" s="1278">
        <v>30</v>
      </c>
      <c r="Q55" s="271" t="s">
        <v>1564</v>
      </c>
      <c r="AH55" s="5859" t="s">
        <v>1374</v>
      </c>
      <c r="AI55" s="5860"/>
      <c r="AJ55" s="5861"/>
    </row>
    <row r="56" spans="1:36" ht="12.75" customHeight="1" thickBot="1" x14ac:dyDescent="0.25">
      <c r="A56" s="242">
        <v>56</v>
      </c>
      <c r="B56" s="5664"/>
      <c r="C56" s="694">
        <v>19</v>
      </c>
      <c r="D56" s="56">
        <v>12</v>
      </c>
      <c r="E56" s="5761" t="s">
        <v>2017</v>
      </c>
      <c r="F56" s="5761"/>
      <c r="G56" s="1350" t="s">
        <v>2018</v>
      </c>
      <c r="H56" s="1327" t="s">
        <v>8688</v>
      </c>
      <c r="J56" s="97">
        <v>19</v>
      </c>
      <c r="K56" s="205" t="s">
        <v>2059</v>
      </c>
      <c r="M56" s="1355">
        <v>20</v>
      </c>
      <c r="N56" s="547">
        <v>265</v>
      </c>
      <c r="O56" s="1356">
        <v>35</v>
      </c>
      <c r="Q56" s="277" t="s">
        <v>1565</v>
      </c>
      <c r="AH56" s="2741" t="s">
        <v>10235</v>
      </c>
      <c r="AI56" s="2742" t="b">
        <f>Místicos!$BB$61</f>
        <v>0</v>
      </c>
      <c r="AJ56" s="2743" t="b">
        <f>Místicos!$BC$61</f>
        <v>0</v>
      </c>
    </row>
    <row r="57" spans="1:36" ht="12.75" customHeight="1" thickBot="1" x14ac:dyDescent="0.25">
      <c r="A57" s="242">
        <v>57</v>
      </c>
      <c r="B57" s="5664"/>
      <c r="C57" s="694">
        <v>20</v>
      </c>
      <c r="D57" s="56">
        <v>12</v>
      </c>
      <c r="E57" s="5761" t="s">
        <v>2017</v>
      </c>
      <c r="F57" s="5761"/>
      <c r="G57" s="1350" t="s">
        <v>2019</v>
      </c>
      <c r="H57" s="1327" t="s">
        <v>8688</v>
      </c>
      <c r="J57" s="198">
        <v>20</v>
      </c>
      <c r="K57" s="207" t="s">
        <v>2060</v>
      </c>
      <c r="N57"/>
      <c r="O57" s="624"/>
      <c r="S57" s="4099" t="s">
        <v>8788</v>
      </c>
      <c r="T57" s="4100"/>
      <c r="U57" s="4100"/>
      <c r="V57" s="4100"/>
      <c r="W57" s="4100"/>
      <c r="X57" s="4101"/>
      <c r="AH57" s="2741" t="s">
        <v>10240</v>
      </c>
      <c r="AI57" s="2742" t="b">
        <f>Místicos!$BD$61</f>
        <v>0</v>
      </c>
      <c r="AJ57" s="2743" t="b">
        <f>Místicos!$BE$61</f>
        <v>0</v>
      </c>
    </row>
    <row r="58" spans="1:36" ht="12.75" customHeight="1" thickBot="1" x14ac:dyDescent="0.25">
      <c r="A58" s="242">
        <v>58</v>
      </c>
      <c r="B58" s="5664"/>
      <c r="C58" s="542"/>
      <c r="D58" s="56">
        <v>13</v>
      </c>
      <c r="E58" s="5761" t="s">
        <v>2020</v>
      </c>
      <c r="F58" s="5761"/>
      <c r="G58" s="1350" t="s">
        <v>2021</v>
      </c>
      <c r="H58" s="1327" t="s">
        <v>8689</v>
      </c>
      <c r="I58" s="624"/>
      <c r="S58" s="1492" t="s">
        <v>1449</v>
      </c>
      <c r="T58" s="1493" t="s">
        <v>8793</v>
      </c>
      <c r="U58" s="1493" t="s">
        <v>8794</v>
      </c>
      <c r="V58" s="1493" t="s">
        <v>8798</v>
      </c>
      <c r="W58" s="4100" t="s">
        <v>6553</v>
      </c>
      <c r="X58" s="4101"/>
      <c r="AH58" s="2741" t="s">
        <v>10241</v>
      </c>
      <c r="AI58" s="2742" t="b">
        <f>Místicos!$BF$61</f>
        <v>0</v>
      </c>
      <c r="AJ58" s="2743" t="b">
        <f>Místicos!$BG$61</f>
        <v>0</v>
      </c>
    </row>
    <row r="59" spans="1:36" ht="12.75" customHeight="1" x14ac:dyDescent="0.2">
      <c r="A59" s="242">
        <v>59</v>
      </c>
      <c r="B59" s="5664"/>
      <c r="C59" s="542"/>
      <c r="D59" s="56">
        <v>14</v>
      </c>
      <c r="E59" s="5761" t="s">
        <v>2022</v>
      </c>
      <c r="F59" s="5761"/>
      <c r="G59" s="1350" t="s">
        <v>2023</v>
      </c>
      <c r="H59" s="1327" t="s">
        <v>8690</v>
      </c>
      <c r="I59" s="624"/>
      <c r="S59" s="351" t="s">
        <v>8795</v>
      </c>
      <c r="T59" s="1491"/>
      <c r="U59" s="1491">
        <f>MAX(1,MIN(20,IF(OR(MovimientodeVacío,Zen_TM),Principal!AS20,IF(Inhumanidad_TM,MIN(13,Principal!AS20),MIN(10,Principal!AS20)))+Principal!L18))</f>
        <v>10</v>
      </c>
      <c r="V59" s="347">
        <v>1</v>
      </c>
      <c r="W59" s="347" t="str">
        <f>IF(ISNA(INDEX($S$59:$S$64,MATCH($A1,V$59:V$64,0))),"",INDEX($S$59:$S$64,MATCH($A1,V$59:V$64,0)))</f>
        <v>Suelo</v>
      </c>
      <c r="X59" s="696"/>
      <c r="AH59" s="2741" t="s">
        <v>9325</v>
      </c>
      <c r="AI59" s="2742" t="b">
        <f>'Tablas psiquica'!$AI$55&gt;0</f>
        <v>0</v>
      </c>
      <c r="AJ59" s="2743" t="b">
        <f>'Tablas psiquica'!$AI$55&gt;1</f>
        <v>0</v>
      </c>
    </row>
    <row r="60" spans="1:36" ht="12.75" customHeight="1" thickBot="1" x14ac:dyDescent="0.25">
      <c r="A60" s="242">
        <v>60</v>
      </c>
      <c r="B60" s="5664"/>
      <c r="C60" s="542"/>
      <c r="D60" s="56">
        <v>15</v>
      </c>
      <c r="E60" s="5761" t="s">
        <v>2024</v>
      </c>
      <c r="F60" s="5761"/>
      <c r="G60" s="1350" t="s">
        <v>2025</v>
      </c>
      <c r="H60" s="1327" t="s">
        <v>8691</v>
      </c>
      <c r="I60" s="624"/>
      <c r="S60" s="351" t="s">
        <v>8789</v>
      </c>
      <c r="T60" s="1491" t="b">
        <f>IF(OR(Raza="Ebudan",AND(Nephilim="Nephilim Ebudan",SueAman="Conseguido"),COUNTIF($R$1361:$R$1365,1)&gt;0),TRUE,FALSE)</f>
        <v>0</v>
      </c>
      <c r="U60" s="1491">
        <f>IF(T60,MIN(20,MAX(IF(OR(Raza="Ebudan",AND(Nephilim="Nephilim Ebudan",SueAman="Conseguido")),12+Principal!L18,0),$S$1361+Principal!L18)),0)</f>
        <v>0</v>
      </c>
      <c r="V60" s="347">
        <f>IF(T60,MAX(V$59:V59)+1,0)</f>
        <v>0</v>
      </c>
      <c r="W60" s="347" t="str">
        <f t="shared" ref="W60:W64" si="1">IF(ISNA(INDEX($S$59:$S$64,MATCH($A2,V$59:V$64,0))),"",INDEX($S$59:$S$64,MATCH($A2,V$59:V$64,0)))</f>
        <v/>
      </c>
      <c r="X60" s="696"/>
      <c r="AH60" s="2741" t="s">
        <v>1829</v>
      </c>
      <c r="AI60" s="2742" t="b">
        <f>$J$1791&gt;0</f>
        <v>0</v>
      </c>
      <c r="AJ60" s="2743" t="b">
        <v>0</v>
      </c>
    </row>
    <row r="61" spans="1:36" ht="12.75" customHeight="1" thickBot="1" x14ac:dyDescent="0.25">
      <c r="A61" s="242">
        <v>61</v>
      </c>
      <c r="B61" s="5664"/>
      <c r="C61" s="542"/>
      <c r="D61" s="56">
        <v>16</v>
      </c>
      <c r="E61" s="5761" t="s">
        <v>2026</v>
      </c>
      <c r="F61" s="5761"/>
      <c r="G61" s="1350" t="s">
        <v>2027</v>
      </c>
      <c r="H61" s="1327" t="s">
        <v>8692</v>
      </c>
      <c r="I61" s="624"/>
      <c r="S61" s="351" t="s">
        <v>8790</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49" t="s">
        <v>10236</v>
      </c>
      <c r="AI61" s="2744" t="b">
        <f>OR($AI$56,$AI$57,$AI$59,$AI$60,Inhumanidad,Zen_TM)</f>
        <v>0</v>
      </c>
      <c r="AJ61" s="2745" t="b">
        <f>OR($AJ$56,$AJ$57,$AJ$59,$AJ$60,Zen)</f>
        <v>0</v>
      </c>
    </row>
    <row r="62" spans="1:36" ht="12.75" customHeight="1" thickBot="1" x14ac:dyDescent="0.25">
      <c r="A62" s="242">
        <v>62</v>
      </c>
      <c r="B62" s="5664"/>
      <c r="C62" s="542"/>
      <c r="D62" s="56">
        <v>17</v>
      </c>
      <c r="E62" s="5761" t="s">
        <v>2028</v>
      </c>
      <c r="F62" s="5761"/>
      <c r="G62" s="1350" t="s">
        <v>2029</v>
      </c>
      <c r="H62" s="1327" t="s">
        <v>8693</v>
      </c>
      <c r="I62" s="624"/>
      <c r="S62" s="351" t="s">
        <v>8787</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49" t="s">
        <v>10239</v>
      </c>
      <c r="AI62" s="2744" t="b">
        <f>OR($AI$56,$AI$58,$AI$59,$AI$60,Inhumanidad,Zen_IP)</f>
        <v>0</v>
      </c>
      <c r="AJ62" s="2745" t="b">
        <f>OR($AJ$56,$AJ$58,$AJ$59,$AJ$60,Zen)</f>
        <v>0</v>
      </c>
    </row>
    <row r="63" spans="1:36" ht="12.75" customHeight="1" x14ac:dyDescent="0.2">
      <c r="A63" s="242">
        <v>63</v>
      </c>
      <c r="B63" s="5664"/>
      <c r="C63" s="542"/>
      <c r="D63" s="56">
        <v>18</v>
      </c>
      <c r="E63" s="5761" t="s">
        <v>2030</v>
      </c>
      <c r="F63" s="5761"/>
      <c r="G63" s="1350" t="s">
        <v>2031</v>
      </c>
      <c r="H63" s="1327" t="s">
        <v>8694</v>
      </c>
      <c r="I63" s="624"/>
      <c r="S63" s="351" t="s">
        <v>8791</v>
      </c>
      <c r="T63" s="347" t="b">
        <f>IF(R1335&gt;0,TRUE,FALSE)</f>
        <v>0</v>
      </c>
      <c r="U63" s="347">
        <f>IF(T63,MIN(20,U59),0)</f>
        <v>0</v>
      </c>
      <c r="V63" s="347">
        <f>IF(T63,MAX(V$59:V62)+1,0)</f>
        <v>0</v>
      </c>
      <c r="W63" s="347" t="str">
        <f t="shared" si="1"/>
        <v/>
      </c>
      <c r="X63" s="696" t="str">
        <f t="shared" si="2"/>
        <v/>
      </c>
    </row>
    <row r="64" spans="1:36" ht="12.75" customHeight="1" thickBot="1" x14ac:dyDescent="0.25">
      <c r="A64" s="242">
        <v>64</v>
      </c>
      <c r="B64" s="5664"/>
      <c r="C64" s="542"/>
      <c r="D64" s="56">
        <v>19</v>
      </c>
      <c r="E64" s="5761" t="s">
        <v>2032</v>
      </c>
      <c r="F64" s="5761"/>
      <c r="G64" s="1350" t="s">
        <v>2033</v>
      </c>
      <c r="H64" s="1327" t="s">
        <v>8695</v>
      </c>
      <c r="I64" s="624"/>
      <c r="N64"/>
      <c r="O64" s="624"/>
      <c r="S64" s="751" t="s">
        <v>8792</v>
      </c>
      <c r="T64" s="354" t="b">
        <f>IF(OR($R$1338&gt;0,$R$1339&gt;0),TRUE,FALSE)</f>
        <v>0</v>
      </c>
      <c r="U64" s="354">
        <f>IF(T64,MIN(20,U59),0)</f>
        <v>0</v>
      </c>
      <c r="V64" s="354">
        <f>IF(T64,MAX(V$59:V63)+1,0)</f>
        <v>0</v>
      </c>
      <c r="W64" s="354" t="str">
        <f t="shared" si="1"/>
        <v/>
      </c>
      <c r="X64" s="697" t="str">
        <f t="shared" si="2"/>
        <v/>
      </c>
    </row>
    <row r="65" spans="1:27" ht="12.75" customHeight="1" thickBot="1" x14ac:dyDescent="0.25">
      <c r="A65" s="242">
        <v>65</v>
      </c>
      <c r="B65" s="5664"/>
      <c r="C65" s="544"/>
      <c r="D65" s="686">
        <v>20</v>
      </c>
      <c r="E65" s="5765" t="s">
        <v>2034</v>
      </c>
      <c r="F65" s="5765"/>
      <c r="G65" s="1351" t="s">
        <v>2033</v>
      </c>
      <c r="H65" s="1352" t="s">
        <v>8696</v>
      </c>
      <c r="I65" s="624"/>
      <c r="N65"/>
      <c r="O65" s="624"/>
      <c r="S65" s="1502" t="s">
        <v>8806</v>
      </c>
      <c r="T65" s="1501" t="str">
        <f>TipodeMovimiento&amp;" ("&amp;VLOOKUP(TipodeMovimiento,Tabla_TipoMovimiento,2,FALSE)&amp;")"&amp;IF(NOT(OR(T60:T64)),""," "&amp;S59&amp;IF(T60,", "&amp;U60&amp;" "&amp;S60,"")&amp;IF(T61,", "&amp;U61&amp;" "&amp;S61,"")&amp;IF(T62,", "&amp;U62&amp;" "&amp;S62,"")&amp;IF(T63,", "&amp;U63&amp;" "&amp;S63,"")&amp;IF(T64,", "&amp;U64&amp;" "&amp;S64,""))</f>
        <v>10 (35 m / asalto)</v>
      </c>
      <c r="U65" s="1499"/>
      <c r="V65" s="1500"/>
      <c r="W65" s="5763" t="str">
        <f>IF(COUNTIF(T60:T64,TRUE)&gt;0,"Tablas!"&amp;ADDRESS(ROW(W59),COLUMN(W59))&amp;":"&amp;ADDRESS(ROW(W59)+MATCH("",$W$59:$W$64,0)-2,COLUMN(W59)),"")</f>
        <v/>
      </c>
      <c r="X65" s="5764"/>
    </row>
    <row r="66" spans="1:27" ht="12.75" customHeight="1" thickBot="1" x14ac:dyDescent="0.25">
      <c r="A66" s="242">
        <v>66</v>
      </c>
      <c r="B66" s="5664"/>
      <c r="H66"/>
      <c r="I66" s="624"/>
      <c r="N66"/>
      <c r="O66" s="624"/>
    </row>
    <row r="67" spans="1:27" ht="12.75" customHeight="1" x14ac:dyDescent="0.2">
      <c r="A67" s="242">
        <v>67</v>
      </c>
      <c r="B67" s="5664"/>
      <c r="C67" s="5661" t="s">
        <v>8604</v>
      </c>
      <c r="D67" s="5662"/>
      <c r="E67" s="5662"/>
      <c r="F67" s="5662"/>
      <c r="G67" s="5662"/>
      <c r="H67" s="5662"/>
      <c r="I67" s="5662"/>
      <c r="J67" s="5662"/>
      <c r="K67" s="5662"/>
      <c r="L67" s="5662"/>
      <c r="M67" s="5662"/>
      <c r="N67" s="5663"/>
      <c r="P67" s="5661" t="s">
        <v>8603</v>
      </c>
      <c r="Q67" s="5662"/>
      <c r="R67" s="5662"/>
      <c r="S67" s="5662"/>
      <c r="T67" s="5662"/>
      <c r="U67" s="5662"/>
      <c r="V67" s="5662"/>
      <c r="W67" s="5662"/>
      <c r="X67" s="5662"/>
      <c r="Y67" s="5662"/>
      <c r="Z67" s="5662"/>
      <c r="AA67" s="5663"/>
    </row>
    <row r="68" spans="1:27" ht="12.75" customHeight="1" x14ac:dyDescent="0.2">
      <c r="A68" s="242">
        <v>68</v>
      </c>
      <c r="B68" s="5664"/>
      <c r="C68" s="1263" t="s">
        <v>1411</v>
      </c>
      <c r="D68" s="1256" t="s">
        <v>8592</v>
      </c>
      <c r="E68" s="1256" t="s">
        <v>8593</v>
      </c>
      <c r="F68" s="1256" t="s">
        <v>8594</v>
      </c>
      <c r="G68" s="1256" t="s">
        <v>8595</v>
      </c>
      <c r="H68" s="1256" t="s">
        <v>8596</v>
      </c>
      <c r="I68" s="1256" t="s">
        <v>8597</v>
      </c>
      <c r="J68" s="1256" t="s">
        <v>8598</v>
      </c>
      <c r="K68" s="1256" t="s">
        <v>8599</v>
      </c>
      <c r="L68" s="1256" t="s">
        <v>8600</v>
      </c>
      <c r="M68" s="1256" t="s">
        <v>8601</v>
      </c>
      <c r="N68" s="1262" t="s">
        <v>8602</v>
      </c>
      <c r="P68" s="1263" t="s">
        <v>1411</v>
      </c>
      <c r="Q68" s="1256" t="s">
        <v>8592</v>
      </c>
      <c r="R68" s="1256" t="s">
        <v>8593</v>
      </c>
      <c r="S68" s="1256" t="s">
        <v>8594</v>
      </c>
      <c r="T68" s="1256" t="s">
        <v>8595</v>
      </c>
      <c r="U68" s="1256" t="s">
        <v>8596</v>
      </c>
      <c r="V68" s="1256" t="s">
        <v>8597</v>
      </c>
      <c r="W68" s="1256" t="s">
        <v>8598</v>
      </c>
      <c r="X68" s="1256" t="s">
        <v>8599</v>
      </c>
      <c r="Y68" s="1385" t="s">
        <v>8600</v>
      </c>
      <c r="Z68" s="1385" t="s">
        <v>8601</v>
      </c>
      <c r="AA68" s="1386" t="s">
        <v>8602</v>
      </c>
    </row>
    <row r="69" spans="1:27" ht="12.75" customHeight="1" x14ac:dyDescent="0.2">
      <c r="A69" s="242">
        <v>69</v>
      </c>
      <c r="B69" s="5664"/>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664"/>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664"/>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664"/>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664"/>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664"/>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664"/>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664"/>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664"/>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664"/>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664"/>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664"/>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664"/>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664"/>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664"/>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664"/>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664"/>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664"/>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664"/>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664"/>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664"/>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664"/>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664"/>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664"/>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664"/>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664"/>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664"/>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664"/>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664"/>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664"/>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664"/>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664"/>
    </row>
    <row r="101" spans="1:109" ht="12.75" customHeight="1" x14ac:dyDescent="0.2">
      <c r="A101" s="242">
        <v>101</v>
      </c>
      <c r="B101" s="5664"/>
      <c r="C101" s="5534" t="s">
        <v>7575</v>
      </c>
      <c r="D101" s="5534"/>
      <c r="E101" s="5534"/>
      <c r="F101" s="5534"/>
      <c r="G101" s="5534"/>
      <c r="H101" s="5534"/>
      <c r="I101" s="5534"/>
      <c r="J101" s="5534"/>
      <c r="K101" s="5534"/>
      <c r="L101" s="5534"/>
      <c r="M101" s="5534"/>
      <c r="N101" s="5534"/>
      <c r="O101" s="5534"/>
      <c r="P101" s="5534"/>
      <c r="Q101" s="5534"/>
      <c r="R101" s="5534"/>
      <c r="S101" s="5534"/>
      <c r="T101" s="5534"/>
      <c r="U101" s="5534"/>
      <c r="V101" s="5534"/>
      <c r="W101" s="5534"/>
      <c r="X101" s="5534"/>
      <c r="Y101" s="5534"/>
      <c r="Z101" s="5534"/>
      <c r="AA101" s="5534"/>
      <c r="AB101" s="5534"/>
      <c r="AC101" s="5534"/>
      <c r="AD101" s="5534"/>
      <c r="AE101" s="5534"/>
      <c r="AF101" s="5534"/>
      <c r="AG101" s="5534"/>
      <c r="AH101" s="5534"/>
      <c r="AI101" s="5534"/>
      <c r="AJ101" s="5534"/>
      <c r="AK101" s="5534"/>
      <c r="AL101" s="5534"/>
      <c r="AM101" s="5534"/>
      <c r="AN101" s="5534"/>
      <c r="AO101" s="5534"/>
      <c r="AP101" s="5534"/>
      <c r="AQ101" s="5534"/>
      <c r="AR101" s="5534"/>
      <c r="AS101" s="5534"/>
      <c r="AT101" s="5534"/>
      <c r="AU101" s="5534"/>
      <c r="AV101" s="5534"/>
      <c r="AW101" s="5534"/>
      <c r="AX101" s="5534"/>
      <c r="AY101" s="5534"/>
      <c r="AZ101" s="5534"/>
      <c r="BA101" s="5534"/>
      <c r="BB101" s="5534"/>
      <c r="BC101" s="5534"/>
      <c r="BD101" s="5534"/>
      <c r="BE101" s="5534"/>
      <c r="BF101" s="5534"/>
      <c r="BG101" s="5534"/>
      <c r="BH101" s="5534"/>
      <c r="BI101" s="5534"/>
      <c r="BJ101" s="5534"/>
      <c r="BK101" s="5534"/>
      <c r="BL101" s="5534"/>
      <c r="BM101" s="5534"/>
      <c r="BN101" s="5534"/>
      <c r="BO101" s="5534"/>
      <c r="BP101" s="5534"/>
      <c r="BQ101" s="5534"/>
      <c r="BR101" s="5534"/>
      <c r="BS101" s="5534"/>
      <c r="BT101" s="5534"/>
      <c r="BU101" s="5534"/>
      <c r="BV101" s="5534"/>
      <c r="BW101" s="5534"/>
      <c r="BX101" s="5534"/>
      <c r="BY101" s="5534"/>
      <c r="BZ101" s="5534"/>
      <c r="CA101" s="5534"/>
      <c r="CB101" s="5534"/>
      <c r="CC101" s="5534"/>
      <c r="CD101" s="5534"/>
      <c r="CE101" s="5534"/>
      <c r="CF101" s="5534"/>
      <c r="CG101" s="5534"/>
      <c r="CH101" s="5534"/>
      <c r="CI101" s="5534"/>
      <c r="CJ101" s="5534"/>
      <c r="CK101" s="5534"/>
      <c r="CL101" s="5534"/>
      <c r="CM101" s="5534"/>
      <c r="CN101" s="5534"/>
      <c r="CO101" s="5534"/>
      <c r="CP101" s="5534"/>
      <c r="CQ101" s="5534"/>
      <c r="CR101" s="5534"/>
      <c r="CS101" s="5534"/>
      <c r="CT101" s="5534"/>
      <c r="CU101" s="5534"/>
      <c r="CV101" s="5534"/>
      <c r="CW101" s="5534"/>
      <c r="CX101" s="5534"/>
      <c r="CY101" s="5534"/>
      <c r="CZ101" s="5534"/>
      <c r="DA101" s="5534"/>
      <c r="DB101" s="5534"/>
      <c r="DC101" s="5534"/>
      <c r="DD101" s="5534"/>
      <c r="DE101" s="5534"/>
    </row>
    <row r="102" spans="1:109" ht="12.75" customHeight="1" x14ac:dyDescent="0.2">
      <c r="A102" s="242">
        <v>102</v>
      </c>
      <c r="B102" s="5664"/>
      <c r="C102" s="5534"/>
      <c r="D102" s="5534"/>
      <c r="E102" s="5534"/>
      <c r="F102" s="5534"/>
      <c r="G102" s="5534"/>
      <c r="H102" s="5534"/>
      <c r="I102" s="5534"/>
      <c r="J102" s="5534"/>
      <c r="K102" s="5534"/>
      <c r="L102" s="5534"/>
      <c r="M102" s="5534"/>
      <c r="N102" s="5534"/>
      <c r="O102" s="5534"/>
      <c r="P102" s="5534"/>
      <c r="Q102" s="5534"/>
      <c r="R102" s="5534"/>
      <c r="S102" s="5534"/>
      <c r="T102" s="5534"/>
      <c r="U102" s="5534"/>
      <c r="V102" s="5534"/>
      <c r="W102" s="5534"/>
      <c r="X102" s="5534"/>
      <c r="Y102" s="5534"/>
      <c r="Z102" s="5534"/>
      <c r="AA102" s="5534"/>
      <c r="AB102" s="5534"/>
      <c r="AC102" s="5534"/>
      <c r="AD102" s="5534"/>
      <c r="AE102" s="5534"/>
      <c r="AF102" s="5534"/>
      <c r="AG102" s="5534"/>
      <c r="AH102" s="5534"/>
      <c r="AI102" s="5534"/>
      <c r="AJ102" s="5534"/>
      <c r="AK102" s="5534"/>
      <c r="AL102" s="5534"/>
      <c r="AM102" s="5534"/>
      <c r="AN102" s="5534"/>
      <c r="AO102" s="5534"/>
      <c r="AP102" s="5534"/>
      <c r="AQ102" s="5534"/>
      <c r="AR102" s="5534"/>
      <c r="AS102" s="5534"/>
      <c r="AT102" s="5534"/>
      <c r="AU102" s="5534"/>
      <c r="AV102" s="5534"/>
      <c r="AW102" s="5534"/>
      <c r="AX102" s="5534"/>
      <c r="AY102" s="5534"/>
      <c r="AZ102" s="5534"/>
      <c r="BA102" s="5534"/>
      <c r="BB102" s="5534"/>
      <c r="BC102" s="5534"/>
      <c r="BD102" s="5534"/>
      <c r="BE102" s="5534"/>
      <c r="BF102" s="5534"/>
      <c r="BG102" s="5534"/>
      <c r="BH102" s="5534"/>
      <c r="BI102" s="5534"/>
      <c r="BJ102" s="5534"/>
      <c r="BK102" s="5534"/>
      <c r="BL102" s="5534"/>
      <c r="BM102" s="5534"/>
      <c r="BN102" s="5534"/>
      <c r="BO102" s="5534"/>
      <c r="BP102" s="5534"/>
      <c r="BQ102" s="5534"/>
      <c r="BR102" s="5534"/>
      <c r="BS102" s="5534"/>
      <c r="BT102" s="5534"/>
      <c r="BU102" s="5534"/>
      <c r="BV102" s="5534"/>
      <c r="BW102" s="5534"/>
      <c r="BX102" s="5534"/>
      <c r="BY102" s="5534"/>
      <c r="BZ102" s="5534"/>
      <c r="CA102" s="5534"/>
      <c r="CB102" s="5534"/>
      <c r="CC102" s="5534"/>
      <c r="CD102" s="5534"/>
      <c r="CE102" s="5534"/>
      <c r="CF102" s="5534"/>
      <c r="CG102" s="5534"/>
      <c r="CH102" s="5534"/>
      <c r="CI102" s="5534"/>
      <c r="CJ102" s="5534"/>
      <c r="CK102" s="5534"/>
      <c r="CL102" s="5534"/>
      <c r="CM102" s="5534"/>
      <c r="CN102" s="5534"/>
      <c r="CO102" s="5534"/>
      <c r="CP102" s="5534"/>
      <c r="CQ102" s="5534"/>
      <c r="CR102" s="5534"/>
      <c r="CS102" s="5534"/>
      <c r="CT102" s="5534"/>
      <c r="CU102" s="5534"/>
      <c r="CV102" s="5534"/>
      <c r="CW102" s="5534"/>
      <c r="CX102" s="5534"/>
      <c r="CY102" s="5534"/>
      <c r="CZ102" s="5534"/>
      <c r="DA102" s="5534"/>
      <c r="DB102" s="5534"/>
      <c r="DC102" s="5534"/>
      <c r="DD102" s="5534"/>
      <c r="DE102" s="5534"/>
    </row>
    <row r="103" spans="1:109" ht="12.75" customHeight="1" x14ac:dyDescent="0.2">
      <c r="A103" s="242">
        <v>103</v>
      </c>
      <c r="B103" s="5664"/>
      <c r="C103" s="5534"/>
      <c r="D103" s="5534"/>
      <c r="E103" s="5534"/>
      <c r="F103" s="5534"/>
      <c r="G103" s="5534"/>
      <c r="H103" s="5534"/>
      <c r="I103" s="5534"/>
      <c r="J103" s="5534"/>
      <c r="K103" s="5534"/>
      <c r="L103" s="5534"/>
      <c r="M103" s="5534"/>
      <c r="N103" s="5534"/>
      <c r="O103" s="5534"/>
      <c r="P103" s="5534"/>
      <c r="Q103" s="5534"/>
      <c r="R103" s="5534"/>
      <c r="S103" s="5534"/>
      <c r="T103" s="5534"/>
      <c r="U103" s="5534"/>
      <c r="V103" s="5534"/>
      <c r="W103" s="5534"/>
      <c r="X103" s="5534"/>
      <c r="Y103" s="5534"/>
      <c r="Z103" s="5534"/>
      <c r="AA103" s="5534"/>
      <c r="AB103" s="5534"/>
      <c r="AC103" s="5534"/>
      <c r="AD103" s="5534"/>
      <c r="AE103" s="5534"/>
      <c r="AF103" s="5534"/>
      <c r="AG103" s="5534"/>
      <c r="AH103" s="5534"/>
      <c r="AI103" s="5534"/>
      <c r="AJ103" s="5534"/>
      <c r="AK103" s="5534"/>
      <c r="AL103" s="5534"/>
      <c r="AM103" s="5534"/>
      <c r="AN103" s="5534"/>
      <c r="AO103" s="5534"/>
      <c r="AP103" s="5534"/>
      <c r="AQ103" s="5534"/>
      <c r="AR103" s="5534"/>
      <c r="AS103" s="5534"/>
      <c r="AT103" s="5534"/>
      <c r="AU103" s="5534"/>
      <c r="AV103" s="5534"/>
      <c r="AW103" s="5534"/>
      <c r="AX103" s="5534"/>
      <c r="AY103" s="5534"/>
      <c r="AZ103" s="5534"/>
      <c r="BA103" s="5534"/>
      <c r="BB103" s="5534"/>
      <c r="BC103" s="5534"/>
      <c r="BD103" s="5534"/>
      <c r="BE103" s="5534"/>
      <c r="BF103" s="5534"/>
      <c r="BG103" s="5534"/>
      <c r="BH103" s="5534"/>
      <c r="BI103" s="5534"/>
      <c r="BJ103" s="5534"/>
      <c r="BK103" s="5534"/>
      <c r="BL103" s="5534"/>
      <c r="BM103" s="5534"/>
      <c r="BN103" s="5534"/>
      <c r="BO103" s="5534"/>
      <c r="BP103" s="5534"/>
      <c r="BQ103" s="5534"/>
      <c r="BR103" s="5534"/>
      <c r="BS103" s="5534"/>
      <c r="BT103" s="5534"/>
      <c r="BU103" s="5534"/>
      <c r="BV103" s="5534"/>
      <c r="BW103" s="5534"/>
      <c r="BX103" s="5534"/>
      <c r="BY103" s="5534"/>
      <c r="BZ103" s="5534"/>
      <c r="CA103" s="5534"/>
      <c r="CB103" s="5534"/>
      <c r="CC103" s="5534"/>
      <c r="CD103" s="5534"/>
      <c r="CE103" s="5534"/>
      <c r="CF103" s="5534"/>
      <c r="CG103" s="5534"/>
      <c r="CH103" s="5534"/>
      <c r="CI103" s="5534"/>
      <c r="CJ103" s="5534"/>
      <c r="CK103" s="5534"/>
      <c r="CL103" s="5534"/>
      <c r="CM103" s="5534"/>
      <c r="CN103" s="5534"/>
      <c r="CO103" s="5534"/>
      <c r="CP103" s="5534"/>
      <c r="CQ103" s="5534"/>
      <c r="CR103" s="5534"/>
      <c r="CS103" s="5534"/>
      <c r="CT103" s="5534"/>
      <c r="CU103" s="5534"/>
      <c r="CV103" s="5534"/>
      <c r="CW103" s="5534"/>
      <c r="CX103" s="5534"/>
      <c r="CY103" s="5534"/>
      <c r="CZ103" s="5534"/>
      <c r="DA103" s="5534"/>
      <c r="DB103" s="5534"/>
      <c r="DC103" s="5534"/>
      <c r="DD103" s="5534"/>
      <c r="DE103" s="5534"/>
    </row>
    <row r="104" spans="1:109" ht="12.75" customHeight="1" thickBot="1" x14ac:dyDescent="0.25">
      <c r="A104" s="242">
        <v>104</v>
      </c>
      <c r="B104" s="5664"/>
      <c r="H104"/>
      <c r="N104"/>
    </row>
    <row r="105" spans="1:109" ht="12.75" customHeight="1" thickBot="1" x14ac:dyDescent="0.25">
      <c r="A105" s="242">
        <v>105</v>
      </c>
      <c r="B105" s="5664"/>
      <c r="C105" s="5742" t="s">
        <v>1942</v>
      </c>
      <c r="D105" s="5742"/>
      <c r="F105" s="5742" t="s">
        <v>1968</v>
      </c>
      <c r="G105" s="5742"/>
      <c r="H105"/>
      <c r="I105" s="5792" t="s">
        <v>1911</v>
      </c>
      <c r="J105" s="5793"/>
      <c r="K105" s="5793"/>
      <c r="L105" s="5793"/>
      <c r="M105" s="5793"/>
      <c r="N105" s="5793"/>
      <c r="O105" s="5793"/>
      <c r="P105" s="5793"/>
      <c r="Q105" s="5793"/>
      <c r="R105" s="5793"/>
      <c r="S105" s="5793"/>
      <c r="T105" s="5793"/>
      <c r="U105" s="5793"/>
      <c r="V105" s="5793"/>
      <c r="W105" s="5793"/>
      <c r="X105" s="5793"/>
      <c r="Y105" s="5793"/>
      <c r="Z105" s="5793"/>
      <c r="AA105" s="5793"/>
      <c r="AB105" s="5793"/>
      <c r="AC105" s="5793"/>
      <c r="AD105" s="5793"/>
      <c r="AE105" s="5793"/>
      <c r="AF105" s="5793"/>
      <c r="AG105" s="5793"/>
      <c r="AH105" s="5793"/>
      <c r="AI105" s="5793"/>
      <c r="AJ105" s="5793"/>
      <c r="AK105" s="5793"/>
      <c r="AL105" s="5793"/>
      <c r="AM105" s="5793"/>
      <c r="AN105" s="5793"/>
      <c r="AO105" s="5793"/>
      <c r="AP105" s="5793"/>
      <c r="AQ105" s="5793"/>
      <c r="AR105" s="5793"/>
      <c r="AS105" s="5793"/>
      <c r="AT105" s="5793"/>
      <c r="AU105" s="5793"/>
      <c r="AV105" s="5793"/>
      <c r="AW105" s="5793"/>
      <c r="AX105" s="5793"/>
      <c r="AY105" s="5793"/>
      <c r="AZ105" s="5793"/>
      <c r="BA105" s="5793"/>
      <c r="BB105" s="5793"/>
      <c r="BC105" s="5793"/>
      <c r="BD105" s="5793"/>
      <c r="BE105" s="5793"/>
      <c r="BF105" s="5793"/>
      <c r="BG105" s="5793"/>
      <c r="BH105" s="5793"/>
      <c r="BI105" s="5793"/>
      <c r="BJ105" s="5793"/>
      <c r="BK105" s="5793"/>
      <c r="BL105" s="5794"/>
    </row>
    <row r="106" spans="1:109" ht="12.75" customHeight="1" thickBot="1" x14ac:dyDescent="0.25">
      <c r="A106" s="242">
        <v>106</v>
      </c>
      <c r="B106" s="5664"/>
      <c r="C106" s="5742"/>
      <c r="D106" s="5742"/>
      <c r="F106" s="5742"/>
      <c r="G106" s="5742"/>
      <c r="H106"/>
      <c r="I106" s="5795"/>
      <c r="J106" s="5676"/>
      <c r="K106" s="5676"/>
      <c r="L106" s="5676"/>
      <c r="M106" s="5676"/>
      <c r="N106" s="5676"/>
      <c r="O106" s="5676"/>
      <c r="P106" s="5676"/>
      <c r="Q106" s="5676"/>
      <c r="R106" s="5676"/>
      <c r="S106" s="5676"/>
      <c r="T106" s="5676"/>
      <c r="U106" s="5676"/>
      <c r="V106" s="5676"/>
      <c r="W106" s="5676"/>
      <c r="X106" s="5676"/>
      <c r="Y106" s="5676"/>
      <c r="Z106" s="5676"/>
      <c r="AA106" s="5676"/>
      <c r="AB106" s="5676"/>
      <c r="AC106" s="5676"/>
      <c r="AD106" s="5676"/>
      <c r="AE106" s="5676"/>
      <c r="AF106" s="5676"/>
      <c r="AG106" s="5676"/>
      <c r="AH106" s="5676"/>
      <c r="AI106" s="5676"/>
      <c r="AJ106" s="5676"/>
      <c r="AK106" s="5676"/>
      <c r="AL106" s="5676"/>
      <c r="AM106" s="5676"/>
      <c r="AN106" s="5676"/>
      <c r="AO106" s="5676"/>
      <c r="AP106" s="5676"/>
      <c r="AQ106" s="5676"/>
      <c r="AR106" s="5676"/>
      <c r="AS106" s="5676"/>
      <c r="AT106" s="5676"/>
      <c r="AU106" s="5676"/>
      <c r="AV106" s="5676"/>
      <c r="AW106" s="5676"/>
      <c r="AX106" s="5676"/>
      <c r="AY106" s="5676"/>
      <c r="AZ106" s="5676"/>
      <c r="BA106" s="5676"/>
      <c r="BB106" s="5676"/>
      <c r="BC106" s="5676"/>
      <c r="BD106" s="5676"/>
      <c r="BE106" s="5676"/>
      <c r="BF106" s="5676"/>
      <c r="BG106" s="5676"/>
      <c r="BH106" s="5676"/>
      <c r="BI106" s="5676"/>
      <c r="BJ106" s="5676"/>
      <c r="BK106" s="5676"/>
      <c r="BL106" s="5796"/>
    </row>
    <row r="107" spans="1:109" ht="13.5" customHeight="1" x14ac:dyDescent="0.2">
      <c r="A107" s="242">
        <v>107</v>
      </c>
      <c r="B107" s="5664"/>
      <c r="C107" s="192" t="s">
        <v>1943</v>
      </c>
      <c r="D107" s="40"/>
      <c r="F107" s="194" t="s">
        <v>9617</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762">
        <v>20</v>
      </c>
      <c r="AD107" s="5762"/>
      <c r="AE107" s="845"/>
      <c r="AF107" s="5762"/>
      <c r="AG107" s="5762"/>
      <c r="AH107" s="845"/>
      <c r="AI107" s="5762"/>
      <c r="AJ107" s="5762"/>
      <c r="AK107" s="845"/>
      <c r="AL107" s="5762"/>
      <c r="AM107" s="5762"/>
      <c r="AN107" s="845"/>
      <c r="AO107" s="5677"/>
      <c r="AP107" s="5677"/>
      <c r="AQ107" s="1266"/>
      <c r="AR107" s="5677"/>
      <c r="AS107" s="5677"/>
      <c r="AT107" s="1266"/>
      <c r="AU107" s="5677"/>
      <c r="AV107" s="5677"/>
      <c r="AW107" s="1266"/>
      <c r="AX107" s="5677"/>
      <c r="AY107" s="5677"/>
      <c r="AZ107" s="1266"/>
      <c r="BA107" s="5677"/>
      <c r="BB107" s="5677"/>
      <c r="BC107" s="1266"/>
      <c r="BD107" s="5677"/>
      <c r="BE107" s="5677"/>
      <c r="BF107" s="1266"/>
      <c r="BG107" s="5677"/>
      <c r="BH107" s="5677"/>
      <c r="BI107" s="1266"/>
      <c r="BJ107" s="5677"/>
      <c r="BK107" s="5677"/>
      <c r="BL107" s="1275"/>
    </row>
    <row r="108" spans="1:109" ht="12.75" customHeight="1" thickBot="1" x14ac:dyDescent="0.25">
      <c r="A108" s="242">
        <v>108</v>
      </c>
      <c r="B108" s="5664"/>
      <c r="C108" s="193" t="s">
        <v>1945</v>
      </c>
      <c r="D108" s="78"/>
      <c r="F108" s="193" t="s">
        <v>9618</v>
      </c>
      <c r="G108" s="78"/>
      <c r="H108"/>
      <c r="I108" s="1331" t="s">
        <v>7454</v>
      </c>
      <c r="J108" s="183" t="s">
        <v>1461</v>
      </c>
      <c r="K108" s="183" t="s">
        <v>1467</v>
      </c>
      <c r="L108" s="183" t="s">
        <v>1469</v>
      </c>
      <c r="M108" s="183" t="s">
        <v>1471</v>
      </c>
      <c r="N108" s="183" t="s">
        <v>1473</v>
      </c>
      <c r="O108" s="671" t="s">
        <v>1475</v>
      </c>
      <c r="P108" s="183" t="s">
        <v>1912</v>
      </c>
      <c r="Q108" s="183" t="s">
        <v>1381</v>
      </c>
      <c r="R108" s="183" t="s">
        <v>1506</v>
      </c>
      <c r="S108" s="183" t="s">
        <v>1386</v>
      </c>
      <c r="T108" s="183" t="s">
        <v>1391</v>
      </c>
      <c r="U108" s="183" t="s">
        <v>1394</v>
      </c>
      <c r="V108" s="183" t="s">
        <v>1397</v>
      </c>
      <c r="W108" s="183" t="s">
        <v>1399</v>
      </c>
      <c r="X108" s="183" t="s">
        <v>1400</v>
      </c>
      <c r="Y108" s="671" t="s">
        <v>1913</v>
      </c>
      <c r="Z108" s="671" t="s">
        <v>1376</v>
      </c>
      <c r="AA108" s="671" t="s">
        <v>1396</v>
      </c>
      <c r="AB108" s="671" t="s">
        <v>1914</v>
      </c>
      <c r="AC108" s="5755" t="s">
        <v>8678</v>
      </c>
      <c r="AD108" s="5755"/>
      <c r="AE108" s="671"/>
      <c r="AF108" s="5755"/>
      <c r="AG108" s="5755"/>
      <c r="AH108" s="671"/>
      <c r="AI108" s="5755"/>
      <c r="AJ108" s="5755"/>
      <c r="AK108" s="671"/>
      <c r="AL108" s="5755"/>
      <c r="AM108" s="5755"/>
      <c r="AN108" s="671"/>
      <c r="AO108" s="5678"/>
      <c r="AP108" s="5678"/>
      <c r="AQ108" s="183"/>
      <c r="AR108" s="5678"/>
      <c r="AS108" s="5678"/>
      <c r="AT108" s="183"/>
      <c r="AU108" s="5678"/>
      <c r="AV108" s="5678"/>
      <c r="AW108" s="183"/>
      <c r="AX108" s="5678"/>
      <c r="AY108" s="5678"/>
      <c r="AZ108" s="183"/>
      <c r="BA108" s="5678"/>
      <c r="BB108" s="5678"/>
      <c r="BC108" s="183"/>
      <c r="BD108" s="5678"/>
      <c r="BE108" s="5678"/>
      <c r="BF108" s="183"/>
      <c r="BG108" s="5678"/>
      <c r="BH108" s="5678"/>
      <c r="BI108" s="183"/>
      <c r="BJ108" s="5678"/>
      <c r="BK108" s="5678"/>
      <c r="BL108" s="1332"/>
    </row>
    <row r="109" spans="1:109" ht="12.75" customHeight="1" thickBot="1" x14ac:dyDescent="0.25">
      <c r="A109" s="242">
        <v>109</v>
      </c>
      <c r="B109" s="5664"/>
      <c r="H109"/>
      <c r="I109" s="1336" t="str">
        <f t="shared" ref="I109:I129" si="16">IF(OR(Nephilim=J109,Raza=J109),1,"")</f>
        <v/>
      </c>
      <c r="J109" s="1025" t="s">
        <v>1917</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8663</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664"/>
      <c r="C110" s="5742" t="s">
        <v>1948</v>
      </c>
      <c r="D110" s="5742"/>
      <c r="F110" s="3156" t="s">
        <v>1832</v>
      </c>
      <c r="G110" s="3156"/>
      <c r="H110"/>
      <c r="I110" s="1338" t="str">
        <f t="shared" si="16"/>
        <v/>
      </c>
      <c r="J110" s="1025" t="s">
        <v>1918</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8664</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664"/>
      <c r="C111" s="5742"/>
      <c r="D111" s="5742"/>
      <c r="F111" s="3156"/>
      <c r="G111" s="3156"/>
      <c r="H111"/>
      <c r="I111" s="1338" t="str">
        <f t="shared" si="16"/>
        <v/>
      </c>
      <c r="J111" s="1025" t="s">
        <v>1919</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8665</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664"/>
      <c r="C112" s="194" t="s">
        <v>1951</v>
      </c>
      <c r="D112" s="40"/>
      <c r="F112" s="5756" t="s">
        <v>1944</v>
      </c>
      <c r="G112" s="5756"/>
      <c r="H112"/>
      <c r="I112" s="1338" t="str">
        <f t="shared" si="16"/>
        <v/>
      </c>
      <c r="J112" s="1025" t="s">
        <v>1921</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8666</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664"/>
      <c r="C113" s="194" t="s">
        <v>1953</v>
      </c>
      <c r="D113" s="40"/>
      <c r="F113" s="5756" t="s">
        <v>1946</v>
      </c>
      <c r="G113" s="5756"/>
      <c r="H113"/>
      <c r="I113" s="1338" t="str">
        <f t="shared" si="16"/>
        <v/>
      </c>
      <c r="J113" s="1025" t="s">
        <v>1922</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8667</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664"/>
      <c r="C114" s="194" t="s">
        <v>1954</v>
      </c>
      <c r="D114" s="40"/>
      <c r="F114" s="5756" t="s">
        <v>1947</v>
      </c>
      <c r="G114" s="5756"/>
      <c r="H114"/>
      <c r="I114" s="1338" t="str">
        <f t="shared" si="16"/>
        <v/>
      </c>
      <c r="J114" s="1025" t="s">
        <v>1923</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8668</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664"/>
      <c r="C115" s="194" t="s">
        <v>1955</v>
      </c>
      <c r="D115" s="40"/>
      <c r="F115" s="5756" t="s">
        <v>1949</v>
      </c>
      <c r="G115" s="5756"/>
      <c r="H115"/>
      <c r="I115" s="1338" t="str">
        <f t="shared" si="16"/>
        <v/>
      </c>
      <c r="J115" s="1025" t="s">
        <v>7446</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8669</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664"/>
      <c r="C116" s="194" t="s">
        <v>1956</v>
      </c>
      <c r="D116" s="40"/>
      <c r="F116" s="5756" t="s">
        <v>1950</v>
      </c>
      <c r="G116" s="5756"/>
      <c r="H116"/>
      <c r="I116" s="1338" t="str">
        <f t="shared" si="16"/>
        <v/>
      </c>
      <c r="J116" s="1025" t="s">
        <v>1925</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8670</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664"/>
      <c r="C117" s="194" t="s">
        <v>1957</v>
      </c>
      <c r="D117" s="40"/>
      <c r="F117" s="5803" t="s">
        <v>1952</v>
      </c>
      <c r="G117" s="5803"/>
      <c r="H117"/>
      <c r="I117" s="1338" t="str">
        <f t="shared" si="16"/>
        <v/>
      </c>
      <c r="J117" s="1025" t="s">
        <v>1927</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10249</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664"/>
      <c r="C118" s="194" t="s">
        <v>1958</v>
      </c>
      <c r="D118" s="40"/>
      <c r="H118"/>
      <c r="I118" s="1338" t="str">
        <f t="shared" si="16"/>
        <v/>
      </c>
      <c r="J118" s="1025" t="s">
        <v>1916</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7172</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664"/>
      <c r="C119" s="194" t="s">
        <v>1959</v>
      </c>
      <c r="D119" s="40"/>
      <c r="F119" s="5742" t="s">
        <v>1983</v>
      </c>
      <c r="G119" s="5742"/>
      <c r="H119"/>
      <c r="I119" s="1338" t="str">
        <f t="shared" si="16"/>
        <v/>
      </c>
      <c r="J119" s="1025" t="s">
        <v>1930</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8671</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664"/>
      <c r="C120" s="194" t="s">
        <v>1960</v>
      </c>
      <c r="D120" s="40"/>
      <c r="F120" s="5742"/>
      <c r="G120" s="5742"/>
      <c r="H120"/>
      <c r="I120" s="1338" t="str">
        <f t="shared" si="16"/>
        <v/>
      </c>
      <c r="J120" s="1025" t="s">
        <v>1931</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5</v>
      </c>
      <c r="AC120" s="1158" t="s">
        <v>8672</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664"/>
      <c r="C121" s="194" t="s">
        <v>1961</v>
      </c>
      <c r="D121" s="40"/>
      <c r="F121" s="194" t="s">
        <v>1984</v>
      </c>
      <c r="G121" s="144"/>
      <c r="H121"/>
      <c r="I121" s="1338" t="str">
        <f t="shared" si="16"/>
        <v/>
      </c>
      <c r="J121" s="1025" t="s">
        <v>1932</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8673</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664"/>
      <c r="C122" s="194" t="s">
        <v>1962</v>
      </c>
      <c r="D122" s="40"/>
      <c r="F122" s="194" t="s">
        <v>1985</v>
      </c>
      <c r="G122" s="144"/>
      <c r="H122"/>
      <c r="I122" s="1338" t="str">
        <f t="shared" si="16"/>
        <v/>
      </c>
      <c r="J122" s="1025" t="s">
        <v>1933</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8749</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664"/>
      <c r="C123" s="194" t="s">
        <v>1963</v>
      </c>
      <c r="D123" s="40"/>
      <c r="F123" s="194" t="s">
        <v>1986</v>
      </c>
      <c r="G123" s="144"/>
      <c r="H123"/>
      <c r="I123" s="1338" t="str">
        <f t="shared" si="16"/>
        <v/>
      </c>
      <c r="J123" s="1025" t="s">
        <v>1934</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8674</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664"/>
      <c r="C124" s="194" t="s">
        <v>1964</v>
      </c>
      <c r="D124" s="40"/>
      <c r="F124" s="194" t="s">
        <v>1987</v>
      </c>
      <c r="G124" s="144"/>
      <c r="H124"/>
      <c r="I124" s="1338" t="str">
        <f t="shared" si="16"/>
        <v/>
      </c>
      <c r="J124" s="1025" t="s">
        <v>1935</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8675</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664"/>
      <c r="C125" s="194" t="s">
        <v>1965</v>
      </c>
      <c r="D125" s="40"/>
      <c r="F125" s="194" t="s">
        <v>1988</v>
      </c>
      <c r="G125" s="144"/>
      <c r="H125"/>
      <c r="I125" s="1338" t="str">
        <f t="shared" si="16"/>
        <v/>
      </c>
      <c r="J125" s="1025" t="s">
        <v>1936</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8676</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664"/>
      <c r="C126" s="194" t="s">
        <v>1966</v>
      </c>
      <c r="D126" s="40"/>
      <c r="F126" s="194" t="s">
        <v>1989</v>
      </c>
      <c r="G126" s="144"/>
      <c r="H126"/>
      <c r="I126" s="1338" t="str">
        <f t="shared" si="16"/>
        <v/>
      </c>
      <c r="J126" s="1025" t="s">
        <v>1937</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8677</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664"/>
      <c r="C127" s="193" t="s">
        <v>1967</v>
      </c>
      <c r="D127" s="78"/>
      <c r="F127" s="194" t="s">
        <v>1990</v>
      </c>
      <c r="G127" s="144"/>
      <c r="H127"/>
      <c r="I127" s="1338" t="str">
        <f t="shared" si="16"/>
        <v/>
      </c>
      <c r="J127" s="1025" t="s">
        <v>1938</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664"/>
      <c r="F128" s="194" t="s">
        <v>1991</v>
      </c>
      <c r="G128" s="144"/>
      <c r="H128"/>
      <c r="I128" s="1338" t="str">
        <f t="shared" si="16"/>
        <v/>
      </c>
      <c r="J128" s="1025" t="s">
        <v>1940</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8679</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664"/>
      <c r="C129" s="3062" t="s">
        <v>8751</v>
      </c>
      <c r="D129" s="3134"/>
      <c r="F129" s="193" t="s">
        <v>1992</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7172</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664"/>
      <c r="C130" s="5609"/>
      <c r="D130" s="5387"/>
      <c r="H130"/>
      <c r="J130" s="5732" t="s">
        <v>7568</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664"/>
      <c r="C131" s="1467" t="s">
        <v>1389</v>
      </c>
      <c r="D131" s="1468"/>
      <c r="H131"/>
      <c r="J131" s="5733"/>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664"/>
      <c r="C132" s="1469" t="s">
        <v>8752</v>
      </c>
      <c r="D132" s="1470"/>
      <c r="F132" s="624"/>
      <c r="H132"/>
      <c r="L132" s="624"/>
      <c r="N132"/>
    </row>
    <row r="133" spans="1:109" ht="12.75" customHeight="1" thickBot="1" x14ac:dyDescent="0.25">
      <c r="A133" s="242">
        <v>133</v>
      </c>
      <c r="B133" s="5664"/>
      <c r="C133" s="1471" t="s">
        <v>9016</v>
      </c>
      <c r="D133" s="1472"/>
      <c r="F133" s="5738" t="s">
        <v>6509</v>
      </c>
      <c r="G133" s="5738"/>
      <c r="H133" s="5738"/>
      <c r="I133" s="5738"/>
      <c r="J133" s="5738"/>
      <c r="K133" s="5738"/>
      <c r="L133" s="5738"/>
      <c r="M133" s="5738"/>
      <c r="N133" s="5738"/>
      <c r="O133" s="5738"/>
      <c r="P133" s="5738"/>
      <c r="Q133" s="5738"/>
      <c r="R133" s="5738"/>
      <c r="S133" s="5738"/>
      <c r="T133" s="5738"/>
      <c r="U133" s="5738"/>
      <c r="V133" s="5738"/>
      <c r="W133" s="5738"/>
      <c r="X133" s="5738"/>
      <c r="Y133" s="5738"/>
      <c r="Z133" s="5738"/>
      <c r="AA133" s="5738"/>
      <c r="AB133" s="5738"/>
      <c r="AC133" s="5738"/>
      <c r="AD133" s="5738"/>
      <c r="AE133" s="5738"/>
      <c r="AF133" s="5738"/>
      <c r="AG133" s="5738"/>
      <c r="AH133" s="5738"/>
      <c r="AI133" s="5738"/>
      <c r="AJ133" s="5738"/>
      <c r="AK133" s="5738"/>
      <c r="AL133" s="5738"/>
      <c r="AM133" s="5738"/>
      <c r="AN133" s="5738"/>
      <c r="AO133" s="5738"/>
      <c r="AP133" s="5738"/>
      <c r="AQ133" s="5738"/>
      <c r="AR133" s="5738"/>
      <c r="AS133" s="5738"/>
      <c r="AT133" s="5738"/>
      <c r="AU133" s="5738"/>
      <c r="AV133" s="5738"/>
      <c r="AW133" s="5738"/>
      <c r="AX133" s="5738"/>
      <c r="AY133" s="5738"/>
      <c r="AZ133" s="5738"/>
      <c r="BA133" s="5738"/>
      <c r="BB133" s="5738"/>
      <c r="BC133" s="5738"/>
      <c r="BD133" s="5738"/>
      <c r="BE133" s="5738"/>
      <c r="BF133" s="5738"/>
      <c r="BG133" s="5738"/>
      <c r="BH133" s="5738"/>
      <c r="BI133" s="5738"/>
      <c r="BJ133" s="5738"/>
      <c r="BK133" s="5738"/>
      <c r="BL133" s="5738"/>
      <c r="BM133" s="5738"/>
      <c r="BN133" s="5738"/>
      <c r="BO133" s="5738"/>
      <c r="BP133" s="5738"/>
      <c r="BQ133" s="5738"/>
      <c r="BR133" s="5738"/>
      <c r="BS133" s="5738"/>
      <c r="BT133" s="5738"/>
      <c r="BU133" s="5738"/>
      <c r="BV133" s="5738"/>
      <c r="BW133" s="5738"/>
      <c r="BX133" s="5738"/>
      <c r="BY133" s="5738"/>
      <c r="BZ133" s="5738"/>
      <c r="CA133" s="5738"/>
      <c r="CB133" s="5738"/>
      <c r="CC133" s="5738"/>
      <c r="CD133" s="5738"/>
      <c r="CE133" s="5738"/>
      <c r="CF133" s="5738"/>
      <c r="CG133" s="5738"/>
      <c r="CH133" s="5738"/>
      <c r="CI133" s="5738"/>
      <c r="CJ133" s="5738"/>
      <c r="CK133" s="5738"/>
      <c r="CL133" s="5738"/>
      <c r="CM133" s="5738"/>
      <c r="CN133" s="5738"/>
      <c r="CO133" s="5738"/>
      <c r="CP133" s="5738"/>
      <c r="CQ133" s="5738"/>
      <c r="CR133" s="5738"/>
      <c r="CS133" s="5738"/>
      <c r="CT133" s="5738"/>
      <c r="CU133" s="5738"/>
      <c r="CV133" s="5738"/>
      <c r="CW133" s="5738"/>
      <c r="CX133" s="5738"/>
      <c r="CY133" s="5738"/>
      <c r="CZ133" s="5738"/>
      <c r="DA133" s="5738"/>
      <c r="DB133" s="5738"/>
      <c r="DC133" s="5738"/>
      <c r="DD133" s="5738"/>
      <c r="DE133" s="5739"/>
    </row>
    <row r="134" spans="1:109" ht="12.75" customHeight="1" x14ac:dyDescent="0.2">
      <c r="A134" s="242">
        <v>134</v>
      </c>
      <c r="B134" s="5664"/>
      <c r="F134" s="5738"/>
      <c r="G134" s="5738"/>
      <c r="H134" s="5738"/>
      <c r="I134" s="5738"/>
      <c r="J134" s="5738"/>
      <c r="K134" s="5738"/>
      <c r="L134" s="5738"/>
      <c r="M134" s="5738"/>
      <c r="N134" s="5738"/>
      <c r="O134" s="5738"/>
      <c r="P134" s="5738"/>
      <c r="Q134" s="5738"/>
      <c r="R134" s="5738"/>
      <c r="S134" s="5738"/>
      <c r="T134" s="5738"/>
      <c r="U134" s="5738"/>
      <c r="V134" s="5738"/>
      <c r="W134" s="5738"/>
      <c r="X134" s="5738"/>
      <c r="Y134" s="5738"/>
      <c r="Z134" s="5738"/>
      <c r="AA134" s="5738"/>
      <c r="AB134" s="5738"/>
      <c r="AC134" s="5738"/>
      <c r="AD134" s="5738"/>
      <c r="AE134" s="5738"/>
      <c r="AF134" s="5738"/>
      <c r="AG134" s="5738"/>
      <c r="AH134" s="5738"/>
      <c r="AI134" s="5738"/>
      <c r="AJ134" s="5738"/>
      <c r="AK134" s="5738"/>
      <c r="AL134" s="5738"/>
      <c r="AM134" s="5738"/>
      <c r="AN134" s="5738"/>
      <c r="AO134" s="5738"/>
      <c r="AP134" s="5738"/>
      <c r="AQ134" s="5738"/>
      <c r="AR134" s="5738"/>
      <c r="AS134" s="5738"/>
      <c r="AT134" s="5738"/>
      <c r="AU134" s="5738"/>
      <c r="AV134" s="5738"/>
      <c r="AW134" s="5738"/>
      <c r="AX134" s="5738"/>
      <c r="AY134" s="5738"/>
      <c r="AZ134" s="5738"/>
      <c r="BA134" s="5738"/>
      <c r="BB134" s="5738"/>
      <c r="BC134" s="5738"/>
      <c r="BD134" s="5738"/>
      <c r="BE134" s="5738"/>
      <c r="BF134" s="5738"/>
      <c r="BG134" s="5738"/>
      <c r="BH134" s="5738"/>
      <c r="BI134" s="5738"/>
      <c r="BJ134" s="5738"/>
      <c r="BK134" s="5738"/>
      <c r="BL134" s="5738"/>
      <c r="BM134" s="5738"/>
      <c r="BN134" s="5738"/>
      <c r="BO134" s="5738"/>
      <c r="BP134" s="5738"/>
      <c r="BQ134" s="5738"/>
      <c r="BR134" s="5738"/>
      <c r="BS134" s="5738"/>
      <c r="BT134" s="5738"/>
      <c r="BU134" s="5738"/>
      <c r="BV134" s="5738"/>
      <c r="BW134" s="5738"/>
      <c r="BX134" s="5738"/>
      <c r="BY134" s="5738"/>
      <c r="BZ134" s="5738"/>
      <c r="CA134" s="5738"/>
      <c r="CB134" s="5738"/>
      <c r="CC134" s="5738"/>
      <c r="CD134" s="5738"/>
      <c r="CE134" s="5738"/>
      <c r="CF134" s="5738"/>
      <c r="CG134" s="5738"/>
      <c r="CH134" s="5738"/>
      <c r="CI134" s="5738"/>
      <c r="CJ134" s="5738"/>
      <c r="CK134" s="5738"/>
      <c r="CL134" s="5738"/>
      <c r="CM134" s="5738"/>
      <c r="CN134" s="5738"/>
      <c r="CO134" s="5738"/>
      <c r="CP134" s="5738"/>
      <c r="CQ134" s="5738"/>
      <c r="CR134" s="5738"/>
      <c r="CS134" s="5738"/>
      <c r="CT134" s="5738"/>
      <c r="CU134" s="5738"/>
      <c r="CV134" s="5738"/>
      <c r="CW134" s="5738"/>
      <c r="CX134" s="5738"/>
      <c r="CY134" s="5738"/>
      <c r="CZ134" s="5738"/>
      <c r="DA134" s="5738"/>
      <c r="DB134" s="5738"/>
      <c r="DC134" s="5738"/>
      <c r="DD134" s="5738"/>
      <c r="DE134" s="5739"/>
    </row>
    <row r="135" spans="1:109" ht="12.75" customHeight="1" thickBot="1" x14ac:dyDescent="0.25">
      <c r="A135" s="242">
        <v>135</v>
      </c>
      <c r="B135" s="5664"/>
      <c r="F135" s="5740" t="s">
        <v>6517</v>
      </c>
      <c r="G135" s="5741"/>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664"/>
      <c r="C136" s="5743" t="s">
        <v>6502</v>
      </c>
      <c r="D136" s="5744"/>
      <c r="F136" s="1099" t="str">
        <f>IF(ISNA(HLOOKUP($I$136&amp;$A1,$H$139:$DE$140,2,FALSE))," ",HLOOKUP($I$136&amp;$A1,$H$139:$DE$140,2,FALSE))</f>
        <v xml:space="preserve"> </v>
      </c>
      <c r="G136" s="1100"/>
      <c r="H136" s="1056" t="s">
        <v>6516</v>
      </c>
      <c r="I136" s="5736" t="str">
        <f>IF(Region="","",Region)</f>
        <v/>
      </c>
      <c r="J136" s="5737"/>
      <c r="K136" s="1045" t="s">
        <v>7548</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664"/>
      <c r="C137" s="5745"/>
      <c r="D137" s="5746"/>
      <c r="F137" s="1099" t="str">
        <f>IF(ISNA(HLOOKUP($I$136&amp;$A2,$H$139:$DE$140,2,FALSE))," ",HLOOKUP($I$136&amp;$A2,$H$139:$DE$140,2,FALSE))</f>
        <v xml:space="preserve"> </v>
      </c>
      <c r="G137" s="1100"/>
      <c r="H137" s="1103" t="s">
        <v>1371</v>
      </c>
      <c r="I137" s="5734" t="str">
        <f>IF(ClaseSocial="","",ClaseSocial)</f>
        <v/>
      </c>
      <c r="J137" s="5735"/>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664"/>
      <c r="C138" s="629" t="s">
        <v>6510</v>
      </c>
      <c r="D138" s="626"/>
      <c r="F138" s="1099" t="str">
        <f>IF(ISNA(HLOOKUP($I$136&amp;$A3,$H$139:$DE$140,2,FALSE))," ",HLOOKUP($I$136&amp;$A3,$H$139:$DE$140,2,FALSE))</f>
        <v xml:space="preserve"> </v>
      </c>
      <c r="G138" s="1100"/>
      <c r="H138" s="5682" t="s">
        <v>6454</v>
      </c>
      <c r="I138" s="5682"/>
      <c r="J138" s="5682"/>
      <c r="K138" s="5682" t="s">
        <v>6455</v>
      </c>
      <c r="L138" s="5682"/>
      <c r="M138" s="5682" t="s">
        <v>6456</v>
      </c>
      <c r="N138" s="5682"/>
      <c r="O138" s="5682"/>
      <c r="P138" s="5682" t="s">
        <v>6457</v>
      </c>
      <c r="Q138" s="5682"/>
      <c r="R138" s="5682" t="s">
        <v>6458</v>
      </c>
      <c r="S138" s="5682"/>
      <c r="T138" s="1044" t="s">
        <v>6459</v>
      </c>
      <c r="U138" s="5682" t="s">
        <v>6460</v>
      </c>
      <c r="V138" s="5682"/>
      <c r="W138" s="5666" t="s">
        <v>6461</v>
      </c>
      <c r="X138" s="5667"/>
      <c r="Y138" s="5704" t="s">
        <v>6462</v>
      </c>
      <c r="Z138" s="5705"/>
      <c r="AA138" s="5706"/>
      <c r="AB138" s="5704" t="s">
        <v>6463</v>
      </c>
      <c r="AC138" s="5706"/>
      <c r="AD138" s="5704" t="s">
        <v>6464</v>
      </c>
      <c r="AE138" s="5706"/>
      <c r="AF138" s="5704" t="s">
        <v>6465</v>
      </c>
      <c r="AG138" s="5705"/>
      <c r="AH138" s="5706"/>
      <c r="AI138" s="5704" t="s">
        <v>6466</v>
      </c>
      <c r="AJ138" s="5705"/>
      <c r="AK138" s="5706"/>
      <c r="AL138" s="5704" t="s">
        <v>6467</v>
      </c>
      <c r="AM138" s="5705"/>
      <c r="AN138" s="5705"/>
      <c r="AO138" s="5706"/>
      <c r="AP138" s="5666" t="s">
        <v>6468</v>
      </c>
      <c r="AQ138" s="5668"/>
      <c r="AR138" s="5667"/>
      <c r="AS138" s="5666" t="s">
        <v>6469</v>
      </c>
      <c r="AT138" s="5667"/>
      <c r="AU138" s="5666" t="s">
        <v>6470</v>
      </c>
      <c r="AV138" s="5668"/>
      <c r="AW138" s="5667"/>
      <c r="AX138" s="5666" t="s">
        <v>6471</v>
      </c>
      <c r="AY138" s="5667"/>
      <c r="AZ138" s="5666" t="s">
        <v>6472</v>
      </c>
      <c r="BA138" s="5667"/>
      <c r="BB138" s="5666" t="s">
        <v>6473</v>
      </c>
      <c r="BC138" s="5667"/>
      <c r="BD138" s="5666" t="s">
        <v>6474</v>
      </c>
      <c r="BE138" s="5667"/>
      <c r="BF138" s="5666" t="s">
        <v>6475</v>
      </c>
      <c r="BG138" s="5667"/>
      <c r="BH138" s="1044" t="s">
        <v>6476</v>
      </c>
      <c r="BI138" s="5666" t="s">
        <v>6437</v>
      </c>
      <c r="BJ138" s="5667"/>
      <c r="BK138" s="893" t="s">
        <v>6438</v>
      </c>
      <c r="BL138" s="894"/>
      <c r="BM138" s="1044" t="s">
        <v>6439</v>
      </c>
      <c r="BN138" s="5666" t="s">
        <v>6440</v>
      </c>
      <c r="BO138" s="5667"/>
      <c r="BP138" s="5666" t="s">
        <v>6477</v>
      </c>
      <c r="BQ138" s="5668"/>
      <c r="BR138" s="5667"/>
      <c r="BS138" s="5666" t="s">
        <v>6478</v>
      </c>
      <c r="BT138" s="5667"/>
      <c r="BU138" s="5666" t="s">
        <v>6441</v>
      </c>
      <c r="BV138" s="5668"/>
      <c r="BW138" s="5668"/>
      <c r="BX138" s="5667"/>
      <c r="BY138" s="5666" t="s">
        <v>6442</v>
      </c>
      <c r="BZ138" s="5668"/>
      <c r="CA138" s="5667"/>
      <c r="CB138" s="5666" t="s">
        <v>6443</v>
      </c>
      <c r="CC138" s="5668"/>
      <c r="CD138" s="5667"/>
      <c r="CE138" s="5666" t="s">
        <v>6444</v>
      </c>
      <c r="CF138" s="5667"/>
      <c r="CG138" s="5666" t="s">
        <v>6445</v>
      </c>
      <c r="CH138" s="5668"/>
      <c r="CI138" s="5667"/>
      <c r="CJ138" s="5666" t="s">
        <v>8605</v>
      </c>
      <c r="CK138" s="5668"/>
      <c r="CL138" s="5668"/>
      <c r="CM138" s="5667"/>
      <c r="CN138" s="5666" t="s">
        <v>6446</v>
      </c>
      <c r="CO138" s="5667"/>
      <c r="CP138" s="5666" t="s">
        <v>6447</v>
      </c>
      <c r="CQ138" s="5667"/>
      <c r="CR138" s="5666" t="s">
        <v>6448</v>
      </c>
      <c r="CS138" s="5668"/>
      <c r="CT138" s="5667"/>
      <c r="CU138" s="5666" t="s">
        <v>6449</v>
      </c>
      <c r="CV138" s="5667"/>
      <c r="CW138" s="5666" t="s">
        <v>6450</v>
      </c>
      <c r="CX138" s="5668"/>
      <c r="CY138" s="5667"/>
      <c r="CZ138" s="639" t="s">
        <v>6451</v>
      </c>
      <c r="DA138" s="5666" t="s">
        <v>6452</v>
      </c>
      <c r="DB138" s="5668"/>
      <c r="DC138" s="5667"/>
      <c r="DD138" s="5666" t="s">
        <v>6453</v>
      </c>
      <c r="DE138" s="5700"/>
    </row>
    <row r="139" spans="1:109" ht="12.75" customHeight="1" x14ac:dyDescent="0.2">
      <c r="A139" s="242">
        <v>139</v>
      </c>
      <c r="B139" s="5664"/>
      <c r="C139" s="629" t="s">
        <v>6511</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664"/>
      <c r="C140" s="625" t="s">
        <v>6454</v>
      </c>
      <c r="D140" s="626"/>
      <c r="F140" s="1055"/>
      <c r="G140" s="641" t="s">
        <v>1378</v>
      </c>
      <c r="H140" s="642" t="s">
        <v>6518</v>
      </c>
      <c r="I140" s="672" t="s">
        <v>6479</v>
      </c>
      <c r="J140" s="644" t="s">
        <v>86</v>
      </c>
      <c r="K140" s="643" t="s">
        <v>6518</v>
      </c>
      <c r="L140" s="643" t="s">
        <v>86</v>
      </c>
      <c r="M140" s="642" t="s">
        <v>6518</v>
      </c>
      <c r="N140" s="643" t="s">
        <v>2612</v>
      </c>
      <c r="O140" s="847" t="s">
        <v>86</v>
      </c>
      <c r="P140" s="643" t="s">
        <v>6518</v>
      </c>
      <c r="Q140" s="643" t="s">
        <v>86</v>
      </c>
      <c r="R140" s="642" t="s">
        <v>6518</v>
      </c>
      <c r="S140" s="644" t="s">
        <v>86</v>
      </c>
      <c r="T140" s="643" t="s">
        <v>6519</v>
      </c>
      <c r="U140" s="642" t="s">
        <v>6518</v>
      </c>
      <c r="V140" s="644" t="s">
        <v>6479</v>
      </c>
      <c r="W140" s="643" t="s">
        <v>6518</v>
      </c>
      <c r="X140" s="643" t="s">
        <v>86</v>
      </c>
      <c r="Y140" s="1400" t="s">
        <v>6518</v>
      </c>
      <c r="Z140" s="672" t="s">
        <v>6479</v>
      </c>
      <c r="AA140" s="847" t="s">
        <v>86</v>
      </c>
      <c r="AB140" s="672" t="s">
        <v>7549</v>
      </c>
      <c r="AC140" s="672" t="s">
        <v>6520</v>
      </c>
      <c r="AD140" s="1400" t="s">
        <v>6518</v>
      </c>
      <c r="AE140" s="847" t="s">
        <v>86</v>
      </c>
      <c r="AF140" s="672" t="s">
        <v>6521</v>
      </c>
      <c r="AG140" s="672" t="s">
        <v>6480</v>
      </c>
      <c r="AH140" s="672" t="s">
        <v>6522</v>
      </c>
      <c r="AI140" s="1400" t="s">
        <v>6480</v>
      </c>
      <c r="AJ140" s="672" t="s">
        <v>6481</v>
      </c>
      <c r="AK140" s="847" t="s">
        <v>6482</v>
      </c>
      <c r="AL140" s="672" t="s">
        <v>6483</v>
      </c>
      <c r="AM140" s="672" t="s">
        <v>6480</v>
      </c>
      <c r="AN140" s="672" t="s">
        <v>6484</v>
      </c>
      <c r="AO140" s="672" t="s">
        <v>7550</v>
      </c>
      <c r="AP140" s="642" t="s">
        <v>6518</v>
      </c>
      <c r="AQ140" s="643" t="s">
        <v>6485</v>
      </c>
      <c r="AR140" s="644" t="s">
        <v>86</v>
      </c>
      <c r="AS140" s="643" t="s">
        <v>6523</v>
      </c>
      <c r="AT140" s="643" t="s">
        <v>6486</v>
      </c>
      <c r="AU140" s="642" t="s">
        <v>6524</v>
      </c>
      <c r="AV140" s="643" t="s">
        <v>6479</v>
      </c>
      <c r="AW140" s="644" t="s">
        <v>86</v>
      </c>
      <c r="AX140" s="643" t="s">
        <v>6518</v>
      </c>
      <c r="AY140" s="643" t="s">
        <v>6520</v>
      </c>
      <c r="AZ140" s="642" t="s">
        <v>6518</v>
      </c>
      <c r="BA140" s="644" t="s">
        <v>6525</v>
      </c>
      <c r="BB140" s="643" t="s">
        <v>6518</v>
      </c>
      <c r="BC140" s="643" t="s">
        <v>86</v>
      </c>
      <c r="BD140" s="642" t="s">
        <v>6518</v>
      </c>
      <c r="BE140" s="644" t="s">
        <v>6520</v>
      </c>
      <c r="BF140" s="643" t="s">
        <v>6518</v>
      </c>
      <c r="BG140" s="643" t="s">
        <v>6526</v>
      </c>
      <c r="BH140" s="645" t="s">
        <v>6487</v>
      </c>
      <c r="BI140" s="642" t="s">
        <v>6488</v>
      </c>
      <c r="BJ140" s="644" t="s">
        <v>6527</v>
      </c>
      <c r="BK140" s="643" t="s">
        <v>6518</v>
      </c>
      <c r="BL140" s="643" t="s">
        <v>6528</v>
      </c>
      <c r="BM140" s="645" t="s">
        <v>6489</v>
      </c>
      <c r="BN140" s="643" t="s">
        <v>6490</v>
      </c>
      <c r="BO140" s="643" t="s">
        <v>6491</v>
      </c>
      <c r="BP140" s="642" t="s">
        <v>6492</v>
      </c>
      <c r="BQ140" s="643" t="s">
        <v>6529</v>
      </c>
      <c r="BR140" s="644" t="s">
        <v>6493</v>
      </c>
      <c r="BS140" s="643" t="s">
        <v>6518</v>
      </c>
      <c r="BT140" s="643" t="s">
        <v>6530</v>
      </c>
      <c r="BU140" s="642" t="s">
        <v>6531</v>
      </c>
      <c r="BV140" s="643" t="s">
        <v>6494</v>
      </c>
      <c r="BW140" s="643" t="s">
        <v>6479</v>
      </c>
      <c r="BX140" s="644" t="s">
        <v>86</v>
      </c>
      <c r="BY140" s="643" t="s">
        <v>2610</v>
      </c>
      <c r="BZ140" s="643" t="s">
        <v>6495</v>
      </c>
      <c r="CA140" s="643" t="s">
        <v>6496</v>
      </c>
      <c r="CB140" s="642" t="s">
        <v>6518</v>
      </c>
      <c r="CC140" s="643" t="s">
        <v>6479</v>
      </c>
      <c r="CD140" s="644" t="s">
        <v>86</v>
      </c>
      <c r="CE140" s="643" t="s">
        <v>6518</v>
      </c>
      <c r="CF140" s="643" t="s">
        <v>6486</v>
      </c>
      <c r="CG140" s="642" t="s">
        <v>6497</v>
      </c>
      <c r="CH140" s="643" t="s">
        <v>2611</v>
      </c>
      <c r="CI140" s="644" t="s">
        <v>86</v>
      </c>
      <c r="CJ140" s="643" t="s">
        <v>6492</v>
      </c>
      <c r="CK140" s="643" t="s">
        <v>6498</v>
      </c>
      <c r="CL140" s="643" t="s">
        <v>6479</v>
      </c>
      <c r="CM140" s="643" t="s">
        <v>6499</v>
      </c>
      <c r="CN140" s="642" t="s">
        <v>6518</v>
      </c>
      <c r="CO140" s="644" t="s">
        <v>6479</v>
      </c>
      <c r="CP140" s="643" t="s">
        <v>6518</v>
      </c>
      <c r="CQ140" s="643" t="s">
        <v>6500</v>
      </c>
      <c r="CR140" s="642" t="s">
        <v>6518</v>
      </c>
      <c r="CS140" s="643" t="s">
        <v>6479</v>
      </c>
      <c r="CT140" s="644" t="s">
        <v>86</v>
      </c>
      <c r="CU140" s="643" t="s">
        <v>2612</v>
      </c>
      <c r="CV140" s="643" t="s">
        <v>6496</v>
      </c>
      <c r="CW140" s="642" t="s">
        <v>6518</v>
      </c>
      <c r="CX140" s="643" t="s">
        <v>6479</v>
      </c>
      <c r="CY140" s="644" t="s">
        <v>86</v>
      </c>
      <c r="CZ140" s="643" t="s">
        <v>6532</v>
      </c>
      <c r="DA140" s="642" t="s">
        <v>6518</v>
      </c>
      <c r="DB140" s="643" t="s">
        <v>6479</v>
      </c>
      <c r="DC140" s="644" t="s">
        <v>86</v>
      </c>
      <c r="DD140" s="643" t="s">
        <v>6518</v>
      </c>
      <c r="DE140" s="646" t="s">
        <v>6479</v>
      </c>
    </row>
    <row r="141" spans="1:109" ht="12.75" customHeight="1" x14ac:dyDescent="0.2">
      <c r="A141" s="242">
        <v>141</v>
      </c>
      <c r="B141" s="5664"/>
      <c r="C141" s="625" t="s">
        <v>6455</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664"/>
      <c r="C142" s="625" t="s">
        <v>6456</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664"/>
      <c r="C143" s="625" t="s">
        <v>6457</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664"/>
      <c r="C144" s="625" t="s">
        <v>6458</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664"/>
      <c r="C145" s="625" t="s">
        <v>6459</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664"/>
      <c r="C146" s="625" t="s">
        <v>6460</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664"/>
      <c r="C147" s="625" t="s">
        <v>6461</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664"/>
      <c r="C148" s="625" t="s">
        <v>6503</v>
      </c>
      <c r="D148" s="626"/>
      <c r="F148" s="1055">
        <v>8</v>
      </c>
      <c r="G148" s="351" t="s">
        <v>6431</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664"/>
      <c r="C149" s="625" t="s">
        <v>6462</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664"/>
      <c r="C150" s="625" t="s">
        <v>6463</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664"/>
      <c r="C151" s="625" t="s">
        <v>6464</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664"/>
      <c r="C152" s="625" t="s">
        <v>6504</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664"/>
      <c r="C153" s="625" t="s">
        <v>6465</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664"/>
      <c r="C154" s="625" t="s">
        <v>6466</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664"/>
      <c r="C155" s="625" t="s">
        <v>6467</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664"/>
      <c r="C156" s="625" t="s">
        <v>6505</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664"/>
      <c r="C157" s="625" t="s">
        <v>6468</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664"/>
      <c r="C158" s="625" t="s">
        <v>6469</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664"/>
      <c r="C159" s="625" t="s">
        <v>6506</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664"/>
      <c r="C160" s="625" t="s">
        <v>6470</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664"/>
      <c r="C161" s="625" t="s">
        <v>6471</v>
      </c>
      <c r="D161" s="626"/>
      <c r="F161" s="1055">
        <v>21</v>
      </c>
      <c r="G161" s="351" t="s">
        <v>2639</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664"/>
      <c r="C162" s="625" t="s">
        <v>6507</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664"/>
      <c r="C163" s="625" t="s">
        <v>6472</v>
      </c>
      <c r="D163" s="626"/>
      <c r="F163" s="1055">
        <v>23</v>
      </c>
      <c r="G163" s="351" t="s">
        <v>1448</v>
      </c>
      <c r="H163" s="1047" t="s">
        <v>6541</v>
      </c>
      <c r="I163" s="319" t="s">
        <v>6541</v>
      </c>
      <c r="J163" s="1057" t="s">
        <v>6541</v>
      </c>
      <c r="K163" s="319">
        <v>20</v>
      </c>
      <c r="L163" s="319"/>
      <c r="M163" s="1047"/>
      <c r="N163" s="319"/>
      <c r="O163" s="1057"/>
      <c r="P163" s="319" t="s">
        <v>6541</v>
      </c>
      <c r="Q163" s="319" t="s">
        <v>6541</v>
      </c>
      <c r="R163" s="1047"/>
      <c r="S163" s="1057" t="s">
        <v>6541</v>
      </c>
      <c r="T163" s="319"/>
      <c r="U163" s="1047" t="s">
        <v>6541</v>
      </c>
      <c r="V163" s="1057" t="s">
        <v>6541</v>
      </c>
      <c r="W163" s="319"/>
      <c r="X163" s="319" t="s">
        <v>6541</v>
      </c>
      <c r="Y163" s="1158" t="s">
        <v>6541</v>
      </c>
      <c r="Z163" s="857" t="s">
        <v>6541</v>
      </c>
      <c r="AA163" s="1401" t="s">
        <v>6541</v>
      </c>
      <c r="AB163" s="857"/>
      <c r="AC163" s="857" t="s">
        <v>6541</v>
      </c>
      <c r="AD163" s="1158" t="s">
        <v>6541</v>
      </c>
      <c r="AE163" s="1401" t="s">
        <v>6541</v>
      </c>
      <c r="AF163" s="857"/>
      <c r="AG163" s="857"/>
      <c r="AH163" s="857"/>
      <c r="AI163" s="1158"/>
      <c r="AJ163" s="857"/>
      <c r="AK163" s="1401" t="s">
        <v>6541</v>
      </c>
      <c r="AL163" s="857" t="s">
        <v>6541</v>
      </c>
      <c r="AM163" s="857" t="s">
        <v>6541</v>
      </c>
      <c r="AN163" s="857"/>
      <c r="AO163" s="857" t="s">
        <v>6541</v>
      </c>
      <c r="AP163" s="1047"/>
      <c r="AQ163" s="319"/>
      <c r="AR163" s="1057"/>
      <c r="AS163" s="319"/>
      <c r="AT163" s="319"/>
      <c r="AU163" s="1047" t="s">
        <v>6541</v>
      </c>
      <c r="AV163" s="319">
        <v>20</v>
      </c>
      <c r="AW163" s="1057">
        <v>20</v>
      </c>
      <c r="AX163" s="319" t="s">
        <v>6541</v>
      </c>
      <c r="AY163" s="319" t="s">
        <v>6541</v>
      </c>
      <c r="AZ163" s="1047" t="s">
        <v>7223</v>
      </c>
      <c r="BA163" s="1057" t="s">
        <v>7224</v>
      </c>
      <c r="BB163" s="319" t="s">
        <v>6541</v>
      </c>
      <c r="BC163" s="319" t="s">
        <v>6542</v>
      </c>
      <c r="BD163" s="1047"/>
      <c r="BE163" s="1057" t="s">
        <v>6541</v>
      </c>
      <c r="BF163" s="319" t="s">
        <v>6541</v>
      </c>
      <c r="BG163" s="319" t="s">
        <v>6542</v>
      </c>
      <c r="BH163" s="1058"/>
      <c r="BI163" s="1047"/>
      <c r="BJ163" s="1057"/>
      <c r="BK163" s="319">
        <v>20</v>
      </c>
      <c r="BL163" s="319">
        <v>20</v>
      </c>
      <c r="BM163" s="1058"/>
      <c r="BN163" s="319">
        <v>10</v>
      </c>
      <c r="BO163" s="319"/>
      <c r="BP163" s="1047"/>
      <c r="BQ163" s="319" t="s">
        <v>6541</v>
      </c>
      <c r="BR163" s="1057" t="s">
        <v>6541</v>
      </c>
      <c r="BS163" s="319"/>
      <c r="BT163" s="319">
        <v>20</v>
      </c>
      <c r="BU163" s="1047" t="s">
        <v>6541</v>
      </c>
      <c r="BV163" s="319"/>
      <c r="BW163" s="319" t="s">
        <v>6541</v>
      </c>
      <c r="BX163" s="1057" t="s">
        <v>6542</v>
      </c>
      <c r="BY163" s="319"/>
      <c r="BZ163" s="319"/>
      <c r="CA163" s="319"/>
      <c r="CB163" s="1047" t="s">
        <v>6541</v>
      </c>
      <c r="CC163" s="319" t="s">
        <v>6541</v>
      </c>
      <c r="CD163" s="1057" t="s">
        <v>6541</v>
      </c>
      <c r="CE163" s="319"/>
      <c r="CF163" s="319"/>
      <c r="CG163" s="1047"/>
      <c r="CH163" s="319"/>
      <c r="CI163" s="1057" t="s">
        <v>6541</v>
      </c>
      <c r="CJ163" s="319" t="s">
        <v>6541</v>
      </c>
      <c r="CK163" s="319" t="s">
        <v>6541</v>
      </c>
      <c r="CL163" s="319" t="s">
        <v>6541</v>
      </c>
      <c r="CM163" s="319" t="s">
        <v>6541</v>
      </c>
      <c r="CN163" s="1047" t="s">
        <v>6542</v>
      </c>
      <c r="CO163" s="1057" t="s">
        <v>6542</v>
      </c>
      <c r="CP163" s="319"/>
      <c r="CQ163" s="319"/>
      <c r="CR163" s="1047" t="s">
        <v>6541</v>
      </c>
      <c r="CS163" s="319" t="s">
        <v>6541</v>
      </c>
      <c r="CT163" s="1057" t="s">
        <v>6541</v>
      </c>
      <c r="CU163" s="319"/>
      <c r="CV163" s="319"/>
      <c r="CW163" s="1047"/>
      <c r="CX163" s="319"/>
      <c r="CY163" s="1057"/>
      <c r="CZ163" s="319"/>
      <c r="DA163" s="1047"/>
      <c r="DB163" s="319"/>
      <c r="DC163" s="1057"/>
      <c r="DD163" s="319"/>
      <c r="DE163" s="1048"/>
    </row>
    <row r="164" spans="1:109" ht="12.75" customHeight="1" x14ac:dyDescent="0.2">
      <c r="A164" s="242">
        <v>164</v>
      </c>
      <c r="B164" s="5664"/>
      <c r="C164" s="625" t="s">
        <v>6473</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664"/>
      <c r="C165" s="625" t="s">
        <v>6508</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664"/>
      <c r="C166" s="625" t="s">
        <v>6474</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664"/>
      <c r="C167" s="625" t="s">
        <v>6475</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664"/>
      <c r="C168" s="625" t="s">
        <v>6476</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6543</v>
      </c>
      <c r="AE168" s="1401" t="s">
        <v>6543</v>
      </c>
      <c r="AF168" s="857"/>
      <c r="AG168" s="857"/>
      <c r="AH168" s="857"/>
      <c r="AI168" s="1158"/>
      <c r="AJ168" s="857"/>
      <c r="AK168" s="1401"/>
      <c r="AL168" s="857"/>
      <c r="AM168" s="857"/>
      <c r="AN168" s="857"/>
      <c r="AO168" s="857"/>
      <c r="AP168" s="1047" t="s">
        <v>6548</v>
      </c>
      <c r="AQ168" s="319" t="s">
        <v>6549</v>
      </c>
      <c r="AR168" s="1057" t="s">
        <v>6550</v>
      </c>
      <c r="AS168" s="319"/>
      <c r="AT168" s="319"/>
      <c r="AU168" s="1047"/>
      <c r="AV168" s="319"/>
      <c r="AW168" s="1057"/>
      <c r="AX168" s="319"/>
      <c r="AY168" s="319"/>
      <c r="AZ168" s="1047" t="s">
        <v>6544</v>
      </c>
      <c r="BA168" s="1057" t="s">
        <v>6545</v>
      </c>
      <c r="BB168" s="319" t="s">
        <v>6546</v>
      </c>
      <c r="BC168" s="319" t="s">
        <v>6543</v>
      </c>
      <c r="BD168" s="1047" t="s">
        <v>6547</v>
      </c>
      <c r="BE168" s="1057" t="s">
        <v>6543</v>
      </c>
      <c r="BF168" s="319" t="s">
        <v>6543</v>
      </c>
      <c r="BG168" s="319" t="s">
        <v>6546</v>
      </c>
      <c r="BH168" s="1058"/>
      <c r="BI168" s="1047"/>
      <c r="BJ168" s="1057"/>
      <c r="BK168" s="319"/>
      <c r="BL168" s="319"/>
      <c r="BM168" s="1058"/>
      <c r="BN168" s="319"/>
      <c r="BO168" s="319"/>
      <c r="BP168" s="1047" t="s">
        <v>6543</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6551</v>
      </c>
      <c r="DA168" s="1047"/>
      <c r="DB168" s="319"/>
      <c r="DC168" s="1057">
        <v>30</v>
      </c>
      <c r="DD168" s="319">
        <v>20</v>
      </c>
      <c r="DE168" s="1048">
        <v>20</v>
      </c>
    </row>
    <row r="169" spans="1:109" ht="12.75" customHeight="1" x14ac:dyDescent="0.2">
      <c r="A169" s="242">
        <v>169</v>
      </c>
      <c r="B169" s="5664"/>
      <c r="C169" s="625" t="s">
        <v>6512</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664"/>
      <c r="C170" s="625" t="s">
        <v>6437</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664"/>
      <c r="C171" s="625" t="s">
        <v>6438</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664"/>
      <c r="C172" s="625" t="s">
        <v>6439</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664"/>
      <c r="C173" s="625" t="s">
        <v>6440</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664"/>
      <c r="C174" s="625" t="s">
        <v>6513</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664"/>
      <c r="C175" s="625" t="s">
        <v>6477</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664"/>
      <c r="C176" s="625" t="s">
        <v>6478</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664"/>
      <c r="C177" s="629" t="s">
        <v>6514</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664"/>
      <c r="C178" s="625" t="s">
        <v>6441</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664"/>
      <c r="C179" s="625" t="s">
        <v>6442</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664"/>
      <c r="C180" s="625" t="s">
        <v>6443</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664"/>
      <c r="C181" s="625" t="s">
        <v>6444</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664"/>
      <c r="C182" s="625" t="s">
        <v>6445</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664"/>
      <c r="C183" s="625" t="s">
        <v>8605</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664"/>
      <c r="C184" s="625" t="s">
        <v>6446</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664"/>
      <c r="C185" s="625" t="s">
        <v>6447</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664"/>
      <c r="C186" s="625" t="s">
        <v>6448</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664"/>
      <c r="C187" s="625" t="s">
        <v>6449</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664"/>
      <c r="C188" s="625" t="s">
        <v>6515</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664"/>
      <c r="C189" s="625" t="s">
        <v>6450</v>
      </c>
      <c r="D189" s="626"/>
      <c r="F189" s="1055">
        <v>49</v>
      </c>
      <c r="G189" s="351" t="s">
        <v>6432</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664"/>
      <c r="C190" s="625" t="s">
        <v>6451</v>
      </c>
      <c r="D190" s="626"/>
      <c r="F190" s="1055">
        <v>50</v>
      </c>
      <c r="G190" s="351" t="s">
        <v>6433</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664"/>
      <c r="C191" s="625" t="s">
        <v>6452</v>
      </c>
      <c r="D191" s="626"/>
      <c r="F191" s="1055">
        <v>51</v>
      </c>
      <c r="G191" s="351" t="s">
        <v>6434</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664"/>
      <c r="C192" s="627" t="s">
        <v>6453</v>
      </c>
      <c r="D192" s="628"/>
      <c r="F192" s="1055">
        <v>52</v>
      </c>
      <c r="G192" s="351" t="s">
        <v>6435</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664"/>
      <c r="F193" s="1055">
        <v>53</v>
      </c>
      <c r="G193" s="640"/>
      <c r="H193" s="1047"/>
      <c r="I193" s="319"/>
      <c r="J193" s="1057" t="s">
        <v>6533</v>
      </c>
      <c r="K193" s="319"/>
      <c r="L193" s="319" t="s">
        <v>6533</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6535</v>
      </c>
      <c r="AI193" s="1158"/>
      <c r="AJ193" s="857"/>
      <c r="AK193" s="1401"/>
      <c r="AL193" s="857"/>
      <c r="AM193" s="857"/>
      <c r="AN193" s="857"/>
      <c r="AO193" s="857"/>
      <c r="AP193" s="1047"/>
      <c r="AQ193" s="319"/>
      <c r="AR193" s="1057"/>
      <c r="AS193" s="319"/>
      <c r="AT193" s="319"/>
      <c r="AU193" s="1047"/>
      <c r="AV193" s="319" t="s">
        <v>6537</v>
      </c>
      <c r="AW193" s="1057" t="s">
        <v>6537</v>
      </c>
      <c r="AX193" s="319"/>
      <c r="AY193" s="319" t="s">
        <v>6537</v>
      </c>
      <c r="AZ193" s="1047"/>
      <c r="BA193" s="1057"/>
      <c r="BB193" s="319"/>
      <c r="BC193" s="319"/>
      <c r="BD193" s="1047"/>
      <c r="BE193" s="1057"/>
      <c r="BF193" s="319"/>
      <c r="BG193" s="319"/>
      <c r="BH193" s="1058"/>
      <c r="BI193" s="1047"/>
      <c r="BJ193" s="1057"/>
      <c r="BK193" s="319"/>
      <c r="BL193" s="319" t="s">
        <v>6533</v>
      </c>
      <c r="BM193" s="1058"/>
      <c r="BN193" s="319"/>
      <c r="BO193" s="319"/>
      <c r="BP193" s="1047"/>
      <c r="BQ193" s="319"/>
      <c r="BR193" s="1057"/>
      <c r="BS193" s="319"/>
      <c r="BT193" s="319" t="s">
        <v>6537</v>
      </c>
      <c r="BU193" s="1047"/>
      <c r="BV193" s="319"/>
      <c r="BW193" s="319"/>
      <c r="BX193" s="1057" t="s">
        <v>6533</v>
      </c>
      <c r="BY193" s="319"/>
      <c r="BZ193" s="319"/>
      <c r="CA193" s="319"/>
      <c r="CB193" s="1047"/>
      <c r="CC193" s="319"/>
      <c r="CD193" s="1057"/>
      <c r="CE193" s="319"/>
      <c r="CF193" s="319"/>
      <c r="CG193" s="1047"/>
      <c r="CH193" s="319"/>
      <c r="CI193" s="1057"/>
      <c r="CJ193" s="319"/>
      <c r="CK193" s="319" t="s">
        <v>6501</v>
      </c>
      <c r="CL193" s="319"/>
      <c r="CM193" s="319" t="s">
        <v>6501</v>
      </c>
      <c r="CN193" s="1047"/>
      <c r="CO193" s="1057"/>
      <c r="CP193" s="319"/>
      <c r="CQ193" s="319"/>
      <c r="CR193" s="1047"/>
      <c r="CS193" s="319"/>
      <c r="CT193" s="1057"/>
      <c r="CU193" s="319"/>
      <c r="CV193" s="319"/>
      <c r="CW193" s="1047"/>
      <c r="CX193" s="319"/>
      <c r="CY193" s="1057"/>
      <c r="CZ193" s="319"/>
      <c r="DA193" s="1047"/>
      <c r="DB193" s="319"/>
      <c r="DC193" s="1057" t="s">
        <v>6533</v>
      </c>
      <c r="DD193" s="319"/>
      <c r="DE193" s="1048"/>
    </row>
    <row r="194" spans="1:109" ht="12.75" customHeight="1" x14ac:dyDescent="0.2">
      <c r="A194" s="242">
        <v>194</v>
      </c>
      <c r="B194" s="5664"/>
      <c r="F194" s="1055">
        <v>54</v>
      </c>
      <c r="G194" s="351"/>
      <c r="H194" s="1047"/>
      <c r="I194" s="319"/>
      <c r="J194" s="1057" t="s">
        <v>6534</v>
      </c>
      <c r="K194" s="319"/>
      <c r="L194" s="319" t="s">
        <v>6534</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6533</v>
      </c>
      <c r="AI194" s="1158"/>
      <c r="AJ194" s="857"/>
      <c r="AK194" s="1401"/>
      <c r="AL194" s="857"/>
      <c r="AM194" s="857"/>
      <c r="AN194" s="857"/>
      <c r="AO194" s="857"/>
      <c r="AP194" s="1047"/>
      <c r="AQ194" s="319"/>
      <c r="AR194" s="1057"/>
      <c r="AS194" s="319"/>
      <c r="AT194" s="319"/>
      <c r="AU194" s="1047"/>
      <c r="AV194" s="319" t="s">
        <v>6536</v>
      </c>
      <c r="AW194" s="1057" t="s">
        <v>6536</v>
      </c>
      <c r="AX194" s="319"/>
      <c r="AY194" s="319" t="s">
        <v>6536</v>
      </c>
      <c r="AZ194" s="1047"/>
      <c r="BA194" s="1057"/>
      <c r="BB194" s="319"/>
      <c r="BC194" s="319"/>
      <c r="BD194" s="1047"/>
      <c r="BE194" s="1057"/>
      <c r="BF194" s="319"/>
      <c r="BG194" s="319"/>
      <c r="BH194" s="1058"/>
      <c r="BI194" s="1047"/>
      <c r="BJ194" s="1057"/>
      <c r="BK194" s="319"/>
      <c r="BL194" s="319" t="s">
        <v>6534</v>
      </c>
      <c r="BM194" s="1058"/>
      <c r="BN194" s="319"/>
      <c r="BO194" s="319"/>
      <c r="BP194" s="1047"/>
      <c r="BQ194" s="319"/>
      <c r="BR194" s="1057"/>
      <c r="BS194" s="319"/>
      <c r="BT194" s="319" t="s">
        <v>6536</v>
      </c>
      <c r="BU194" s="1047"/>
      <c r="BV194" s="319"/>
      <c r="BW194" s="319"/>
      <c r="BX194" s="1057" t="s">
        <v>6534</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6534</v>
      </c>
      <c r="DD194" s="319"/>
      <c r="DE194" s="1048"/>
    </row>
    <row r="195" spans="1:109" ht="12.75" customHeight="1" x14ac:dyDescent="0.2">
      <c r="A195" s="242">
        <v>195</v>
      </c>
      <c r="B195" s="5664"/>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6732</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664"/>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6541</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664"/>
      <c r="H197"/>
      <c r="N197"/>
    </row>
    <row r="198" spans="1:109" ht="12.75" customHeight="1" thickBot="1" x14ac:dyDescent="0.25">
      <c r="A198" s="242">
        <v>198</v>
      </c>
      <c r="B198" s="5664"/>
      <c r="C198" s="5665" t="s">
        <v>2061</v>
      </c>
      <c r="D198" s="5665"/>
      <c r="E198" s="5665"/>
      <c r="F198" s="5665"/>
      <c r="G198" s="5665"/>
      <c r="H198" s="5665"/>
      <c r="I198" s="5665"/>
      <c r="J198" s="5665"/>
      <c r="K198" s="5665"/>
      <c r="L198" s="5665"/>
      <c r="M198" s="5665"/>
      <c r="N198" s="5665"/>
      <c r="O198" s="5665"/>
      <c r="P198" s="5665"/>
      <c r="Q198" s="5665"/>
      <c r="R198" s="5665"/>
      <c r="S198" s="5665"/>
      <c r="T198" s="5665"/>
      <c r="U198" s="5665"/>
      <c r="V198" s="5665"/>
      <c r="W198" s="5665"/>
      <c r="X198" s="5665"/>
      <c r="Y198" s="5665"/>
      <c r="Z198" s="5665"/>
      <c r="AA198" s="5665"/>
      <c r="AB198" s="5665"/>
      <c r="AC198" s="5665"/>
      <c r="AD198" s="5665"/>
      <c r="AE198" s="5665"/>
      <c r="AF198" s="5665"/>
      <c r="AG198" s="5665"/>
      <c r="AH198" s="5665"/>
      <c r="AI198" s="5665"/>
      <c r="AJ198" s="5665"/>
      <c r="AK198" s="5665"/>
      <c r="AL198" s="5665"/>
      <c r="AM198" s="5665"/>
      <c r="AN198" s="5665"/>
      <c r="AO198" s="5665"/>
      <c r="AP198" s="5665"/>
      <c r="AQ198" s="5665"/>
      <c r="AR198" s="5665"/>
      <c r="AS198" s="5665"/>
      <c r="AT198" s="5665"/>
      <c r="AU198" s="5665"/>
      <c r="AV198" s="5665"/>
      <c r="AW198" s="5665"/>
      <c r="AX198" s="5665"/>
      <c r="AY198" s="5665"/>
      <c r="AZ198" s="5665"/>
      <c r="BA198" s="5665"/>
      <c r="BB198" s="5665"/>
      <c r="BC198" s="5665"/>
      <c r="BD198" s="5665"/>
      <c r="BE198" s="5665"/>
      <c r="BF198" s="5665"/>
      <c r="BG198" s="5665"/>
      <c r="BH198" s="5665"/>
      <c r="BI198" s="5665"/>
      <c r="BJ198" s="5665"/>
      <c r="BK198" s="5665"/>
      <c r="BL198" s="5665"/>
      <c r="BM198" s="5665"/>
      <c r="BN198" s="5665"/>
      <c r="BO198" s="5665"/>
      <c r="BP198" s="5665"/>
      <c r="BQ198" s="5665"/>
      <c r="BR198" s="5665"/>
      <c r="BS198" s="5665"/>
      <c r="BT198" s="5665"/>
      <c r="BU198" s="5665"/>
      <c r="BV198" s="5665"/>
      <c r="BW198" s="5665"/>
      <c r="BX198" s="5665"/>
      <c r="BY198" s="5665"/>
      <c r="BZ198" s="5665"/>
      <c r="CA198" s="5665"/>
      <c r="CB198" s="5665"/>
      <c r="CC198" s="5665"/>
      <c r="CD198" s="5665"/>
      <c r="CE198" s="5665"/>
      <c r="CF198" s="5665"/>
      <c r="CG198" s="5665"/>
      <c r="CH198" s="5665"/>
      <c r="CI198" s="5665"/>
    </row>
    <row r="199" spans="1:109" ht="12.75" customHeight="1" x14ac:dyDescent="0.2">
      <c r="A199" s="242">
        <v>199</v>
      </c>
      <c r="B199" s="5664"/>
      <c r="C199" s="5665"/>
      <c r="D199" s="5665"/>
      <c r="E199" s="5665"/>
      <c r="F199" s="5665"/>
      <c r="G199" s="5665"/>
      <c r="H199" s="5665"/>
      <c r="I199" s="5665"/>
      <c r="J199" s="5665"/>
      <c r="K199" s="5665"/>
      <c r="L199" s="5665"/>
      <c r="M199" s="5665"/>
      <c r="N199" s="5665"/>
      <c r="O199" s="5665"/>
      <c r="P199" s="5665"/>
      <c r="Q199" s="5665"/>
      <c r="R199" s="5665"/>
      <c r="S199" s="5665"/>
      <c r="T199" s="5665"/>
      <c r="U199" s="5665"/>
      <c r="V199" s="5665"/>
      <c r="W199" s="5665"/>
      <c r="X199" s="5665"/>
      <c r="Y199" s="5665"/>
      <c r="Z199" s="5665"/>
      <c r="AA199" s="5665"/>
      <c r="AB199" s="5665"/>
      <c r="AC199" s="5665"/>
      <c r="AD199" s="5665"/>
      <c r="AE199" s="5665"/>
      <c r="AF199" s="5665"/>
      <c r="AG199" s="5665"/>
      <c r="AH199" s="5665"/>
      <c r="AI199" s="5665"/>
      <c r="AJ199" s="5665"/>
      <c r="AK199" s="5665"/>
      <c r="AL199" s="5665"/>
      <c r="AM199" s="5665"/>
      <c r="AN199" s="5665"/>
      <c r="AO199" s="5665"/>
      <c r="AP199" s="5665"/>
      <c r="AQ199" s="5665"/>
      <c r="AR199" s="5665"/>
      <c r="AS199" s="5665"/>
      <c r="AT199" s="5665"/>
      <c r="AU199" s="5665"/>
      <c r="AV199" s="5665"/>
      <c r="AW199" s="5665"/>
      <c r="AX199" s="5665"/>
      <c r="AY199" s="5665"/>
      <c r="AZ199" s="5665"/>
      <c r="BA199" s="5665"/>
      <c r="BB199" s="5665"/>
      <c r="BC199" s="5665"/>
      <c r="BD199" s="5665"/>
      <c r="BE199" s="5665"/>
      <c r="BF199" s="5665"/>
      <c r="BG199" s="5665"/>
      <c r="BH199" s="5665"/>
      <c r="BI199" s="5665"/>
      <c r="BJ199" s="5665"/>
      <c r="BK199" s="5665"/>
      <c r="BL199" s="5665"/>
      <c r="BM199" s="5665"/>
      <c r="BN199" s="5665"/>
      <c r="BO199" s="5665"/>
      <c r="BP199" s="5665"/>
      <c r="BQ199" s="5665"/>
      <c r="BR199" s="5665"/>
      <c r="BS199" s="5665"/>
      <c r="BT199" s="5665"/>
      <c r="BU199" s="5665"/>
      <c r="BV199" s="5665"/>
      <c r="BW199" s="5665"/>
      <c r="BX199" s="5665"/>
      <c r="BY199" s="5665"/>
      <c r="BZ199" s="5665"/>
      <c r="CA199" s="5665"/>
      <c r="CB199" s="5665"/>
      <c r="CC199" s="5665"/>
      <c r="CD199" s="5665"/>
      <c r="CE199" s="5665"/>
      <c r="CF199" s="5665"/>
      <c r="CG199" s="5665"/>
      <c r="CH199" s="5665"/>
      <c r="CI199" s="5665"/>
    </row>
    <row r="200" spans="1:109" ht="12.75" customHeight="1" x14ac:dyDescent="0.2">
      <c r="A200" s="242">
        <v>200</v>
      </c>
      <c r="B200" s="5664"/>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664"/>
      <c r="C201" s="209" t="s">
        <v>1411</v>
      </c>
      <c r="D201" s="210" t="s">
        <v>1497</v>
      </c>
      <c r="E201" s="210" t="s">
        <v>1401</v>
      </c>
      <c r="F201" s="210" t="s">
        <v>7219</v>
      </c>
      <c r="G201" s="210" t="s">
        <v>2062</v>
      </c>
      <c r="H201" s="210" t="s">
        <v>1509</v>
      </c>
      <c r="I201" s="661" t="s">
        <v>2063</v>
      </c>
      <c r="J201" s="210" t="s">
        <v>2064</v>
      </c>
      <c r="K201" s="210" t="s">
        <v>2065</v>
      </c>
      <c r="L201" s="210" t="s">
        <v>10256</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2066</v>
      </c>
      <c r="W201" s="1034" t="s">
        <v>7470</v>
      </c>
      <c r="X201" s="1034" t="str">
        <f>"Coste"&amp;PDs!$E$90</f>
        <v>CosteZeón</v>
      </c>
      <c r="Y201" s="1402" t="s">
        <v>7220</v>
      </c>
      <c r="Z201" s="1402" t="str">
        <f>"Coste"&amp;PDs!$E$93</f>
        <v>CosteProyección Mágica</v>
      </c>
      <c r="AA201" s="1402" t="s">
        <v>2067</v>
      </c>
      <c r="AB201" s="1402" t="str">
        <f>"Coste"&amp;PDs!$E$96</f>
        <v>CosteControlar</v>
      </c>
      <c r="AC201" s="1402" t="s">
        <v>2068</v>
      </c>
      <c r="AD201" s="1402" t="s">
        <v>7471</v>
      </c>
      <c r="AE201" s="1402" t="s">
        <v>2069</v>
      </c>
      <c r="AF201" s="1402" t="str">
        <f>"Coste"&amp;PDs!$E$109</f>
        <v>CosteProyección psíquica</v>
      </c>
      <c r="AG201" s="1402" t="str">
        <f>"Coste"&amp;PDs!D126</f>
        <v>CosteAtléticas</v>
      </c>
      <c r="AH201" s="1402" t="s">
        <v>2070</v>
      </c>
      <c r="AI201" s="1402" t="s">
        <v>8614</v>
      </c>
      <c r="AJ201" s="1402" t="str">
        <f>"Coste"&amp;PDs!$D$143</f>
        <v>CosteIntelectuales</v>
      </c>
      <c r="AK201" s="1402" t="s">
        <v>2071</v>
      </c>
      <c r="AL201" s="1402" t="s">
        <v>7472</v>
      </c>
      <c r="AM201" s="1402" t="s">
        <v>7473</v>
      </c>
      <c r="AN201" s="1402" t="str">
        <f>"Coste"&amp;PDs!E156</f>
        <v>CosteP. Fuerza</v>
      </c>
      <c r="AO201" s="1402" t="str">
        <f>"Coste"&amp;PDs!E157</f>
        <v>CosteRes. Dolor</v>
      </c>
      <c r="AP201" s="1034" t="s">
        <v>2072</v>
      </c>
      <c r="AQ201" s="1034" t="str">
        <f>"Coste"&amp;PDs!E163</f>
        <v>CosteTrampería</v>
      </c>
      <c r="AR201" s="1034" t="str">
        <f>"Coste"&amp;PDs!E146</f>
        <v>CosteHerbolaria</v>
      </c>
      <c r="AS201" s="1034" t="s">
        <v>2073</v>
      </c>
      <c r="AT201" s="1034" t="s">
        <v>2074</v>
      </c>
      <c r="AU201" s="1034" t="str">
        <f>"Coste"&amp;PDs!E153</f>
        <v>CosteTasación</v>
      </c>
      <c r="AV201" s="1034" t="s">
        <v>2075</v>
      </c>
      <c r="AW201" s="1034" t="s">
        <v>2076</v>
      </c>
      <c r="AX201" s="1034" t="str">
        <f>"Coste"&amp;PDs!E154</f>
        <v>CosteV. Mágica</v>
      </c>
      <c r="AY201" s="1034" t="str">
        <f>"Coste"&amp;PDs!E172</f>
        <v>CosteT. Manos</v>
      </c>
      <c r="AZ201" s="1034" t="str">
        <f>"Coste"&amp;PDs!E136</f>
        <v>CostePersuasión</v>
      </c>
      <c r="BA201" s="1034" t="s">
        <v>2077</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7218</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2078</v>
      </c>
      <c r="CG201" s="210" t="s">
        <v>2079</v>
      </c>
      <c r="CH201" s="210" t="s">
        <v>2080</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664"/>
      <c r="C202" s="1011">
        <f>IF(ISNA(VLOOKUP(Tablas!$D202,PDs!$P$5:$S$14,4,FALSE)),0,VLOOKUP(Tablas!$D202,PDs!$P$5:$S$14,4,FALSE))</f>
        <v>0</v>
      </c>
      <c r="D202" s="1014" t="s">
        <v>2081</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2082</v>
      </c>
      <c r="CG202" s="201" t="s">
        <v>2083</v>
      </c>
      <c r="CH202" s="55" t="str">
        <f>CF202&amp;CG202</f>
        <v>LuchadorSin</v>
      </c>
      <c r="CI202" s="92"/>
    </row>
    <row r="203" spans="1:109" ht="12.75" customHeight="1" x14ac:dyDescent="0.2">
      <c r="A203" s="242">
        <v>203</v>
      </c>
      <c r="B203" s="5664"/>
      <c r="C203" s="1012">
        <f>IF(ISNA(VLOOKUP(Tablas!$D203,PDs!$P$5:$S$14,4,FALSE)),0,VLOOKUP(Tablas!$D203,PDs!$P$5:$S$14,4,FALSE))</f>
        <v>0</v>
      </c>
      <c r="D203" s="1015" t="s">
        <v>2084</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2082</v>
      </c>
      <c r="CG203" s="95" t="s">
        <v>2083</v>
      </c>
      <c r="CH203" s="23" t="str">
        <f t="shared" ref="CH203:CH223" si="19">CF203&amp;CG203</f>
        <v>LuchadorSin</v>
      </c>
      <c r="CI203" s="40"/>
    </row>
    <row r="204" spans="1:109" ht="12.75" customHeight="1" x14ac:dyDescent="0.2">
      <c r="A204" s="242">
        <v>204</v>
      </c>
      <c r="B204" s="5664"/>
      <c r="C204" s="1012">
        <f>IF(ISNA(VLOOKUP(Tablas!$D204,PDs!$P$5:$S$14,4,FALSE)),0,VLOOKUP(Tablas!$D204,PDs!$P$5:$S$14,4,FALSE))</f>
        <v>0</v>
      </c>
      <c r="D204" s="1015" t="s">
        <v>2085</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2082</v>
      </c>
      <c r="CG204" s="95" t="s">
        <v>2083</v>
      </c>
      <c r="CH204" s="23" t="str">
        <f t="shared" si="19"/>
        <v>LuchadorSin</v>
      </c>
      <c r="CI204" s="40"/>
    </row>
    <row r="205" spans="1:109" ht="12.75" customHeight="1" x14ac:dyDescent="0.2">
      <c r="A205" s="242">
        <v>205</v>
      </c>
      <c r="B205" s="5664"/>
      <c r="C205" s="1012">
        <f>IF(ISNA(VLOOKUP(Tablas!$D205,PDs!$P$5:$S$14,4,FALSE)),0,VLOOKUP(Tablas!$D205,PDs!$P$5:$S$14,4,FALSE))</f>
        <v>0</v>
      </c>
      <c r="D205" s="1015" t="s">
        <v>2641</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2082</v>
      </c>
      <c r="CG205" s="95" t="s">
        <v>2083</v>
      </c>
      <c r="CH205" s="23" t="str">
        <f t="shared" si="19"/>
        <v>LuchadorSin</v>
      </c>
      <c r="CI205" s="40"/>
    </row>
    <row r="206" spans="1:109" ht="12.75" customHeight="1" x14ac:dyDescent="0.2">
      <c r="A206" s="242">
        <v>206</v>
      </c>
      <c r="B206" s="5664"/>
      <c r="C206" s="1012">
        <f>IF(ISNA(VLOOKUP(Tablas!$D206,PDs!$P$5:$S$14,4,FALSE)),0,VLOOKUP(Tablas!$D206,PDs!$P$5:$S$14,4,FALSE))</f>
        <v>0</v>
      </c>
      <c r="D206" s="1015" t="s">
        <v>2086</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2082</v>
      </c>
      <c r="CG206" s="95" t="s">
        <v>2083</v>
      </c>
      <c r="CH206" s="23" t="str">
        <f t="shared" si="19"/>
        <v>LuchadorSin</v>
      </c>
      <c r="CI206" s="40"/>
    </row>
    <row r="207" spans="1:109" ht="12.75" customHeight="1" x14ac:dyDescent="0.2">
      <c r="A207" s="242">
        <v>207</v>
      </c>
      <c r="B207" s="5664"/>
      <c r="C207" s="1012">
        <f>IF(ISNA(VLOOKUP(Tablas!$D207,PDs!$P$5:$S$14,4,FALSE)),0,VLOOKUP(Tablas!$D207,PDs!$P$5:$S$14,4,FALSE))</f>
        <v>0</v>
      </c>
      <c r="D207" s="1015" t="s">
        <v>2640</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2082</v>
      </c>
      <c r="CG207" s="95" t="s">
        <v>2083</v>
      </c>
      <c r="CH207" s="23" t="str">
        <f t="shared" si="19"/>
        <v>LuchadorSin</v>
      </c>
      <c r="CI207" s="40"/>
    </row>
    <row r="208" spans="1:109" ht="12.75" customHeight="1" x14ac:dyDescent="0.2">
      <c r="A208" s="242">
        <v>208</v>
      </c>
      <c r="B208" s="5664"/>
      <c r="C208" s="1012">
        <f>IF(ISNA(VLOOKUP(Tablas!$D208,PDs!$P$5:$S$14,4,FALSE)),0,VLOOKUP(Tablas!$D208,PDs!$P$5:$S$14,4,FALSE))</f>
        <v>0</v>
      </c>
      <c r="D208" s="1015" t="s">
        <v>2087</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2082</v>
      </c>
      <c r="CG208" s="95" t="s">
        <v>2083</v>
      </c>
      <c r="CH208" s="23" t="str">
        <f t="shared" si="19"/>
        <v>LuchadorSin</v>
      </c>
      <c r="CI208" s="40"/>
    </row>
    <row r="209" spans="1:109" ht="12.75" customHeight="1" x14ac:dyDescent="0.2">
      <c r="A209" s="242">
        <v>209</v>
      </c>
      <c r="B209" s="5664"/>
      <c r="C209" s="1012">
        <f>IF(ISNA(VLOOKUP(Tablas!$D209,PDs!$P$5:$S$14,4,FALSE)),0,VLOOKUP(Tablas!$D209,PDs!$P$5:$S$14,4,FALSE))</f>
        <v>0</v>
      </c>
      <c r="D209" s="1015" t="s">
        <v>2088</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2089</v>
      </c>
      <c r="CG209" s="95" t="s">
        <v>2083</v>
      </c>
      <c r="CH209" s="23" t="str">
        <f t="shared" si="19"/>
        <v>DomineSin</v>
      </c>
      <c r="CI209" s="40"/>
    </row>
    <row r="210" spans="1:109" ht="13.5" customHeight="1" x14ac:dyDescent="0.2">
      <c r="A210" s="242">
        <v>210</v>
      </c>
      <c r="B210" s="5664"/>
      <c r="C210" s="1012">
        <f>IF(ISNA(VLOOKUP(Tablas!$D210,PDs!$P$5:$S$14,4,FALSE)),0,VLOOKUP(Tablas!$D210,PDs!$P$5:$S$14,4,FALSE))</f>
        <v>0</v>
      </c>
      <c r="D210" s="1015" t="s">
        <v>2090</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2089</v>
      </c>
      <c r="CG210" s="95" t="s">
        <v>2082</v>
      </c>
      <c r="CH210" s="23" t="str">
        <f t="shared" si="19"/>
        <v>DomineLuchador</v>
      </c>
      <c r="CI210" s="40"/>
    </row>
    <row r="211" spans="1:109" s="100" customFormat="1" ht="12.75" customHeight="1" x14ac:dyDescent="0.2">
      <c r="A211" s="242">
        <v>211</v>
      </c>
      <c r="B211" s="5664"/>
      <c r="C211" s="1012">
        <f>IF(ISNA(VLOOKUP(Tablas!$D211,PDs!$P$5:$S$14,4,FALSE)),0,VLOOKUP(Tablas!$D211,PDs!$P$5:$S$14,4,FALSE))</f>
        <v>0</v>
      </c>
      <c r="D211" s="1015" t="s">
        <v>2091</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2092</v>
      </c>
      <c r="CG211" s="95" t="s">
        <v>2082</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664"/>
      <c r="C212" s="1012">
        <f>IF(ISNA(VLOOKUP(Tablas!$D212,PDs!$P$5:$S$14,4,FALSE)),0,VLOOKUP(Tablas!$D212,PDs!$P$5:$S$14,4,FALSE))</f>
        <v>0</v>
      </c>
      <c r="D212" s="1015" t="s">
        <v>2093</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2092</v>
      </c>
      <c r="CG212" s="95" t="s">
        <v>2082</v>
      </c>
      <c r="CH212" s="23" t="str">
        <f t="shared" si="19"/>
        <v>AcechadorLuchador</v>
      </c>
      <c r="CI212" s="40"/>
    </row>
    <row r="213" spans="1:109" ht="12.75" customHeight="1" x14ac:dyDescent="0.2">
      <c r="A213" s="242">
        <v>213</v>
      </c>
      <c r="B213" s="5664"/>
      <c r="C213" s="1012">
        <f>IF(ISNA(VLOOKUP(Tablas!$D213,PDs!$P$5:$S$14,4,FALSE)),0,VLOOKUP(Tablas!$D213,PDs!$P$5:$S$14,4,FALSE))</f>
        <v>0</v>
      </c>
      <c r="D213" s="1015" t="s">
        <v>2094</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2092</v>
      </c>
      <c r="CG213" s="95" t="s">
        <v>2083</v>
      </c>
      <c r="CH213" s="23" t="str">
        <f t="shared" si="19"/>
        <v>AcechadorSin</v>
      </c>
      <c r="CI213" s="40"/>
    </row>
    <row r="214" spans="1:109" ht="12.75" customHeight="1" x14ac:dyDescent="0.2">
      <c r="A214" s="242">
        <v>214</v>
      </c>
      <c r="B214" s="5664"/>
      <c r="C214" s="1012">
        <f>IF(ISNA(VLOOKUP(Tablas!$D214,PDs!$P$5:$S$14,4,FALSE)),0,VLOOKUP(Tablas!$D214,PDs!$P$5:$S$14,4,FALSE))</f>
        <v>0</v>
      </c>
      <c r="D214" s="56" t="s">
        <v>2095</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2092</v>
      </c>
      <c r="CG214" s="95" t="s">
        <v>2083</v>
      </c>
      <c r="CH214" s="23" t="str">
        <f t="shared" si="19"/>
        <v>AcechadorSin</v>
      </c>
      <c r="CI214" s="40"/>
    </row>
    <row r="215" spans="1:109" ht="12.75" customHeight="1" x14ac:dyDescent="0.2">
      <c r="A215" s="242">
        <v>215</v>
      </c>
      <c r="B215" s="5664"/>
      <c r="C215" s="1012">
        <f>IF(ISNA(VLOOKUP(Tablas!$D215,PDs!$P$5:$S$14,4,FALSE)),0,VLOOKUP(Tablas!$D215,PDs!$P$5:$S$14,4,FALSE))</f>
        <v>0</v>
      </c>
      <c r="D215" s="1015" t="s">
        <v>2096</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2097</v>
      </c>
      <c r="CG215" s="95" t="s">
        <v>2083</v>
      </c>
      <c r="CH215" s="23" t="str">
        <f t="shared" si="19"/>
        <v>MísticoSin</v>
      </c>
      <c r="CI215" s="40"/>
    </row>
    <row r="216" spans="1:109" ht="12.75" customHeight="1" x14ac:dyDescent="0.2">
      <c r="A216" s="242">
        <v>216</v>
      </c>
      <c r="B216" s="5664"/>
      <c r="C216" s="1012">
        <f>IF(ISNA(VLOOKUP(Tablas!$D216,PDs!$P$5:$S$14,4,FALSE)),0,VLOOKUP(Tablas!$D216,PDs!$P$5:$S$14,4,FALSE))</f>
        <v>0</v>
      </c>
      <c r="D216" s="1015" t="s">
        <v>2098</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2082</v>
      </c>
      <c r="CG216" s="95" t="s">
        <v>2097</v>
      </c>
      <c r="CH216" s="23" t="str">
        <f t="shared" si="19"/>
        <v>LuchadorMístico</v>
      </c>
      <c r="CI216" s="40"/>
    </row>
    <row r="217" spans="1:109" ht="12.75" customHeight="1" x14ac:dyDescent="0.2">
      <c r="A217" s="242">
        <v>217</v>
      </c>
      <c r="B217" s="5664"/>
      <c r="C217" s="1012">
        <f>IF(ISNA(VLOOKUP(Tablas!$D217,PDs!$P$5:$S$14,4,FALSE)),0,VLOOKUP(Tablas!$D217,PDs!$P$5:$S$14,4,FALSE))</f>
        <v>0</v>
      </c>
      <c r="D217" s="1015" t="s">
        <v>2099</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2092</v>
      </c>
      <c r="CG217" s="95" t="s">
        <v>2097</v>
      </c>
      <c r="CH217" s="23" t="str">
        <f t="shared" si="19"/>
        <v>AcechadorMístico</v>
      </c>
      <c r="CI217" s="40"/>
    </row>
    <row r="218" spans="1:109" ht="12.75" customHeight="1" x14ac:dyDescent="0.2">
      <c r="A218" s="242">
        <v>218</v>
      </c>
      <c r="B218" s="5664"/>
      <c r="C218" s="1012">
        <f>IF(ISNA(VLOOKUP(Tablas!$D218,PDs!$P$5:$S$14,4,FALSE)),0,VLOOKUP(Tablas!$D218,PDs!$P$5:$S$14,4,FALSE))</f>
        <v>0</v>
      </c>
      <c r="D218" s="1015" t="s">
        <v>2100</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2097</v>
      </c>
      <c r="CG218" s="95" t="s">
        <v>2101</v>
      </c>
      <c r="CH218" s="23" t="str">
        <f t="shared" si="19"/>
        <v>MísticoPsíquico</v>
      </c>
      <c r="CI218" s="40"/>
    </row>
    <row r="219" spans="1:109" ht="12.75" customHeight="1" x14ac:dyDescent="0.2">
      <c r="A219" s="242">
        <v>219</v>
      </c>
      <c r="B219" s="5664"/>
      <c r="C219" s="1012">
        <f>IF(ISNA(VLOOKUP(Tablas!$D219,PDs!$P$5:$S$14,4,FALSE)),0,VLOOKUP(Tablas!$D219,PDs!$P$5:$S$14,4,FALSE))</f>
        <v>0</v>
      </c>
      <c r="D219" s="56" t="s">
        <v>2102</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2097</v>
      </c>
      <c r="CG219" s="95" t="s">
        <v>2083</v>
      </c>
      <c r="CH219" s="23" t="str">
        <f t="shared" si="19"/>
        <v>MísticoSin</v>
      </c>
      <c r="CI219" s="40"/>
    </row>
    <row r="220" spans="1:109" ht="12.75" customHeight="1" x14ac:dyDescent="0.2">
      <c r="A220" s="242">
        <v>220</v>
      </c>
      <c r="B220" s="5664"/>
      <c r="C220" s="1012">
        <f>IF(ISNA(VLOOKUP(Tablas!$D220,PDs!$P$5:$S$14,4,FALSE)),0,VLOOKUP(Tablas!$D220,PDs!$P$5:$S$14,4,FALSE))</f>
        <v>0</v>
      </c>
      <c r="D220" s="1015" t="s">
        <v>2103</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2082</v>
      </c>
      <c r="CG220" s="95" t="s">
        <v>2097</v>
      </c>
      <c r="CH220" s="23" t="str">
        <f t="shared" si="19"/>
        <v>LuchadorMístico</v>
      </c>
      <c r="CI220" s="40"/>
    </row>
    <row r="221" spans="1:109" ht="12.75" customHeight="1" x14ac:dyDescent="0.2">
      <c r="A221" s="242">
        <v>221</v>
      </c>
      <c r="B221" s="5664"/>
      <c r="C221" s="1012">
        <f>IF(ISNA(VLOOKUP(Tablas!$D221,PDs!$P$5:$S$14,4,FALSE)),0,VLOOKUP(Tablas!$D221,PDs!$P$5:$S$14,4,FALSE))</f>
        <v>0</v>
      </c>
      <c r="D221" s="1015" t="s">
        <v>2104</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2101</v>
      </c>
      <c r="CG221" s="95" t="s">
        <v>2083</v>
      </c>
      <c r="CH221" s="23" t="str">
        <f t="shared" si="19"/>
        <v>PsíquicoSin</v>
      </c>
      <c r="CI221" s="40"/>
    </row>
    <row r="222" spans="1:109" ht="12.75" customHeight="1" x14ac:dyDescent="0.2">
      <c r="A222" s="242">
        <v>222</v>
      </c>
      <c r="B222" s="5664"/>
      <c r="C222" s="1012">
        <f>IF(ISNA(VLOOKUP(Tablas!$D222,PDs!$P$5:$S$14,4,FALSE)),0,VLOOKUP(Tablas!$D222,PDs!$P$5:$S$14,4,FALSE))</f>
        <v>0</v>
      </c>
      <c r="D222" s="1015" t="s">
        <v>2105</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2082</v>
      </c>
      <c r="CG222" s="95" t="s">
        <v>2101</v>
      </c>
      <c r="CH222" s="23" t="str">
        <f t="shared" si="19"/>
        <v>LuchadorPsíquico</v>
      </c>
      <c r="CI222" s="40"/>
    </row>
    <row r="223" spans="1:109" ht="12.75" customHeight="1" thickBot="1" x14ac:dyDescent="0.25">
      <c r="A223" s="242">
        <v>223</v>
      </c>
      <c r="B223" s="5664"/>
      <c r="C223" s="1013">
        <f>IF(ISNA(VLOOKUP(Tablas!$D223,PDs!$P$5:$S$14,4,FALSE)),0,VLOOKUP(Tablas!$D223,PDs!$P$5:$S$14,4,FALSE))</f>
        <v>1</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2083</v>
      </c>
      <c r="CG223" s="199" t="s">
        <v>2083</v>
      </c>
      <c r="CH223" s="77" t="str">
        <f t="shared" si="19"/>
        <v>SinSin</v>
      </c>
      <c r="CI223" s="78"/>
    </row>
    <row r="224" spans="1:109" ht="12.75" customHeight="1" thickBot="1" x14ac:dyDescent="0.25">
      <c r="A224" s="242">
        <v>224</v>
      </c>
      <c r="B224" s="5664"/>
      <c r="C224" s="100"/>
      <c r="D224" s="5683" t="s">
        <v>7569</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664"/>
      <c r="D225" s="5684"/>
      <c r="E225" s="1017">
        <f>SUMPRODUCT($C$202:$C$223,E$202:E$223)</f>
        <v>5</v>
      </c>
      <c r="F225" s="1017">
        <f>SUMPRODUCT($C$202:$C$223,F$202:F$223)</f>
        <v>5</v>
      </c>
      <c r="G225" s="1017" t="s">
        <v>1464</v>
      </c>
      <c r="H225" s="2833">
        <f>SUMPRODUCT($C$202:$C$223,$H$202:$H$223)</f>
        <v>20</v>
      </c>
      <c r="I225" s="1017" t="s">
        <v>1464</v>
      </c>
      <c r="J225" s="1017" t="s">
        <v>1464</v>
      </c>
      <c r="K225" s="1017" t="s">
        <v>1464</v>
      </c>
      <c r="L225" s="1018" t="s">
        <v>1464</v>
      </c>
      <c r="M225" s="1018">
        <f>MIN(50,SUMPRODUCT($C$202:$C$223,M$202:M$223))</f>
        <v>0</v>
      </c>
      <c r="N225" s="1018">
        <f>MIN(50,SUMPRODUCT($C$202:$C$223,N$202:N$223))</f>
        <v>0</v>
      </c>
      <c r="O225" s="1018">
        <f>MIN(50,SUMPRODUCT($C$202:$C$223,O$202:O$223))</f>
        <v>0</v>
      </c>
      <c r="P225" s="1017">
        <f>SUMPRODUCT($C$202:$C$223,P$202:P$223)</f>
        <v>0</v>
      </c>
      <c r="Q225" s="1017">
        <f>SUMPRODUCT($C$202:$C$223,Q$202:Q$223)</f>
        <v>10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0</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664"/>
    </row>
    <row r="227" spans="1:83" ht="12.75" customHeight="1" x14ac:dyDescent="0.2">
      <c r="A227" s="242">
        <v>227</v>
      </c>
      <c r="B227" s="5664"/>
    </row>
    <row r="228" spans="1:83" ht="12.75" customHeight="1" x14ac:dyDescent="0.2">
      <c r="A228" s="242">
        <v>228</v>
      </c>
      <c r="B228" s="5664"/>
      <c r="C228" s="5534" t="s">
        <v>7577</v>
      </c>
      <c r="D228" s="5534"/>
      <c r="E228" s="5534"/>
      <c r="F228" s="5534"/>
      <c r="G228" s="5534"/>
      <c r="H228" s="5534"/>
      <c r="I228" s="5534"/>
      <c r="J228" s="5534"/>
      <c r="K228" s="5534"/>
      <c r="L228" s="5534"/>
      <c r="M228" s="5534"/>
      <c r="N228" s="5534"/>
      <c r="O228" s="5534"/>
      <c r="P228" s="5534"/>
      <c r="Q228" s="5534"/>
      <c r="R228" s="5534"/>
      <c r="S228" s="5534"/>
      <c r="T228" s="5534"/>
      <c r="U228" s="5534"/>
      <c r="V228" s="5534"/>
      <c r="W228" s="5534"/>
      <c r="X228" s="5534"/>
      <c r="Y228" s="5534"/>
      <c r="Z228" s="5534"/>
    </row>
    <row r="229" spans="1:83" ht="12.75" customHeight="1" x14ac:dyDescent="0.2">
      <c r="A229" s="242">
        <v>229</v>
      </c>
      <c r="B229" s="5664"/>
      <c r="C229" s="5534"/>
      <c r="D229" s="5534"/>
      <c r="E229" s="5534"/>
      <c r="F229" s="5534"/>
      <c r="G229" s="5534"/>
      <c r="H229" s="5534"/>
      <c r="I229" s="5534"/>
      <c r="J229" s="5534"/>
      <c r="K229" s="5534"/>
      <c r="L229" s="5534"/>
      <c r="M229" s="5534"/>
      <c r="N229" s="5534"/>
      <c r="O229" s="5534"/>
      <c r="P229" s="5534"/>
      <c r="Q229" s="5534"/>
      <c r="R229" s="5534"/>
      <c r="S229" s="5534"/>
      <c r="T229" s="5534"/>
      <c r="U229" s="5534"/>
      <c r="V229" s="5534"/>
      <c r="W229" s="5534"/>
      <c r="X229" s="5534"/>
      <c r="Y229" s="5534"/>
      <c r="Z229" s="5534"/>
    </row>
    <row r="230" spans="1:83" ht="12.75" customHeight="1" x14ac:dyDescent="0.2">
      <c r="A230" s="242">
        <v>230</v>
      </c>
      <c r="B230" s="5664"/>
      <c r="C230" s="5534"/>
      <c r="D230" s="5534"/>
      <c r="E230" s="5534"/>
      <c r="F230" s="5534"/>
      <c r="G230" s="5534"/>
      <c r="H230" s="5534"/>
      <c r="I230" s="5534"/>
      <c r="J230" s="5534"/>
      <c r="K230" s="5534"/>
      <c r="L230" s="5534"/>
      <c r="M230" s="5534"/>
      <c r="N230" s="5534"/>
      <c r="O230" s="5534"/>
      <c r="P230" s="5534"/>
      <c r="Q230" s="5534"/>
      <c r="R230" s="5534"/>
      <c r="S230" s="5534"/>
      <c r="T230" s="5534"/>
      <c r="U230" s="5534"/>
      <c r="V230" s="5534"/>
      <c r="W230" s="5534"/>
      <c r="X230" s="5534"/>
      <c r="Y230" s="5534"/>
      <c r="Z230" s="5534"/>
    </row>
    <row r="231" spans="1:83" ht="12.75" customHeight="1" thickBot="1" x14ac:dyDescent="0.25">
      <c r="A231" s="242">
        <v>231</v>
      </c>
      <c r="B231" s="5664"/>
      <c r="H231"/>
      <c r="I231" s="624"/>
      <c r="N231"/>
      <c r="O231" s="624"/>
    </row>
    <row r="232" spans="1:83" ht="12.75" customHeight="1" x14ac:dyDescent="0.2">
      <c r="A232" s="242">
        <v>232</v>
      </c>
      <c r="B232" s="5664"/>
      <c r="C232" s="5679" t="s">
        <v>2287</v>
      </c>
      <c r="D232" s="5680"/>
      <c r="E232" s="5680"/>
      <c r="F232" s="5680"/>
      <c r="G232" s="5680"/>
      <c r="H232" s="5681"/>
      <c r="I232" s="624"/>
      <c r="L232" s="5743" t="s">
        <v>2568</v>
      </c>
      <c r="M232" s="5753"/>
      <c r="N232" s="5753"/>
      <c r="O232" s="5753"/>
      <c r="P232" s="5753"/>
      <c r="Q232" s="5753"/>
      <c r="R232" s="5753"/>
      <c r="S232" s="5753"/>
      <c r="T232" s="5744"/>
    </row>
    <row r="233" spans="1:83" ht="12.75" customHeight="1" x14ac:dyDescent="0.2">
      <c r="A233" s="242">
        <v>233</v>
      </c>
      <c r="B233" s="5664"/>
      <c r="C233" s="973" t="s">
        <v>1357</v>
      </c>
      <c r="D233" s="974" t="s">
        <v>2892</v>
      </c>
      <c r="E233" s="974" t="s">
        <v>6742</v>
      </c>
      <c r="F233" s="974" t="s">
        <v>6741</v>
      </c>
      <c r="G233" s="974" t="s">
        <v>1372</v>
      </c>
      <c r="H233" s="975" t="s">
        <v>7418</v>
      </c>
      <c r="I233" s="624"/>
      <c r="L233" s="5745"/>
      <c r="M233" s="5754"/>
      <c r="N233" s="5754"/>
      <c r="O233" s="5754"/>
      <c r="P233" s="5754"/>
      <c r="Q233" s="5754"/>
      <c r="R233" s="5754"/>
      <c r="S233" s="5754"/>
      <c r="T233" s="5746"/>
    </row>
    <row r="234" spans="1:83" ht="12.75" customHeight="1" thickBot="1" x14ac:dyDescent="0.25">
      <c r="A234" s="242">
        <v>234</v>
      </c>
      <c r="B234" s="5664"/>
      <c r="C234" s="977">
        <f>D234+E234+F234+G234+H234</f>
        <v>1</v>
      </c>
      <c r="D234" s="978">
        <f>SUM($H$256:H397)+SUM(H491:H535)+SUM(H559:H562)</f>
        <v>1</v>
      </c>
      <c r="E234" s="978">
        <f>E236+F236</f>
        <v>0</v>
      </c>
      <c r="F234" s="978">
        <f>SUM(H551:H557)+SUM(H469:H490)</f>
        <v>0</v>
      </c>
      <c r="G234" s="978">
        <f>H250</f>
        <v>0</v>
      </c>
      <c r="H234" s="979">
        <f>Q266</f>
        <v>0</v>
      </c>
      <c r="I234" s="624"/>
      <c r="L234" s="1331"/>
      <c r="M234" s="183"/>
      <c r="N234" s="183" t="s">
        <v>1449</v>
      </c>
      <c r="O234" s="183" t="s">
        <v>1498</v>
      </c>
      <c r="P234" s="183" t="s">
        <v>2289</v>
      </c>
      <c r="Q234" s="183" t="s">
        <v>2290</v>
      </c>
      <c r="R234" s="5678" t="s">
        <v>1558</v>
      </c>
      <c r="S234" s="5695"/>
      <c r="T234" s="1332" t="s">
        <v>8662</v>
      </c>
    </row>
    <row r="235" spans="1:83" ht="12.75" customHeight="1" thickBot="1" x14ac:dyDescent="0.25">
      <c r="A235" s="242">
        <v>235</v>
      </c>
      <c r="B235" s="5664"/>
      <c r="E235" s="971" t="s">
        <v>2309</v>
      </c>
      <c r="F235" s="972" t="s">
        <v>6740</v>
      </c>
      <c r="H235"/>
      <c r="I235" s="624"/>
      <c r="L235" s="629" t="str">
        <f>N235</f>
        <v>&gt; LEGADOS DE SANGRE</v>
      </c>
      <c r="M235" s="989">
        <f t="shared" ref="M235:M261" si="23">COUNTIF($N$236:$N$261,"&lt;="&amp;N235)</f>
        <v>0</v>
      </c>
      <c r="N235" s="56" t="s">
        <v>2569</v>
      </c>
      <c r="O235" s="2151"/>
      <c r="P235" s="2146"/>
      <c r="Q235" s="2162"/>
      <c r="R235" s="870"/>
      <c r="S235" s="1321"/>
      <c r="T235" s="2448"/>
    </row>
    <row r="236" spans="1:83" ht="12.75" customHeight="1" thickBot="1" x14ac:dyDescent="0.25">
      <c r="A236" s="242">
        <v>236</v>
      </c>
      <c r="B236" s="5664"/>
      <c r="E236" s="976">
        <f>SUM(H398:H442)+SUM(H536:H544)</f>
        <v>0</v>
      </c>
      <c r="F236" s="976">
        <f>SUM(H443:H467)+SUM(H546:H549)</f>
        <v>0</v>
      </c>
      <c r="H236"/>
      <c r="I236" s="624"/>
      <c r="L236" s="629" t="str">
        <f t="shared" ref="L236:L261" si="24">VLOOKUP(A1,$M$235:$N$261,2,0)</f>
        <v>Armas Naturales</v>
      </c>
      <c r="M236" s="981">
        <f t="shared" si="23"/>
        <v>11</v>
      </c>
      <c r="N236" s="56" t="s">
        <v>2570</v>
      </c>
      <c r="O236" s="2151">
        <f>1+IF(Principal!$Y$24="No",1,0)</f>
        <v>1</v>
      </c>
      <c r="P236" s="2146">
        <f>COUNTIF(Principal!$C$35:$J$53,Tablas!N236)</f>
        <v>0</v>
      </c>
      <c r="Q236" s="2145">
        <f t="shared" ref="Q236:Q251" si="25">P236*O236</f>
        <v>0</v>
      </c>
      <c r="R236" s="2445" t="s">
        <v>8637</v>
      </c>
      <c r="S236" s="1321"/>
      <c r="T236" s="2449" t="str">
        <f>IF(P236=0,"",R236)</f>
        <v/>
      </c>
    </row>
    <row r="237" spans="1:83" ht="12.75" customHeight="1" thickBot="1" x14ac:dyDescent="0.25">
      <c r="A237" s="242">
        <v>237</v>
      </c>
      <c r="B237" s="5664"/>
      <c r="H237"/>
      <c r="I237" s="624"/>
      <c r="L237" s="629" t="str">
        <f t="shared" si="24"/>
        <v>Devorador de Existencia</v>
      </c>
      <c r="M237" s="981">
        <f t="shared" si="23"/>
        <v>10</v>
      </c>
      <c r="N237" s="56" t="s">
        <v>2571</v>
      </c>
      <c r="O237" s="2151">
        <f>1+IF(Principal!$Y$24="No",1,0)</f>
        <v>1</v>
      </c>
      <c r="P237" s="2146">
        <f>COUNTIF(Principal!$C$35:$J$53,Tablas!N237)</f>
        <v>0</v>
      </c>
      <c r="Q237" s="2145">
        <f t="shared" si="25"/>
        <v>0</v>
      </c>
      <c r="R237" s="2445" t="s">
        <v>8638</v>
      </c>
      <c r="S237" s="1321"/>
      <c r="T237" s="2449" t="str">
        <f t="shared" ref="T237:T251" si="26">IF(P237=0,"",R237)</f>
        <v/>
      </c>
    </row>
    <row r="238" spans="1:83" ht="12.75" customHeight="1" thickBot="1" x14ac:dyDescent="0.25">
      <c r="A238" s="242">
        <v>238</v>
      </c>
      <c r="B238" s="5664"/>
      <c r="C238" s="5676" t="s">
        <v>2288</v>
      </c>
      <c r="D238" s="5676"/>
      <c r="E238" s="5676"/>
      <c r="F238" s="5676"/>
      <c r="G238" s="5676"/>
      <c r="H238" s="5676"/>
      <c r="I238" s="5676"/>
      <c r="L238" s="629" t="str">
        <f t="shared" si="24"/>
        <v>Esencia Venenosa</v>
      </c>
      <c r="M238" s="981">
        <f t="shared" si="23"/>
        <v>12</v>
      </c>
      <c r="N238" s="56" t="s">
        <v>2572</v>
      </c>
      <c r="O238" s="2151">
        <f>1+IF(Principal!$Y$24="No",1,0)</f>
        <v>1</v>
      </c>
      <c r="P238" s="2146">
        <f>COUNTIF(Principal!$C$35:$J$53,Tablas!N238)</f>
        <v>0</v>
      </c>
      <c r="Q238" s="2145">
        <f t="shared" si="25"/>
        <v>0</v>
      </c>
      <c r="R238" s="2445" t="s">
        <v>8639</v>
      </c>
      <c r="S238" s="1321"/>
      <c r="T238" s="2449" t="str">
        <f>IF(P238=0,"",R238)</f>
        <v/>
      </c>
    </row>
    <row r="239" spans="1:83" ht="12.75" customHeight="1" x14ac:dyDescent="0.2">
      <c r="A239" s="242">
        <v>239</v>
      </c>
      <c r="B239" s="5664"/>
      <c r="C239" s="5676"/>
      <c r="D239" s="5676"/>
      <c r="E239" s="5676"/>
      <c r="F239" s="5676"/>
      <c r="G239" s="5676"/>
      <c r="H239" s="5676"/>
      <c r="I239" s="5676"/>
      <c r="L239" s="629" t="str">
        <f t="shared" si="24"/>
        <v>La Sangre de Orochi</v>
      </c>
      <c r="M239" s="981">
        <f t="shared" si="23"/>
        <v>15</v>
      </c>
      <c r="N239" s="56" t="s">
        <v>2573</v>
      </c>
      <c r="O239" s="2151">
        <f>1+IF(Principal!$Y$24="No",1,0)</f>
        <v>1</v>
      </c>
      <c r="P239" s="2146">
        <f>COUNTIF(Principal!$C$35:$J$53,Tablas!N239)</f>
        <v>0</v>
      </c>
      <c r="Q239" s="2145">
        <f t="shared" si="25"/>
        <v>0</v>
      </c>
      <c r="R239" s="2445" t="s">
        <v>8640</v>
      </c>
      <c r="S239" s="1321"/>
      <c r="T239" s="2449" t="str">
        <f t="shared" si="26"/>
        <v/>
      </c>
    </row>
    <row r="240" spans="1:83" ht="12.75" customHeight="1" x14ac:dyDescent="0.2">
      <c r="A240" s="242">
        <v>240</v>
      </c>
      <c r="B240" s="5664"/>
      <c r="C240" s="227"/>
      <c r="D240" s="228"/>
      <c r="E240" s="222" t="s">
        <v>1449</v>
      </c>
      <c r="F240" s="222" t="s">
        <v>1498</v>
      </c>
      <c r="G240" s="222" t="s">
        <v>2289</v>
      </c>
      <c r="H240" s="222" t="s">
        <v>2290</v>
      </c>
      <c r="I240" s="684" t="s">
        <v>1915</v>
      </c>
      <c r="L240" s="629" t="str">
        <f t="shared" si="24"/>
        <v>La Sangre de Uroboros</v>
      </c>
      <c r="M240" s="981">
        <f t="shared" si="23"/>
        <v>14</v>
      </c>
      <c r="N240" s="56" t="s">
        <v>2574</v>
      </c>
      <c r="O240" s="2151">
        <f>1+IF(Principal!$Y$24="No",1,0)</f>
        <v>1</v>
      </c>
      <c r="P240" s="2146">
        <f>COUNTIF(Principal!$C$35:$J$53,Tablas!N240)</f>
        <v>0</v>
      </c>
      <c r="Q240" s="2145">
        <f t="shared" si="25"/>
        <v>0</v>
      </c>
      <c r="R240" s="2445" t="s">
        <v>8780</v>
      </c>
      <c r="S240" s="1321"/>
      <c r="T240" s="2449" t="str">
        <f t="shared" si="26"/>
        <v/>
      </c>
    </row>
    <row r="241" spans="1:20" ht="12.75" customHeight="1" x14ac:dyDescent="0.2">
      <c r="A241" s="242">
        <v>241</v>
      </c>
      <c r="B241" s="5664"/>
      <c r="C241" s="39"/>
      <c r="D241" s="23"/>
      <c r="E241" s="143" t="s">
        <v>7325</v>
      </c>
      <c r="F241" s="230"/>
      <c r="G241" s="230"/>
      <c r="H241" s="230"/>
      <c r="I241" s="144"/>
      <c r="L241" s="629" t="str">
        <f t="shared" si="24"/>
        <v>Legado de la Luna (Tsukiyomi)</v>
      </c>
      <c r="M241" s="981">
        <f t="shared" si="23"/>
        <v>17</v>
      </c>
      <c r="N241" s="56" t="s">
        <v>2576</v>
      </c>
      <c r="O241" s="2151">
        <f>1+IF(Principal!$Y$24="No",1,0)</f>
        <v>1</v>
      </c>
      <c r="P241" s="2146">
        <f>COUNTIF(Principal!$C$35:$J$53,Tablas!N241)</f>
        <v>0</v>
      </c>
      <c r="Q241" s="2145">
        <f t="shared" si="25"/>
        <v>0</v>
      </c>
      <c r="R241" s="2445" t="s">
        <v>8641</v>
      </c>
      <c r="S241" s="1321"/>
      <c r="T241" s="2449" t="str">
        <f t="shared" si="26"/>
        <v/>
      </c>
    </row>
    <row r="242" spans="1:20" ht="12.75" customHeight="1" x14ac:dyDescent="0.2">
      <c r="A242" s="242">
        <v>242</v>
      </c>
      <c r="B242" s="5664"/>
      <c r="C242" s="39"/>
      <c r="D242" s="95"/>
      <c r="E242" s="929" t="s">
        <v>2687</v>
      </c>
      <c r="F242" s="188">
        <v>1</v>
      </c>
      <c r="G242" s="188">
        <f>COUNTIF(Principal!$C$35:$J$53,Tablas!E242)</f>
        <v>0</v>
      </c>
      <c r="H242" s="188">
        <f t="shared" ref="H242:H249" si="27">G242*F242</f>
        <v>0</v>
      </c>
      <c r="I242" s="144">
        <v>1</v>
      </c>
      <c r="L242" s="629" t="str">
        <f t="shared" si="24"/>
        <v>Los Ojos de la Muerte</v>
      </c>
      <c r="M242" s="981">
        <f t="shared" si="23"/>
        <v>13</v>
      </c>
      <c r="N242" s="56" t="s">
        <v>7324</v>
      </c>
      <c r="O242" s="2151">
        <f>1+IF(Principal!$Y$24="No",1,0)</f>
        <v>1</v>
      </c>
      <c r="P242" s="2146">
        <f>COUNTIF(Principal!$C$35:$J$53,Tablas!N242)</f>
        <v>0</v>
      </c>
      <c r="Q242" s="2145">
        <f t="shared" si="25"/>
        <v>0</v>
      </c>
      <c r="R242" s="2445" t="s">
        <v>8642</v>
      </c>
      <c r="S242" s="1321"/>
      <c r="T242" s="2449" t="str">
        <f t="shared" si="26"/>
        <v/>
      </c>
    </row>
    <row r="243" spans="1:20" ht="12.75" customHeight="1" x14ac:dyDescent="0.2">
      <c r="A243" s="242">
        <v>243</v>
      </c>
      <c r="B243" s="5664"/>
      <c r="C243" s="39"/>
      <c r="D243" s="95"/>
      <c r="E243" s="929" t="s">
        <v>2689</v>
      </c>
      <c r="F243" s="188">
        <v>1</v>
      </c>
      <c r="G243" s="188">
        <f>COUNTIF(Principal!$C$35:$J$53,Tablas!E243)</f>
        <v>0</v>
      </c>
      <c r="H243" s="188">
        <f t="shared" si="27"/>
        <v>0</v>
      </c>
      <c r="I243" s="144">
        <v>1</v>
      </c>
      <c r="L243" s="629" t="str">
        <f t="shared" si="24"/>
        <v>Ojos del Alma</v>
      </c>
      <c r="M243" s="981">
        <f t="shared" si="23"/>
        <v>16</v>
      </c>
      <c r="N243" s="56" t="s">
        <v>2577</v>
      </c>
      <c r="O243" s="2151">
        <f>1+IF(Principal!$Y$24="No",1,0)</f>
        <v>1</v>
      </c>
      <c r="P243" s="2146">
        <f>COUNTIF(Principal!$C$35:$J$53,Tablas!N243)</f>
        <v>0</v>
      </c>
      <c r="Q243" s="2145">
        <f t="shared" si="25"/>
        <v>0</v>
      </c>
      <c r="R243" s="2445" t="s">
        <v>8643</v>
      </c>
      <c r="S243" s="1321"/>
      <c r="T243" s="2449" t="str">
        <f t="shared" si="26"/>
        <v/>
      </c>
    </row>
    <row r="244" spans="1:20" ht="12.75" customHeight="1" x14ac:dyDescent="0.2">
      <c r="A244" s="242">
        <v>244</v>
      </c>
      <c r="B244" s="5664"/>
      <c r="C244" s="39"/>
      <c r="D244" s="95"/>
      <c r="E244" s="929" t="s">
        <v>2691</v>
      </c>
      <c r="F244" s="188">
        <v>1</v>
      </c>
      <c r="G244" s="188">
        <f>COUNTIF(Principal!$C$35:$J$53,Tablas!E244)</f>
        <v>0</v>
      </c>
      <c r="H244" s="188">
        <f t="shared" si="27"/>
        <v>0</v>
      </c>
      <c r="I244" s="144">
        <v>1</v>
      </c>
      <c r="L244" s="629" t="str">
        <f t="shared" si="24"/>
        <v>Ojos del Destino</v>
      </c>
      <c r="M244" s="981">
        <f t="shared" si="23"/>
        <v>7</v>
      </c>
      <c r="N244" s="56" t="s">
        <v>2578</v>
      </c>
      <c r="O244" s="2151">
        <f>2+IF(Principal!$Y$24="No",1,0)</f>
        <v>2</v>
      </c>
      <c r="P244" s="2146">
        <f>COUNTIF(Principal!$C$35:$J$53,Tablas!N244)</f>
        <v>0</v>
      </c>
      <c r="Q244" s="2145">
        <f t="shared" si="25"/>
        <v>0</v>
      </c>
      <c r="R244" s="2445" t="s">
        <v>8644</v>
      </c>
      <c r="S244" s="1321"/>
      <c r="T244" s="2449" t="str">
        <f t="shared" si="26"/>
        <v/>
      </c>
    </row>
    <row r="245" spans="1:20" ht="12.75" customHeight="1" x14ac:dyDescent="0.2">
      <c r="A245" s="242">
        <v>245</v>
      </c>
      <c r="B245" s="5664"/>
      <c r="C245" s="39"/>
      <c r="D245" s="95"/>
      <c r="E245" s="929" t="s">
        <v>2693</v>
      </c>
      <c r="F245" s="188">
        <v>1</v>
      </c>
      <c r="G245" s="188">
        <f>COUNTIF(Principal!$C$35:$J$53,Tablas!E245)</f>
        <v>0</v>
      </c>
      <c r="H245" s="188">
        <f t="shared" si="27"/>
        <v>0</v>
      </c>
      <c r="I245" s="144">
        <v>1</v>
      </c>
      <c r="L245" s="629" t="str">
        <f t="shared" si="24"/>
        <v>Sangre de Aeon: Boreas</v>
      </c>
      <c r="M245" s="981">
        <f t="shared" si="23"/>
        <v>8</v>
      </c>
      <c r="N245" s="56" t="s">
        <v>2579</v>
      </c>
      <c r="O245" s="2151">
        <f>1+IF(Principal!$Y$24="No",1,0)</f>
        <v>1</v>
      </c>
      <c r="P245" s="2146">
        <f>COUNTIF(Principal!$C$35:$J$53,Tablas!N245)</f>
        <v>0</v>
      </c>
      <c r="Q245" s="2145">
        <f t="shared" si="25"/>
        <v>0</v>
      </c>
      <c r="R245" s="2445" t="s">
        <v>8645</v>
      </c>
      <c r="S245" s="1321"/>
      <c r="T245" s="2449" t="str">
        <f t="shared" si="26"/>
        <v/>
      </c>
    </row>
    <row r="246" spans="1:20" ht="12.75" customHeight="1" x14ac:dyDescent="0.2">
      <c r="A246" s="242">
        <v>246</v>
      </c>
      <c r="B246" s="5664"/>
      <c r="C246" s="39"/>
      <c r="D246" s="95"/>
      <c r="E246" s="929" t="s">
        <v>2695</v>
      </c>
      <c r="F246" s="188">
        <v>1</v>
      </c>
      <c r="G246" s="188">
        <f>COUNTIF(Principal!$C$35:$J$53,Tablas!E246)</f>
        <v>0</v>
      </c>
      <c r="H246" s="188">
        <f t="shared" si="27"/>
        <v>0</v>
      </c>
      <c r="I246" s="144">
        <v>1</v>
      </c>
      <c r="L246" s="629" t="str">
        <f t="shared" si="24"/>
        <v>Sangre de Aeon: Kagutsuchi</v>
      </c>
      <c r="M246" s="981">
        <f t="shared" si="23"/>
        <v>6</v>
      </c>
      <c r="N246" s="56" t="s">
        <v>2580</v>
      </c>
      <c r="O246" s="2151">
        <f>1+IF(Principal!$Y$24="No",1,0)</f>
        <v>1</v>
      </c>
      <c r="P246" s="2146">
        <f>COUNTIF(Principal!$C$35:$J$53,Tablas!N246)</f>
        <v>0</v>
      </c>
      <c r="Q246" s="2145">
        <f t="shared" si="25"/>
        <v>0</v>
      </c>
      <c r="R246" s="2445" t="s">
        <v>8646</v>
      </c>
      <c r="S246" s="1321"/>
      <c r="T246" s="2449" t="str">
        <f t="shared" si="26"/>
        <v/>
      </c>
    </row>
    <row r="247" spans="1:20" ht="12.75" customHeight="1" x14ac:dyDescent="0.2">
      <c r="A247" s="242">
        <v>247</v>
      </c>
      <c r="B247" s="5664"/>
      <c r="C247" s="39"/>
      <c r="D247" s="95"/>
      <c r="E247" s="929" t="s">
        <v>2697</v>
      </c>
      <c r="F247" s="188">
        <v>1</v>
      </c>
      <c r="G247" s="188">
        <f>COUNTIF(Principal!$C$35:$J$53,Tablas!E247)</f>
        <v>0</v>
      </c>
      <c r="H247" s="188">
        <f t="shared" si="27"/>
        <v>0</v>
      </c>
      <c r="I247" s="144">
        <v>1</v>
      </c>
      <c r="L247" s="629" t="str">
        <f t="shared" si="24"/>
        <v>Sangre de Aeon: Niflheim</v>
      </c>
      <c r="M247" s="981">
        <f t="shared" si="23"/>
        <v>5</v>
      </c>
      <c r="N247" s="56" t="s">
        <v>2581</v>
      </c>
      <c r="O247" s="2151">
        <f>1+IF(Principal!$Y$24="No",1,0)</f>
        <v>1</v>
      </c>
      <c r="P247" s="2146">
        <f>COUNTIF(Principal!$C$35:$J$53,Tablas!N247)</f>
        <v>0</v>
      </c>
      <c r="Q247" s="2145">
        <f t="shared" si="25"/>
        <v>0</v>
      </c>
      <c r="R247" s="2445" t="s">
        <v>8647</v>
      </c>
      <c r="S247" s="1321"/>
      <c r="T247" s="2449" t="str">
        <f t="shared" si="26"/>
        <v/>
      </c>
    </row>
    <row r="248" spans="1:20" ht="12.75" customHeight="1" x14ac:dyDescent="0.2">
      <c r="A248" s="242">
        <v>248</v>
      </c>
      <c r="B248" s="5664"/>
      <c r="C248" s="39"/>
      <c r="D248" s="95"/>
      <c r="E248" s="929" t="s">
        <v>2699</v>
      </c>
      <c r="F248" s="188">
        <v>1</v>
      </c>
      <c r="G248" s="188">
        <f>COUNTIF(Principal!$C$35:$J$53,Tablas!E248)</f>
        <v>0</v>
      </c>
      <c r="H248" s="188">
        <f t="shared" si="27"/>
        <v>0</v>
      </c>
      <c r="I248" s="144">
        <v>1</v>
      </c>
      <c r="L248" s="629" t="str">
        <f t="shared" si="24"/>
        <v>Sangre de Aeon: Phandemonium</v>
      </c>
      <c r="M248" s="981">
        <f t="shared" si="23"/>
        <v>19</v>
      </c>
      <c r="N248" s="56" t="s">
        <v>2582</v>
      </c>
      <c r="O248" s="2151">
        <f>1+IF(Principal!$Y$24="No",1,0)</f>
        <v>1</v>
      </c>
      <c r="P248" s="2146">
        <f>COUNTIF(Principal!$C$35:$J$53,Tablas!N248)</f>
        <v>0</v>
      </c>
      <c r="Q248" s="2145">
        <f t="shared" si="25"/>
        <v>0</v>
      </c>
      <c r="R248" s="2445" t="s">
        <v>8648</v>
      </c>
      <c r="S248" s="1321"/>
      <c r="T248" s="2449" t="str">
        <f t="shared" si="26"/>
        <v/>
      </c>
    </row>
    <row r="249" spans="1:20" ht="12.75" customHeight="1" thickBot="1" x14ac:dyDescent="0.25">
      <c r="A249" s="242">
        <v>249</v>
      </c>
      <c r="B249" s="5664"/>
      <c r="C249" s="76"/>
      <c r="D249" s="199"/>
      <c r="E249" s="930" t="s">
        <v>2701</v>
      </c>
      <c r="F249" s="232">
        <v>1</v>
      </c>
      <c r="G249" s="232">
        <f>COUNTIF(Principal!$C$35:$J$53,Tablas!E249)</f>
        <v>0</v>
      </c>
      <c r="H249" s="232">
        <f t="shared" si="27"/>
        <v>0</v>
      </c>
      <c r="I249" s="685">
        <v>1</v>
      </c>
      <c r="L249" s="629" t="str">
        <f t="shared" si="24"/>
        <v>Sangre de Aeon: Ran</v>
      </c>
      <c r="M249" s="981">
        <f t="shared" si="23"/>
        <v>20</v>
      </c>
      <c r="N249" s="56" t="s">
        <v>2583</v>
      </c>
      <c r="O249" s="2151">
        <f>2+IF(Principal!$Y$24="No",1,0)</f>
        <v>2</v>
      </c>
      <c r="P249" s="2146">
        <f>COUNTIF(Principal!$C$35:$J$53,Tablas!N249)</f>
        <v>0</v>
      </c>
      <c r="Q249" s="2145">
        <f t="shared" si="25"/>
        <v>0</v>
      </c>
      <c r="R249" s="2445" t="s">
        <v>8649</v>
      </c>
      <c r="S249" s="1321"/>
      <c r="T249" s="2449" t="str">
        <f t="shared" si="26"/>
        <v/>
      </c>
    </row>
    <row r="250" spans="1:20" ht="12.75" customHeight="1" thickBot="1" x14ac:dyDescent="0.25">
      <c r="A250" s="242">
        <v>250</v>
      </c>
      <c r="B250" s="5664"/>
      <c r="H250" s="5670">
        <f>SUM(H241:H249)</f>
        <v>0</v>
      </c>
      <c r="I250" s="624"/>
      <c r="L250" s="629" t="str">
        <f t="shared" si="24"/>
        <v>Sangre de Aeon: Rudraksha</v>
      </c>
      <c r="M250" s="981">
        <f t="shared" si="23"/>
        <v>21</v>
      </c>
      <c r="N250" s="56" t="s">
        <v>2584</v>
      </c>
      <c r="O250" s="2151">
        <f>3+IF(Principal!$Y$24="No",1,0)</f>
        <v>3</v>
      </c>
      <c r="P250" s="2146">
        <f>COUNTIF(Principal!$C$35:$J$53,Tablas!N250)</f>
        <v>0</v>
      </c>
      <c r="Q250" s="2145">
        <f t="shared" si="25"/>
        <v>0</v>
      </c>
      <c r="R250" s="2445" t="s">
        <v>8650</v>
      </c>
      <c r="S250" s="1321"/>
      <c r="T250" s="2449" t="str">
        <f t="shared" si="26"/>
        <v/>
      </c>
    </row>
    <row r="251" spans="1:20" ht="12.75" customHeight="1" thickBot="1" x14ac:dyDescent="0.25">
      <c r="A251" s="242">
        <v>251</v>
      </c>
      <c r="B251" s="5664"/>
      <c r="H251" s="5670"/>
      <c r="I251" s="624"/>
      <c r="L251" s="629" t="str">
        <f t="shared" si="24"/>
        <v>Sangre de Aeon: Shephirah</v>
      </c>
      <c r="M251" s="981">
        <f t="shared" si="23"/>
        <v>9</v>
      </c>
      <c r="N251" s="56" t="s">
        <v>2585</v>
      </c>
      <c r="O251" s="2151">
        <f>2+IF(Principal!$Y$24="No",1,0)</f>
        <v>2</v>
      </c>
      <c r="P251" s="2146">
        <f>COUNTIF(Principal!$C$35:$J$53,Tablas!N251)</f>
        <v>0</v>
      </c>
      <c r="Q251" s="2145">
        <f t="shared" si="25"/>
        <v>0</v>
      </c>
      <c r="R251" s="2445" t="s">
        <v>8651</v>
      </c>
      <c r="S251" s="1321"/>
      <c r="T251" s="2449" t="str">
        <f t="shared" si="26"/>
        <v/>
      </c>
    </row>
    <row r="252" spans="1:20" ht="12.75" customHeight="1" thickBot="1" x14ac:dyDescent="0.25">
      <c r="A252" s="242">
        <v>252</v>
      </c>
      <c r="B252" s="5664"/>
      <c r="H252"/>
      <c r="I252" s="624"/>
      <c r="L252" s="629" t="str">
        <f t="shared" si="24"/>
        <v>Sangre de Aeon: Toa</v>
      </c>
      <c r="M252" s="981">
        <f t="shared" si="23"/>
        <v>24</v>
      </c>
      <c r="N252" s="56" t="s">
        <v>2586</v>
      </c>
      <c r="O252" s="2151">
        <f>1+IF(Principal!$Y$24="No",1,0)</f>
        <v>1</v>
      </c>
      <c r="P252" s="2146">
        <f>COUNTIF(Principal!$C$35:$J$53,Tablas!N252)</f>
        <v>0</v>
      </c>
      <c r="Q252" s="2145">
        <f t="shared" ref="Q252:Q261" si="28">P252*O252</f>
        <v>0</v>
      </c>
      <c r="R252" s="2445" t="s">
        <v>8652</v>
      </c>
      <c r="S252" s="1321"/>
      <c r="T252" s="2449" t="str">
        <f t="shared" ref="T252:T261" si="29">IF(P252=0,"",R252)</f>
        <v/>
      </c>
    </row>
    <row r="253" spans="1:20" ht="12.75" customHeight="1" x14ac:dyDescent="0.2">
      <c r="A253" s="242">
        <v>253</v>
      </c>
      <c r="B253" s="5664"/>
      <c r="C253" s="5839" t="s">
        <v>2291</v>
      </c>
      <c r="D253" s="5840"/>
      <c r="E253" s="5840"/>
      <c r="F253" s="5840"/>
      <c r="G253" s="5840"/>
      <c r="H253" s="5840"/>
      <c r="I253" s="5840"/>
      <c r="J253" s="5841"/>
      <c r="L253" s="629" t="str">
        <f t="shared" si="24"/>
        <v>Sangre de El Dragón</v>
      </c>
      <c r="M253" s="981">
        <f t="shared" si="23"/>
        <v>4</v>
      </c>
      <c r="N253" s="56" t="s">
        <v>2587</v>
      </c>
      <c r="O253" s="2151">
        <f>1+IF(Principal!$Y$24="No",1,0)</f>
        <v>1</v>
      </c>
      <c r="P253" s="2146">
        <f>COUNTIF(Principal!$C$35:$J$53,Tablas!N253)</f>
        <v>0</v>
      </c>
      <c r="Q253" s="2145">
        <f t="shared" si="28"/>
        <v>0</v>
      </c>
      <c r="R253" s="2445" t="s">
        <v>8653</v>
      </c>
      <c r="S253" s="1321"/>
      <c r="T253" s="2449" t="str">
        <f t="shared" si="29"/>
        <v/>
      </c>
    </row>
    <row r="254" spans="1:20" ht="12.75" customHeight="1" x14ac:dyDescent="0.2">
      <c r="A254" s="242">
        <v>254</v>
      </c>
      <c r="B254" s="5664"/>
      <c r="C254" s="5842"/>
      <c r="D254" s="5754"/>
      <c r="E254" s="5754"/>
      <c r="F254" s="5754"/>
      <c r="G254" s="5754"/>
      <c r="H254" s="5754"/>
      <c r="I254" s="5754"/>
      <c r="J254" s="5843"/>
      <c r="L254" s="629" t="str">
        <f t="shared" si="24"/>
        <v>Sangre de Grandes Bestias (1)</v>
      </c>
      <c r="M254" s="981">
        <f t="shared" si="23"/>
        <v>2</v>
      </c>
      <c r="N254" s="56" t="s">
        <v>2588</v>
      </c>
      <c r="O254" s="2151">
        <f>2+IF(Principal!$Y$24="No",1,0)</f>
        <v>2</v>
      </c>
      <c r="P254" s="2146">
        <f>COUNTIF(Principal!$C$35:$J$53,Tablas!N254)</f>
        <v>0</v>
      </c>
      <c r="Q254" s="2145">
        <f t="shared" si="28"/>
        <v>0</v>
      </c>
      <c r="R254" s="2445" t="s">
        <v>8654</v>
      </c>
      <c r="S254" s="1321"/>
      <c r="T254" s="2449" t="str">
        <f t="shared" si="29"/>
        <v/>
      </c>
    </row>
    <row r="255" spans="1:20" ht="12.75" customHeight="1" x14ac:dyDescent="0.2">
      <c r="A255" s="242">
        <v>255</v>
      </c>
      <c r="B255" s="5664"/>
      <c r="C255" s="5757" t="s">
        <v>6540</v>
      </c>
      <c r="D255" s="5758"/>
      <c r="E255" s="222" t="s">
        <v>1449</v>
      </c>
      <c r="F255" s="222" t="s">
        <v>1498</v>
      </c>
      <c r="G255" s="222" t="s">
        <v>2289</v>
      </c>
      <c r="H255" s="222" t="s">
        <v>2290</v>
      </c>
      <c r="I255" s="693" t="s">
        <v>1915</v>
      </c>
      <c r="J255" s="2143" t="s">
        <v>1407</v>
      </c>
      <c r="L255" s="629" t="str">
        <f t="shared" si="24"/>
        <v>Sangre de Grandes Bestias (2)</v>
      </c>
      <c r="M255" s="981">
        <f t="shared" si="23"/>
        <v>3</v>
      </c>
      <c r="N255" s="56" t="s">
        <v>2589</v>
      </c>
      <c r="O255" s="2151">
        <f>1+IF(Principal!$Y$24="No",1,0)</f>
        <v>1</v>
      </c>
      <c r="P255" s="2146">
        <f>COUNTIF(Principal!$C$35:$J$53,Tablas!N255)</f>
        <v>0</v>
      </c>
      <c r="Q255" s="2145">
        <f t="shared" si="28"/>
        <v>0</v>
      </c>
      <c r="R255" s="2445" t="s">
        <v>8655</v>
      </c>
      <c r="S255" s="1321"/>
      <c r="T255" s="2449" t="str">
        <f t="shared" si="29"/>
        <v/>
      </c>
    </row>
    <row r="256" spans="1:20" ht="12.75" customHeight="1" x14ac:dyDescent="0.2">
      <c r="A256" s="242">
        <v>256</v>
      </c>
      <c r="B256" s="5664"/>
      <c r="C256" s="2144" t="str">
        <f>"Tablas!"&amp;ADDRESS(ROW(C257),COLUMN(C257))&amp;":"&amp;ADDRESS(ROW(C257)+MAX(D256:D397),COLUMN(C257))</f>
        <v>Tablas!$C$257:$C$390</v>
      </c>
      <c r="D256" s="981">
        <v>0</v>
      </c>
      <c r="E256" s="56" t="s">
        <v>2292</v>
      </c>
      <c r="F256" s="2145"/>
      <c r="G256" s="2145"/>
      <c r="H256" s="2146"/>
      <c r="I256" s="2147"/>
      <c r="J256" s="2148"/>
      <c r="L256" s="629" t="str">
        <f t="shared" si="24"/>
        <v>Sangre de Grandes Bestias (3)</v>
      </c>
      <c r="M256" s="981">
        <f t="shared" si="23"/>
        <v>1</v>
      </c>
      <c r="N256" s="56" t="s">
        <v>2590</v>
      </c>
      <c r="O256" s="2151">
        <f>1+IF(Principal!$Y$24="No",1,0)</f>
        <v>1</v>
      </c>
      <c r="P256" s="2146">
        <f>COUNTIF(Principal!$C$35:$J$53,Tablas!N256)</f>
        <v>0</v>
      </c>
      <c r="Q256" s="2145">
        <f t="shared" si="28"/>
        <v>0</v>
      </c>
      <c r="R256" s="2445" t="s">
        <v>8656</v>
      </c>
      <c r="S256" s="1321"/>
      <c r="T256" s="2449" t="str">
        <f t="shared" si="29"/>
        <v/>
      </c>
    </row>
    <row r="257" spans="1:26" ht="12.75" customHeight="1" x14ac:dyDescent="0.2">
      <c r="A257" s="242">
        <v>257</v>
      </c>
      <c r="B257" s="5664"/>
      <c r="C257" s="2149" t="str">
        <f>E256</f>
        <v>&gt; VENTAJAS COMUNES</v>
      </c>
      <c r="D257" s="981">
        <f>COUNTIF($E$257:$E$392,"&lt;="&amp;E257)-COUNTIF($E$257:$E$392,"*&gt;*")</f>
        <v>93</v>
      </c>
      <c r="E257" s="56" t="s">
        <v>2293</v>
      </c>
      <c r="F257" s="2145">
        <v>1</v>
      </c>
      <c r="G257" s="2145">
        <f>COUNTIF(Principal!$C$35:$J$53,Tablas!E257)</f>
        <v>0</v>
      </c>
      <c r="H257" s="2146">
        <f t="shared" ref="H257:H288" si="30">G257*F257</f>
        <v>0</v>
      </c>
      <c r="I257" s="986"/>
      <c r="J257" s="2150" t="s">
        <v>2892</v>
      </c>
      <c r="L257" s="629" t="str">
        <f t="shared" si="24"/>
        <v>Sangre de Kami: Genus Loci</v>
      </c>
      <c r="M257" s="981">
        <f t="shared" si="23"/>
        <v>23</v>
      </c>
      <c r="N257" s="56" t="s">
        <v>2591</v>
      </c>
      <c r="O257" s="2151">
        <f>1+IF(Principal!$Y$24="No",1,0)</f>
        <v>1</v>
      </c>
      <c r="P257" s="2146">
        <f>COUNTIF(Principal!$C$35:$J$53,Tablas!N257)</f>
        <v>0</v>
      </c>
      <c r="Q257" s="2145">
        <f t="shared" si="28"/>
        <v>0</v>
      </c>
      <c r="R257" s="2445" t="s">
        <v>8657</v>
      </c>
      <c r="S257" s="1321"/>
      <c r="T257" s="2449" t="str">
        <f t="shared" si="29"/>
        <v/>
      </c>
    </row>
    <row r="258" spans="1:26" ht="12.75" customHeight="1" x14ac:dyDescent="0.2">
      <c r="A258" s="242">
        <v>258</v>
      </c>
      <c r="B258" s="5664"/>
      <c r="C258" s="2149" t="str">
        <f>VLOOKUP(A1,$D$257:$E$397,2,0)</f>
        <v>Ac. de Ki incrementada (1)</v>
      </c>
      <c r="D258" s="981">
        <f t="shared" ref="D258:D321" si="31">COUNTIF($E$257:$E$392,"&lt;="&amp;E258)-COUNTIF($E$257:$E$392,"*&gt;*")</f>
        <v>110</v>
      </c>
      <c r="E258" s="56" t="s">
        <v>2294</v>
      </c>
      <c r="F258" s="2145">
        <v>2</v>
      </c>
      <c r="G258" s="2145">
        <f>COUNTIF(Principal!$C$35:$J$53,Tablas!E258)</f>
        <v>0</v>
      </c>
      <c r="H258" s="2146">
        <f t="shared" si="30"/>
        <v>0</v>
      </c>
      <c r="I258" s="986"/>
      <c r="J258" s="2150" t="s">
        <v>2892</v>
      </c>
      <c r="L258" s="629" t="str">
        <f t="shared" si="24"/>
        <v>Sangre de los Muertos</v>
      </c>
      <c r="M258" s="981">
        <f t="shared" si="23"/>
        <v>22</v>
      </c>
      <c r="N258" s="56" t="s">
        <v>2592</v>
      </c>
      <c r="O258" s="2151">
        <f>1+IF(Principal!$Y$24="No",1,0)</f>
        <v>1</v>
      </c>
      <c r="P258" s="2146">
        <f>COUNTIF(Principal!$C$35:$J$53,Tablas!N258)</f>
        <v>0</v>
      </c>
      <c r="Q258" s="2145">
        <f t="shared" si="28"/>
        <v>0</v>
      </c>
      <c r="R258" s="2445" t="s">
        <v>8658</v>
      </c>
      <c r="S258" s="1321"/>
      <c r="T258" s="2449" t="str">
        <f t="shared" si="29"/>
        <v/>
      </c>
    </row>
    <row r="259" spans="1:26" ht="12.75" customHeight="1" x14ac:dyDescent="0.2">
      <c r="A259" s="242">
        <v>259</v>
      </c>
      <c r="B259" s="5664"/>
      <c r="C259" s="2149" t="str">
        <f t="shared" ref="C259:C322" si="32">VLOOKUP(A2,$D$257:$E$397,2,0)</f>
        <v>Ac. de Ki incrementada (2)</v>
      </c>
      <c r="D259" s="981">
        <f t="shared" si="31"/>
        <v>94</v>
      </c>
      <c r="E259" s="56" t="s">
        <v>2295</v>
      </c>
      <c r="F259" s="2145">
        <v>1</v>
      </c>
      <c r="G259" s="2145">
        <f>COUNTIF(Principal!$C$35:$J$53,Tablas!E259)</f>
        <v>0</v>
      </c>
      <c r="H259" s="2146">
        <f t="shared" si="30"/>
        <v>0</v>
      </c>
      <c r="I259" s="986">
        <v>1</v>
      </c>
      <c r="J259" s="2150" t="s">
        <v>2892</v>
      </c>
      <c r="L259" s="629" t="str">
        <f t="shared" si="24"/>
        <v>Sangre Eterna</v>
      </c>
      <c r="M259" s="981">
        <f t="shared" si="23"/>
        <v>25</v>
      </c>
      <c r="N259" s="56" t="s">
        <v>2593</v>
      </c>
      <c r="O259" s="2151">
        <f>1+IF(Principal!$Y$24="No",1,0)</f>
        <v>1</v>
      </c>
      <c r="P259" s="2146">
        <f>COUNTIF(Principal!$C$35:$J$53,Tablas!N259)</f>
        <v>0</v>
      </c>
      <c r="Q259" s="2145">
        <f t="shared" si="28"/>
        <v>0</v>
      </c>
      <c r="R259" s="2445" t="s">
        <v>8659</v>
      </c>
      <c r="S259" s="1321"/>
      <c r="T259" s="2449" t="str">
        <f t="shared" si="29"/>
        <v/>
      </c>
    </row>
    <row r="260" spans="1:26" ht="12.75" customHeight="1" x14ac:dyDescent="0.2">
      <c r="A260" s="242">
        <v>260</v>
      </c>
      <c r="B260" s="5664"/>
      <c r="C260" s="2149" t="str">
        <f t="shared" si="32"/>
        <v>Acc. psíquico natural (1)</v>
      </c>
      <c r="D260" s="981">
        <f t="shared" si="31"/>
        <v>95</v>
      </c>
      <c r="E260" s="56" t="s">
        <v>2296</v>
      </c>
      <c r="F260" s="2145">
        <v>2</v>
      </c>
      <c r="G260" s="2145">
        <f>COUNTIF(Principal!$C$35:$J$53,Tablas!E260)</f>
        <v>0</v>
      </c>
      <c r="H260" s="2146">
        <f t="shared" si="30"/>
        <v>0</v>
      </c>
      <c r="I260" s="986">
        <v>1</v>
      </c>
      <c r="J260" s="2150" t="s">
        <v>2892</v>
      </c>
      <c r="L260" s="629" t="str">
        <f t="shared" si="24"/>
        <v>Sangre Kami: Sr. de la Guerra</v>
      </c>
      <c r="M260" s="981">
        <f t="shared" si="23"/>
        <v>18</v>
      </c>
      <c r="N260" s="56" t="s">
        <v>2594</v>
      </c>
      <c r="O260" s="2151">
        <f>1+IF(Principal!$Y$24="No",1,0)</f>
        <v>1</v>
      </c>
      <c r="P260" s="2146">
        <f>COUNTIF(Principal!$C$35:$J$53,Tablas!N260)</f>
        <v>0</v>
      </c>
      <c r="Q260" s="2145">
        <f t="shared" si="28"/>
        <v>0</v>
      </c>
      <c r="R260" s="2445" t="s">
        <v>8660</v>
      </c>
      <c r="S260" s="1321"/>
      <c r="T260" s="2449" t="str">
        <f t="shared" si="29"/>
        <v/>
      </c>
    </row>
    <row r="261" spans="1:26" ht="12.75" customHeight="1" x14ac:dyDescent="0.2">
      <c r="A261" s="242">
        <v>261</v>
      </c>
      <c r="B261" s="5664"/>
      <c r="C261" s="2149" t="str">
        <f t="shared" si="32"/>
        <v>Acc. psíquico natural (2)</v>
      </c>
      <c r="D261" s="981">
        <f t="shared" si="31"/>
        <v>96</v>
      </c>
      <c r="E261" s="56" t="s">
        <v>2297</v>
      </c>
      <c r="F261" s="2145">
        <v>1</v>
      </c>
      <c r="G261" s="2145">
        <f>COUNTIF(Principal!$C$35:$J$53,Tablas!E261)</f>
        <v>0</v>
      </c>
      <c r="H261" s="2146">
        <f t="shared" si="30"/>
        <v>0</v>
      </c>
      <c r="I261" s="986">
        <v>1</v>
      </c>
      <c r="J261" s="2150" t="s">
        <v>2892</v>
      </c>
      <c r="L261" s="629" t="str">
        <f t="shared" si="24"/>
        <v>Sangre Latente</v>
      </c>
      <c r="M261" s="981">
        <f t="shared" si="23"/>
        <v>26</v>
      </c>
      <c r="N261" s="56" t="s">
        <v>2595</v>
      </c>
      <c r="O261" s="2151">
        <f>1+IF(Principal!$Y$24="No",1,0)</f>
        <v>1</v>
      </c>
      <c r="P261" s="2146">
        <f>COUNTIF(Principal!$C$35:$J$53,Tablas!N261)</f>
        <v>0</v>
      </c>
      <c r="Q261" s="2145">
        <f t="shared" si="28"/>
        <v>0</v>
      </c>
      <c r="R261" s="2445" t="s">
        <v>8661</v>
      </c>
      <c r="S261" s="1321"/>
      <c r="T261" s="2449" t="str">
        <f t="shared" si="29"/>
        <v/>
      </c>
    </row>
    <row r="262" spans="1:26" ht="12.75" customHeight="1" x14ac:dyDescent="0.2">
      <c r="A262" s="242">
        <v>262</v>
      </c>
      <c r="B262" s="5664"/>
      <c r="C262" s="2149" t="str">
        <f t="shared" si="32"/>
        <v>Acc. psíquico natural (3)</v>
      </c>
      <c r="D262" s="981">
        <f t="shared" si="31"/>
        <v>97</v>
      </c>
      <c r="E262" s="56" t="s">
        <v>2298</v>
      </c>
      <c r="F262" s="2145">
        <v>2</v>
      </c>
      <c r="G262" s="2145">
        <f>COUNTIF(Principal!$C$35:$J$53,Tablas!E262)</f>
        <v>0</v>
      </c>
      <c r="H262" s="2146">
        <f t="shared" si="30"/>
        <v>0</v>
      </c>
      <c r="I262" s="986">
        <v>1</v>
      </c>
      <c r="J262" s="2150" t="s">
        <v>2892</v>
      </c>
      <c r="L262" s="629" t="str">
        <f>N262</f>
        <v>&gt; LEGADOS PERSONALIZADOS</v>
      </c>
      <c r="M262" s="981">
        <f>1</f>
        <v>1</v>
      </c>
      <c r="N262" s="56" t="s">
        <v>9880</v>
      </c>
      <c r="O262" s="2151"/>
      <c r="P262" s="2146"/>
      <c r="Q262" s="2145"/>
      <c r="R262" s="2445"/>
      <c r="S262" s="1321"/>
      <c r="T262" s="2449" t="str">
        <f t="shared" ref="T262:T265" si="33">IF(P262=0,"",R262)</f>
        <v/>
      </c>
      <c r="U262" s="237"/>
      <c r="V262" s="238"/>
      <c r="X262" s="624"/>
    </row>
    <row r="263" spans="1:26" ht="12.75" customHeight="1" x14ac:dyDescent="0.2">
      <c r="A263" s="242">
        <v>263</v>
      </c>
      <c r="B263" s="5664"/>
      <c r="C263" s="2149" t="str">
        <f t="shared" si="32"/>
        <v>Acceso a 1 disciplina psiquica</v>
      </c>
      <c r="D263" s="981">
        <f t="shared" si="31"/>
        <v>98</v>
      </c>
      <c r="E263" s="980" t="s">
        <v>2299</v>
      </c>
      <c r="F263" s="2145">
        <v>1</v>
      </c>
      <c r="G263" s="2145">
        <f>COUNTIF(Principal!$C$35:$J$53,Tablas!E263)</f>
        <v>0</v>
      </c>
      <c r="H263" s="2146">
        <f t="shared" si="30"/>
        <v>0</v>
      </c>
      <c r="I263" s="986">
        <v>1</v>
      </c>
      <c r="J263" s="2150" t="s">
        <v>2892</v>
      </c>
      <c r="L263" s="629" t="str">
        <f>N263</f>
        <v>Legado Personalizado #1</v>
      </c>
      <c r="M263" s="981">
        <v>2</v>
      </c>
      <c r="N263" s="56" t="str">
        <f>IF(Personalización!V78="","Legado Personalizado #1",Personalización!V78)</f>
        <v>Legado Personalizado #1</v>
      </c>
      <c r="O263" s="2151">
        <f>Personalización!AB78+IF(Principal!$Y$24="No",1,0)</f>
        <v>0</v>
      </c>
      <c r="P263" s="2146">
        <f>COUNTIF(Principal!$C$35:$J$53,Tablas!N263)</f>
        <v>0</v>
      </c>
      <c r="Q263" s="2145">
        <f>P263*O263</f>
        <v>0</v>
      </c>
      <c r="R263" s="2445" t="str">
        <f>", "&amp;N263</f>
        <v>, Legado Personalizado #1</v>
      </c>
      <c r="S263" s="1321"/>
      <c r="T263" s="2449" t="str">
        <f t="shared" si="33"/>
        <v/>
      </c>
      <c r="X263" s="624"/>
    </row>
    <row r="264" spans="1:26" ht="12.75" customHeight="1" x14ac:dyDescent="0.2">
      <c r="A264" s="242">
        <v>264</v>
      </c>
      <c r="B264" s="5664"/>
      <c r="C264" s="2149" t="str">
        <f t="shared" si="32"/>
        <v>Acceso libre a dis. psiquicas</v>
      </c>
      <c r="D264" s="981">
        <f t="shared" si="31"/>
        <v>99</v>
      </c>
      <c r="E264" s="980" t="s">
        <v>2300</v>
      </c>
      <c r="F264" s="2145">
        <v>2</v>
      </c>
      <c r="G264" s="2145">
        <f>COUNTIF(Principal!$C$35:$J$53,Tablas!E264)</f>
        <v>0</v>
      </c>
      <c r="H264" s="2146">
        <f t="shared" si="30"/>
        <v>0</v>
      </c>
      <c r="I264" s="986">
        <v>1</v>
      </c>
      <c r="J264" s="2150" t="s">
        <v>2892</v>
      </c>
      <c r="L264" s="629" t="str">
        <f t="shared" ref="L264:L265" si="34">N264</f>
        <v>Legado Personalizado #2</v>
      </c>
      <c r="M264" s="981">
        <v>3</v>
      </c>
      <c r="N264" s="56" t="str">
        <f>IF(Personalización!V79="","Legado Personalizado #2",Personalización!V79)</f>
        <v>Legado Personalizado #2</v>
      </c>
      <c r="O264" s="2151">
        <f>Personalización!AB79+IF(Principal!$Y$24="No",1,0)</f>
        <v>0</v>
      </c>
      <c r="P264" s="2146">
        <f>COUNTIF(Principal!$C$35:$J$53,Tablas!N264)</f>
        <v>0</v>
      </c>
      <c r="Q264" s="2145">
        <f t="shared" ref="Q264:Q265" si="35">P264*O264</f>
        <v>0</v>
      </c>
      <c r="R264" s="2445" t="str">
        <f t="shared" ref="R264:R265" si="36">", "&amp;N264</f>
        <v>, Legado Personalizado #2</v>
      </c>
      <c r="S264" s="1321"/>
      <c r="T264" s="2449" t="str">
        <f t="shared" si="33"/>
        <v/>
      </c>
    </row>
    <row r="265" spans="1:26" ht="12.75" customHeight="1" thickBot="1" x14ac:dyDescent="0.25">
      <c r="A265" s="242">
        <v>265</v>
      </c>
      <c r="B265" s="5664"/>
      <c r="C265" s="2149" t="str">
        <f t="shared" si="32"/>
        <v>Acumulación plena</v>
      </c>
      <c r="D265" s="981">
        <f t="shared" si="31"/>
        <v>6</v>
      </c>
      <c r="E265" s="660" t="s">
        <v>2301</v>
      </c>
      <c r="F265" s="2151">
        <v>1</v>
      </c>
      <c r="G265" s="2145">
        <f>COUNTIF(Principal!$C$35:$J$53,Tablas!E265)</f>
        <v>0</v>
      </c>
      <c r="H265" s="2146">
        <f t="shared" si="30"/>
        <v>0</v>
      </c>
      <c r="I265" s="986"/>
      <c r="J265" s="2150" t="s">
        <v>2892</v>
      </c>
      <c r="L265" s="1333" t="str">
        <f t="shared" si="34"/>
        <v>Legado Personalizado #3</v>
      </c>
      <c r="M265" s="1334">
        <v>4</v>
      </c>
      <c r="N265" s="686" t="str">
        <f>IF(Personalización!V80="","Legado Personalizado #3",Personalización!V80)</f>
        <v>Legado Personalizado #3</v>
      </c>
      <c r="O265" s="2450">
        <f>Personalización!AB80+IF(Principal!$Y$24="No",1,0)</f>
        <v>0</v>
      </c>
      <c r="P265" s="2451">
        <f>COUNTIF(Principal!$C$35:$J$53,Tablas!N265)</f>
        <v>0</v>
      </c>
      <c r="Q265" s="2452">
        <f t="shared" si="35"/>
        <v>0</v>
      </c>
      <c r="R265" s="2453" t="str">
        <f t="shared" si="36"/>
        <v>, Legado Personalizado #3</v>
      </c>
      <c r="S265" s="2454"/>
      <c r="T265" s="2455" t="str">
        <f t="shared" si="33"/>
        <v/>
      </c>
    </row>
    <row r="266" spans="1:26" ht="12.75" customHeight="1" thickBot="1" x14ac:dyDescent="0.25">
      <c r="A266" s="242">
        <v>266</v>
      </c>
      <c r="B266" s="5664"/>
      <c r="C266" s="2149" t="str">
        <f t="shared" si="32"/>
        <v>Afinidad animal</v>
      </c>
      <c r="D266" s="981">
        <f t="shared" si="31"/>
        <v>7</v>
      </c>
      <c r="E266" s="56" t="s">
        <v>2302</v>
      </c>
      <c r="F266" s="2151">
        <v>2</v>
      </c>
      <c r="G266" s="2145">
        <f>COUNTIF(Principal!$C$35:$J$53,Tablas!E266)</f>
        <v>0</v>
      </c>
      <c r="H266" s="2146">
        <f t="shared" si="30"/>
        <v>0</v>
      </c>
      <c r="I266" s="986"/>
      <c r="J266" s="2150" t="s">
        <v>2892</v>
      </c>
      <c r="N266"/>
      <c r="Q266" s="5669">
        <f>SUM(Q236:Q265)</f>
        <v>0</v>
      </c>
      <c r="R266" s="2446" t="str">
        <f>MID(T236&amp;T237&amp;T238&amp;T239&amp;T240&amp;T241&amp;T242&amp;T243&amp;T244&amp;T245&amp;T246&amp;T247&amp;T248&amp;T249&amp;T250&amp;T251&amp;T252&amp;T253&amp;T254&amp;T255&amp;T256&amp;T257&amp;T258&amp;T259&amp;T260&amp;T261&amp;T263&amp;T264&amp;T265,3,20000)</f>
        <v/>
      </c>
      <c r="S266" s="2447"/>
      <c r="T266" s="2447"/>
    </row>
    <row r="267" spans="1:26" ht="12.75" customHeight="1" thickBot="1" x14ac:dyDescent="0.25">
      <c r="A267" s="242">
        <v>267</v>
      </c>
      <c r="B267" s="5664"/>
      <c r="C267" s="2149" t="str">
        <f t="shared" si="32"/>
        <v>Afinidad de uso</v>
      </c>
      <c r="D267" s="981">
        <f t="shared" si="31"/>
        <v>9</v>
      </c>
      <c r="E267" s="56" t="s">
        <v>2303</v>
      </c>
      <c r="F267" s="2151">
        <v>1</v>
      </c>
      <c r="G267" s="2145">
        <f>COUNTIF(Principal!$C$35:$J$53,Tablas!E267)</f>
        <v>0</v>
      </c>
      <c r="H267" s="2146">
        <f t="shared" si="30"/>
        <v>0</v>
      </c>
      <c r="I267" s="986"/>
      <c r="J267" s="2150" t="s">
        <v>2892</v>
      </c>
      <c r="N267"/>
      <c r="Q267" s="5670"/>
    </row>
    <row r="268" spans="1:26" ht="13.5" customHeight="1" thickBot="1" x14ac:dyDescent="0.25">
      <c r="A268" s="242">
        <v>268</v>
      </c>
      <c r="B268" s="5664"/>
      <c r="C268" s="2149" t="str">
        <f t="shared" si="32"/>
        <v>Afortunado</v>
      </c>
      <c r="D268" s="981">
        <f t="shared" si="31"/>
        <v>91</v>
      </c>
      <c r="E268" s="56" t="s">
        <v>2304</v>
      </c>
      <c r="F268" s="2151">
        <v>1</v>
      </c>
      <c r="G268" s="2145">
        <f>COUNTIF(Principal!$C$35:$J$53,Tablas!E268)</f>
        <v>0</v>
      </c>
      <c r="H268" s="2146">
        <f t="shared" si="30"/>
        <v>0</v>
      </c>
      <c r="I268" s="986">
        <v>1</v>
      </c>
      <c r="J268" s="2150" t="s">
        <v>2892</v>
      </c>
    </row>
    <row r="269" spans="1:26" ht="12.75" customHeight="1" x14ac:dyDescent="0.2">
      <c r="A269" s="242">
        <v>269</v>
      </c>
      <c r="B269" s="5664"/>
      <c r="C269" s="2149" t="str">
        <f t="shared" si="32"/>
        <v>Al límite</v>
      </c>
      <c r="D269" s="981">
        <f t="shared" si="31"/>
        <v>90</v>
      </c>
      <c r="E269" s="56" t="s">
        <v>2305</v>
      </c>
      <c r="F269" s="2151">
        <v>2</v>
      </c>
      <c r="G269" s="2145">
        <f>COUNTIF(Principal!$C$35:$J$53,Tablas!E269)</f>
        <v>0</v>
      </c>
      <c r="H269" s="2146">
        <f t="shared" si="30"/>
        <v>0</v>
      </c>
      <c r="I269" s="986">
        <v>1</v>
      </c>
      <c r="J269" s="2150" t="s">
        <v>2892</v>
      </c>
      <c r="L269" s="5743" t="s">
        <v>2534</v>
      </c>
      <c r="M269" s="5753"/>
      <c r="N269" s="5753"/>
      <c r="O269" s="5753"/>
      <c r="P269" s="5753"/>
      <c r="Q269" s="5753"/>
      <c r="R269" s="5753"/>
      <c r="S269" s="5753"/>
      <c r="T269" s="5753"/>
      <c r="U269" s="5753"/>
      <c r="V269" s="5753"/>
      <c r="W269" s="5753"/>
      <c r="X269" s="5753"/>
      <c r="Y269" s="5753"/>
      <c r="Z269" s="5744"/>
    </row>
    <row r="270" spans="1:26" ht="12.75" customHeight="1" x14ac:dyDescent="0.2">
      <c r="A270" s="242">
        <v>270</v>
      </c>
      <c r="B270" s="5664"/>
      <c r="C270" s="2149" t="str">
        <f t="shared" si="32"/>
        <v>Ambidestría</v>
      </c>
      <c r="D270" s="981">
        <f t="shared" si="31"/>
        <v>92</v>
      </c>
      <c r="E270" s="56" t="s">
        <v>2306</v>
      </c>
      <c r="F270" s="2145">
        <v>3</v>
      </c>
      <c r="G270" s="2145">
        <f>COUNTIF(Principal!$C$35:$J$53,Tablas!E270)</f>
        <v>0</v>
      </c>
      <c r="H270" s="2146">
        <f t="shared" si="30"/>
        <v>0</v>
      </c>
      <c r="I270" s="986">
        <v>1</v>
      </c>
      <c r="J270" s="2150" t="s">
        <v>2892</v>
      </c>
      <c r="L270" s="5745"/>
      <c r="M270" s="5754"/>
      <c r="N270" s="5754"/>
      <c r="O270" s="5754"/>
      <c r="P270" s="5754"/>
      <c r="Q270" s="5754"/>
      <c r="R270" s="5754"/>
      <c r="S270" s="5754"/>
      <c r="T270" s="5754"/>
      <c r="U270" s="5754"/>
      <c r="V270" s="5754"/>
      <c r="W270" s="5754"/>
      <c r="X270" s="5754"/>
      <c r="Y270" s="5754"/>
      <c r="Z270" s="5746"/>
    </row>
    <row r="271" spans="1:26" ht="12.75" customHeight="1" x14ac:dyDescent="0.2">
      <c r="A271" s="242">
        <v>271</v>
      </c>
      <c r="B271" s="5664"/>
      <c r="C271" s="2149" t="str">
        <f t="shared" si="32"/>
        <v>Apr. natural (2): Atléticas</v>
      </c>
      <c r="D271" s="981">
        <f t="shared" si="31"/>
        <v>106</v>
      </c>
      <c r="E271" s="56" t="s">
        <v>2307</v>
      </c>
      <c r="F271" s="2145">
        <v>1</v>
      </c>
      <c r="G271" s="2145">
        <f>COUNTIF(Principal!$C$35:$J$53,Tablas!E271)</f>
        <v>0</v>
      </c>
      <c r="H271" s="2146">
        <f t="shared" si="30"/>
        <v>0</v>
      </c>
      <c r="I271" s="986">
        <v>1</v>
      </c>
      <c r="J271" s="2150" t="s">
        <v>2892</v>
      </c>
      <c r="L271" s="1110"/>
      <c r="M271" s="222"/>
      <c r="N271" s="5653" t="s">
        <v>1539</v>
      </c>
      <c r="O271" s="5653"/>
      <c r="P271" s="5641" t="s">
        <v>1541</v>
      </c>
      <c r="Q271" s="5641"/>
      <c r="R271" s="5641" t="s">
        <v>1543</v>
      </c>
      <c r="S271" s="5641"/>
      <c r="T271" s="5641" t="s">
        <v>1540</v>
      </c>
      <c r="U271" s="5641"/>
      <c r="V271" s="5641" t="s">
        <v>1542</v>
      </c>
      <c r="W271" s="5641"/>
      <c r="X271" s="5671" t="s">
        <v>1544</v>
      </c>
      <c r="Y271" s="5672"/>
      <c r="Z271" s="5847" t="s">
        <v>7328</v>
      </c>
    </row>
    <row r="272" spans="1:26" ht="12.75" customHeight="1" thickBot="1" x14ac:dyDescent="0.25">
      <c r="A272" s="242">
        <v>272</v>
      </c>
      <c r="B272" s="5664"/>
      <c r="C272" s="2149" t="str">
        <f t="shared" si="32"/>
        <v>Apr. natural (2): Creativas</v>
      </c>
      <c r="D272" s="981">
        <f t="shared" si="31"/>
        <v>13</v>
      </c>
      <c r="E272" s="56" t="s">
        <v>2308</v>
      </c>
      <c r="F272" s="2145">
        <v>1</v>
      </c>
      <c r="G272" s="2145">
        <f>COUNTIF(Principal!$C$35:$J$53,Tablas!E272)</f>
        <v>0</v>
      </c>
      <c r="H272" s="2146">
        <f t="shared" si="30"/>
        <v>0</v>
      </c>
      <c r="I272" s="986">
        <v>1</v>
      </c>
      <c r="J272" s="2150" t="s">
        <v>2892</v>
      </c>
      <c r="L272" s="1111" t="s">
        <v>1407</v>
      </c>
      <c r="M272" s="1108" t="s">
        <v>1449</v>
      </c>
      <c r="N272" s="183" t="s">
        <v>1498</v>
      </c>
      <c r="O272" s="183" t="s">
        <v>2289</v>
      </c>
      <c r="P272" s="233" t="s">
        <v>1498</v>
      </c>
      <c r="Q272" s="183" t="s">
        <v>2289</v>
      </c>
      <c r="R272" s="233" t="s">
        <v>1498</v>
      </c>
      <c r="S272" s="671" t="s">
        <v>2289</v>
      </c>
      <c r="T272" s="233" t="s">
        <v>1498</v>
      </c>
      <c r="U272" s="183" t="s">
        <v>2289</v>
      </c>
      <c r="V272" s="233" t="s">
        <v>1498</v>
      </c>
      <c r="W272" s="183" t="s">
        <v>2289</v>
      </c>
      <c r="X272" s="233" t="s">
        <v>1498</v>
      </c>
      <c r="Y272" s="855" t="s">
        <v>2289</v>
      </c>
      <c r="Z272" s="5848"/>
    </row>
    <row r="273" spans="1:26" ht="12.75" customHeight="1" x14ac:dyDescent="0.2">
      <c r="A273" s="242">
        <v>273</v>
      </c>
      <c r="B273" s="5664"/>
      <c r="C273" s="2149" t="str">
        <f t="shared" si="32"/>
        <v>Apr. natural (2): Intelectuales</v>
      </c>
      <c r="D273" s="981">
        <f t="shared" si="31"/>
        <v>56</v>
      </c>
      <c r="E273" s="56" t="s">
        <v>2309</v>
      </c>
      <c r="F273" s="2145">
        <v>2</v>
      </c>
      <c r="G273" s="2145">
        <f>COUNTIF(Principal!$C$35:$J$53,Tablas!E273)</f>
        <v>0</v>
      </c>
      <c r="H273" s="2146">
        <f t="shared" si="30"/>
        <v>0</v>
      </c>
      <c r="I273" s="986">
        <v>2</v>
      </c>
      <c r="J273" s="2150" t="s">
        <v>2892</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664"/>
      <c r="C274" s="2149" t="str">
        <f t="shared" si="32"/>
        <v>Apr. natural (2): Perceptivas</v>
      </c>
      <c r="D274" s="981">
        <f t="shared" si="31"/>
        <v>128</v>
      </c>
      <c r="E274" s="56" t="s">
        <v>1924</v>
      </c>
      <c r="F274" s="2145">
        <v>1</v>
      </c>
      <c r="G274" s="2145">
        <f>COUNTIF(Principal!$C$35:$J$53,Tablas!E274)</f>
        <v>0</v>
      </c>
      <c r="H274" s="2146">
        <f t="shared" si="30"/>
        <v>0</v>
      </c>
      <c r="I274" s="986"/>
      <c r="J274" s="2150" t="s">
        <v>2892</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664"/>
      <c r="C275" s="2149" t="str">
        <f t="shared" si="32"/>
        <v>Apr. natural (2): Sociales</v>
      </c>
      <c r="D275" s="981">
        <f t="shared" si="31"/>
        <v>74</v>
      </c>
      <c r="E275" s="56" t="s">
        <v>2310</v>
      </c>
      <c r="F275" s="2145">
        <v>1</v>
      </c>
      <c r="G275" s="2145">
        <f>COUNTIF(Principal!$C$35:$J$53,Tablas!E275)</f>
        <v>0</v>
      </c>
      <c r="H275" s="2146">
        <f t="shared" si="30"/>
        <v>0</v>
      </c>
      <c r="I275" s="986"/>
      <c r="J275" s="2150" t="s">
        <v>2892</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664"/>
      <c r="C276" s="2149" t="str">
        <f t="shared" si="32"/>
        <v>Apr. natural (2): Subterfugio</v>
      </c>
      <c r="D276" s="981">
        <f t="shared" si="31"/>
        <v>42</v>
      </c>
      <c r="E276" s="56" t="s">
        <v>1539</v>
      </c>
      <c r="F276" s="2145">
        <v>1</v>
      </c>
      <c r="G276" s="2145">
        <f>COUNTIF(Principal!$C$35:$J$53,Tablas!E276)</f>
        <v>0</v>
      </c>
      <c r="H276" s="2146">
        <f t="shared" si="30"/>
        <v>0</v>
      </c>
      <c r="I276" s="986">
        <v>1</v>
      </c>
      <c r="J276" s="2150" t="s">
        <v>2892</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664"/>
      <c r="C277" s="2149" t="str">
        <f t="shared" si="32"/>
        <v>Apr. natural (2): Vigor</v>
      </c>
      <c r="D277" s="981">
        <f t="shared" si="31"/>
        <v>43</v>
      </c>
      <c r="E277" s="56" t="s">
        <v>1541</v>
      </c>
      <c r="F277" s="2145">
        <v>2</v>
      </c>
      <c r="G277" s="2145">
        <f>COUNTIF(Principal!$C$35:$J$53,Tablas!E277)</f>
        <v>0</v>
      </c>
      <c r="H277" s="2146">
        <f t="shared" si="30"/>
        <v>0</v>
      </c>
      <c r="I277" s="986">
        <v>1</v>
      </c>
      <c r="J277" s="2150" t="s">
        <v>2892</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664"/>
      <c r="C278" s="2149" t="str">
        <f t="shared" si="32"/>
        <v>Apr. natural (3): Atléticas</v>
      </c>
      <c r="D278" s="981">
        <f t="shared" si="31"/>
        <v>44</v>
      </c>
      <c r="E278" s="56" t="s">
        <v>1543</v>
      </c>
      <c r="F278" s="2145">
        <v>3</v>
      </c>
      <c r="G278" s="2145">
        <f>COUNTIF(Principal!$C$35:$J$53,Tablas!E278)</f>
        <v>0</v>
      </c>
      <c r="H278" s="2146">
        <f t="shared" si="30"/>
        <v>0</v>
      </c>
      <c r="I278" s="986">
        <v>1</v>
      </c>
      <c r="J278" s="2150" t="s">
        <v>2892</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664"/>
      <c r="C279" s="2149" t="str">
        <f t="shared" si="32"/>
        <v>Apr. natural (3): Creativas</v>
      </c>
      <c r="D279" s="981">
        <f t="shared" si="31"/>
        <v>35</v>
      </c>
      <c r="E279" s="56" t="s">
        <v>2311</v>
      </c>
      <c r="F279" s="2145">
        <v>2</v>
      </c>
      <c r="G279" s="2145">
        <f>COUNTIF(Principal!$C$35:$J$53,Tablas!E279)</f>
        <v>0</v>
      </c>
      <c r="H279" s="2146">
        <f t="shared" si="30"/>
        <v>0</v>
      </c>
      <c r="I279" s="986">
        <v>1</v>
      </c>
      <c r="J279" s="2150" t="s">
        <v>2892</v>
      </c>
      <c r="L279" s="542" t="s">
        <v>1412</v>
      </c>
      <c r="M279" s="1109" t="s">
        <v>6431</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664"/>
      <c r="C280" s="2149" t="str">
        <f t="shared" si="32"/>
        <v>Apr. natural (3): Intelectuales</v>
      </c>
      <c r="D280" s="981">
        <f t="shared" si="31"/>
        <v>39</v>
      </c>
      <c r="E280" s="56" t="s">
        <v>2312</v>
      </c>
      <c r="F280" s="2145">
        <v>2</v>
      </c>
      <c r="G280" s="2145">
        <f>COUNTIF(Principal!$C$35:$J$53,Tablas!E280)</f>
        <v>0</v>
      </c>
      <c r="H280" s="2146">
        <f t="shared" si="30"/>
        <v>0</v>
      </c>
      <c r="I280" s="986">
        <v>1</v>
      </c>
      <c r="J280" s="2150" t="s">
        <v>2892</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664"/>
      <c r="C281" s="2149" t="str">
        <f t="shared" si="32"/>
        <v>Apr. natural (3): Perceptivas</v>
      </c>
      <c r="D281" s="981">
        <f t="shared" si="31"/>
        <v>38</v>
      </c>
      <c r="E281" s="56" t="s">
        <v>2313</v>
      </c>
      <c r="F281" s="2145">
        <v>2</v>
      </c>
      <c r="G281" s="2145">
        <f>COUNTIF(Principal!$C$35:$J$53,Tablas!E281)</f>
        <v>0</v>
      </c>
      <c r="H281" s="2146">
        <f t="shared" si="30"/>
        <v>0</v>
      </c>
      <c r="I281" s="986">
        <v>1</v>
      </c>
      <c r="J281" s="2150" t="s">
        <v>2892</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664"/>
      <c r="C282" s="2149" t="str">
        <f t="shared" si="32"/>
        <v>Apr. natural (3): Sociales</v>
      </c>
      <c r="D282" s="981">
        <f t="shared" si="31"/>
        <v>37</v>
      </c>
      <c r="E282" s="56" t="s">
        <v>2314</v>
      </c>
      <c r="F282" s="2145">
        <v>2</v>
      </c>
      <c r="G282" s="2145">
        <f>COUNTIF(Principal!$C$35:$J$53,Tablas!E282)</f>
        <v>0</v>
      </c>
      <c r="H282" s="2146">
        <f t="shared" si="30"/>
        <v>0</v>
      </c>
      <c r="I282" s="986">
        <v>1</v>
      </c>
      <c r="J282" s="2150" t="s">
        <v>2892</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664"/>
      <c r="C283" s="2149" t="str">
        <f t="shared" si="32"/>
        <v>Apr. natural (3): Subterfugio</v>
      </c>
      <c r="D283" s="981">
        <f t="shared" si="31"/>
        <v>41</v>
      </c>
      <c r="E283" s="56" t="s">
        <v>2315</v>
      </c>
      <c r="F283" s="2145">
        <v>2</v>
      </c>
      <c r="G283" s="2145">
        <f>COUNTIF(Principal!$C$35:$J$53,Tablas!E283)</f>
        <v>0</v>
      </c>
      <c r="H283" s="2146">
        <f t="shared" si="30"/>
        <v>0</v>
      </c>
      <c r="I283" s="986">
        <v>1</v>
      </c>
      <c r="J283" s="2150" t="s">
        <v>2892</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664"/>
      <c r="C284" s="2149" t="str">
        <f t="shared" si="32"/>
        <v>Apr. natural (3): Vigor</v>
      </c>
      <c r="D284" s="981">
        <f t="shared" si="31"/>
        <v>40</v>
      </c>
      <c r="E284" s="56" t="s">
        <v>2316</v>
      </c>
      <c r="F284" s="2145">
        <v>2</v>
      </c>
      <c r="G284" s="2145">
        <f>COUNTIF(Principal!$C$35:$J$53,Tablas!E284)</f>
        <v>0</v>
      </c>
      <c r="H284" s="2146">
        <f t="shared" si="30"/>
        <v>0</v>
      </c>
      <c r="I284" s="986">
        <v>1</v>
      </c>
      <c r="J284" s="2150" t="s">
        <v>2892</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664"/>
      <c r="C285" s="2149" t="str">
        <f t="shared" si="32"/>
        <v>Aprendizaje (1)</v>
      </c>
      <c r="D285" s="981">
        <f t="shared" si="31"/>
        <v>36</v>
      </c>
      <c r="E285" s="56" t="s">
        <v>2317</v>
      </c>
      <c r="F285" s="2145">
        <v>2</v>
      </c>
      <c r="G285" s="2145">
        <f>COUNTIF(Principal!$C$35:$J$53,Tablas!E285)</f>
        <v>0</v>
      </c>
      <c r="H285" s="2146">
        <f t="shared" si="30"/>
        <v>0</v>
      </c>
      <c r="I285" s="986">
        <v>1</v>
      </c>
      <c r="J285" s="2150" t="s">
        <v>2892</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664"/>
      <c r="C286" s="2149" t="str">
        <f t="shared" si="32"/>
        <v>Aprendizaje (2)</v>
      </c>
      <c r="D286" s="981">
        <f t="shared" si="31"/>
        <v>32</v>
      </c>
      <c r="E286" s="56" t="s">
        <v>1540</v>
      </c>
      <c r="F286" s="2145">
        <v>1</v>
      </c>
      <c r="G286" s="2145">
        <f>COUNTIF(Principal!$C$35:$J$53,Tablas!E286)</f>
        <v>0</v>
      </c>
      <c r="H286" s="2146">
        <f t="shared" si="30"/>
        <v>0</v>
      </c>
      <c r="I286" s="986">
        <v>1</v>
      </c>
      <c r="J286" s="2150" t="s">
        <v>2892</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664"/>
      <c r="C287" s="2149" t="str">
        <f t="shared" si="32"/>
        <v>Aprendizaje (3)</v>
      </c>
      <c r="D287" s="981">
        <f t="shared" si="31"/>
        <v>33</v>
      </c>
      <c r="E287" s="56" t="s">
        <v>1542</v>
      </c>
      <c r="F287" s="2145">
        <v>2</v>
      </c>
      <c r="G287" s="2145">
        <f>COUNTIF(Principal!$C$35:$J$53,Tablas!E287)</f>
        <v>0</v>
      </c>
      <c r="H287" s="2146">
        <f t="shared" si="30"/>
        <v>0</v>
      </c>
      <c r="I287" s="986">
        <v>1</v>
      </c>
      <c r="J287" s="2150" t="s">
        <v>2892</v>
      </c>
      <c r="L287" s="542" t="s">
        <v>7327</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664"/>
      <c r="C288" s="2149" t="str">
        <f t="shared" si="32"/>
        <v>Aprendizaje marcial</v>
      </c>
      <c r="D288" s="981">
        <f t="shared" si="31"/>
        <v>34</v>
      </c>
      <c r="E288" s="56" t="s">
        <v>1544</v>
      </c>
      <c r="F288" s="2145">
        <v>3</v>
      </c>
      <c r="G288" s="2145">
        <f>COUNTIF(Principal!$C$35:$J$53,Tablas!E288)</f>
        <v>0</v>
      </c>
      <c r="H288" s="2146">
        <f t="shared" si="30"/>
        <v>0</v>
      </c>
      <c r="I288" s="986">
        <v>1</v>
      </c>
      <c r="J288" s="2150" t="s">
        <v>2892</v>
      </c>
      <c r="L288" s="542" t="s">
        <v>7327</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664"/>
      <c r="C289" s="2149" t="str">
        <f t="shared" si="32"/>
        <v>Aprendizaje natural (1)</v>
      </c>
      <c r="D289" s="981">
        <f t="shared" si="31"/>
        <v>14</v>
      </c>
      <c r="E289" s="56" t="s">
        <v>2318</v>
      </c>
      <c r="F289" s="2145">
        <v>2</v>
      </c>
      <c r="G289" s="2145">
        <f>COUNTIF(Principal!$C$35:$J$53,Tablas!E289)</f>
        <v>0</v>
      </c>
      <c r="H289" s="2146">
        <f t="shared" ref="H289:H320" si="37">G289*F289</f>
        <v>0</v>
      </c>
      <c r="I289" s="986">
        <v>1</v>
      </c>
      <c r="J289" s="2150" t="s">
        <v>2892</v>
      </c>
      <c r="L289" s="542" t="s">
        <v>7327</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664"/>
      <c r="C290" s="2149" t="str">
        <f t="shared" si="32"/>
        <v>Aprendizaje natural (2)</v>
      </c>
      <c r="D290" s="981">
        <f t="shared" si="31"/>
        <v>18</v>
      </c>
      <c r="E290" s="56" t="s">
        <v>2319</v>
      </c>
      <c r="F290" s="2145">
        <v>2</v>
      </c>
      <c r="G290" s="2145">
        <f>COUNTIF(Principal!$C$35:$J$53,Tablas!E290)</f>
        <v>0</v>
      </c>
      <c r="H290" s="2146">
        <f t="shared" si="37"/>
        <v>0</v>
      </c>
      <c r="I290" s="986">
        <v>1</v>
      </c>
      <c r="J290" s="2150" t="s">
        <v>2892</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664"/>
      <c r="C291" s="2149" t="str">
        <f t="shared" si="32"/>
        <v>Aprendizaje natural (3)</v>
      </c>
      <c r="D291" s="981">
        <f t="shared" si="31"/>
        <v>17</v>
      </c>
      <c r="E291" s="56" t="s">
        <v>2320</v>
      </c>
      <c r="F291" s="2145">
        <v>2</v>
      </c>
      <c r="G291" s="2145">
        <f>COUNTIF(Principal!$C$35:$J$53,Tablas!E291)</f>
        <v>0</v>
      </c>
      <c r="H291" s="2146">
        <f t="shared" si="37"/>
        <v>0</v>
      </c>
      <c r="I291" s="986">
        <v>1</v>
      </c>
      <c r="J291" s="2150" t="s">
        <v>2892</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664"/>
      <c r="C292" s="2149" t="str">
        <f t="shared" si="32"/>
        <v>Apto en campo: Atléticas</v>
      </c>
      <c r="D292" s="981">
        <f t="shared" si="31"/>
        <v>16</v>
      </c>
      <c r="E292" s="56" t="s">
        <v>2321</v>
      </c>
      <c r="F292" s="2145">
        <v>2</v>
      </c>
      <c r="G292" s="2145">
        <f>COUNTIF(Principal!$C$35:$J$53,Tablas!E292)</f>
        <v>0</v>
      </c>
      <c r="H292" s="2146">
        <f t="shared" si="37"/>
        <v>0</v>
      </c>
      <c r="I292" s="986">
        <v>1</v>
      </c>
      <c r="J292" s="2150" t="s">
        <v>2892</v>
      </c>
      <c r="L292" s="542" t="s">
        <v>1443</v>
      </c>
      <c r="M292" s="1109" t="s">
        <v>2639</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664"/>
      <c r="C293" s="2149" t="str">
        <f t="shared" si="32"/>
        <v>Apto en campo: Creativas</v>
      </c>
      <c r="D293" s="981">
        <f t="shared" si="31"/>
        <v>20</v>
      </c>
      <c r="E293" s="56" t="s">
        <v>2322</v>
      </c>
      <c r="F293" s="2145">
        <v>2</v>
      </c>
      <c r="G293" s="2145">
        <f>COUNTIF(Principal!$C$35:$J$53,Tablas!E293)</f>
        <v>0</v>
      </c>
      <c r="H293" s="2146">
        <f t="shared" si="37"/>
        <v>0</v>
      </c>
      <c r="I293" s="986">
        <v>1</v>
      </c>
      <c r="J293" s="2150" t="s">
        <v>2892</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664"/>
      <c r="C294" s="2149" t="str">
        <f t="shared" si="32"/>
        <v>Apto en campo: Intelectuales</v>
      </c>
      <c r="D294" s="981">
        <f t="shared" si="31"/>
        <v>19</v>
      </c>
      <c r="E294" s="56" t="s">
        <v>2323</v>
      </c>
      <c r="F294" s="2145">
        <v>2</v>
      </c>
      <c r="G294" s="2145">
        <f>COUNTIF(Principal!$C$35:$J$53,Tablas!E294)</f>
        <v>0</v>
      </c>
      <c r="H294" s="2146">
        <f t="shared" si="37"/>
        <v>0</v>
      </c>
      <c r="I294" s="986">
        <v>1</v>
      </c>
      <c r="J294" s="2150" t="s">
        <v>2892</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664"/>
      <c r="C295" s="2149" t="str">
        <f t="shared" si="32"/>
        <v>Apto en campo: Perceptivas</v>
      </c>
      <c r="D295" s="981">
        <f t="shared" si="31"/>
        <v>15</v>
      </c>
      <c r="E295" s="56" t="s">
        <v>2324</v>
      </c>
      <c r="F295" s="2145">
        <v>2</v>
      </c>
      <c r="G295" s="2145">
        <f>COUNTIF(Principal!$C$35:$J$53,Tablas!E295)</f>
        <v>0</v>
      </c>
      <c r="H295" s="2146">
        <f t="shared" si="37"/>
        <v>0</v>
      </c>
      <c r="I295" s="986">
        <v>1</v>
      </c>
      <c r="J295" s="2150" t="s">
        <v>2892</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664"/>
      <c r="C296" s="2149" t="str">
        <f t="shared" si="32"/>
        <v>Apto en campo: Sociales</v>
      </c>
      <c r="D296" s="981">
        <f t="shared" si="31"/>
        <v>21</v>
      </c>
      <c r="E296" s="56" t="s">
        <v>2325</v>
      </c>
      <c r="F296" s="2145">
        <v>3</v>
      </c>
      <c r="G296" s="2145">
        <f>COUNTIF(Principal!$C$35:$J$53,Tablas!E296)</f>
        <v>0</v>
      </c>
      <c r="H296" s="2146">
        <f t="shared" si="37"/>
        <v>0</v>
      </c>
      <c r="I296" s="986">
        <v>1</v>
      </c>
      <c r="J296" s="2150" t="s">
        <v>2892</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664"/>
      <c r="C297" s="2149" t="str">
        <f t="shared" si="32"/>
        <v>Apto en campo: Subterfugio</v>
      </c>
      <c r="D297" s="981">
        <f t="shared" si="31"/>
        <v>25</v>
      </c>
      <c r="E297" s="56" t="s">
        <v>2326</v>
      </c>
      <c r="F297" s="2145">
        <v>3</v>
      </c>
      <c r="G297" s="2145">
        <f>COUNTIF(Principal!$C$35:$J$53,Tablas!E297)</f>
        <v>0</v>
      </c>
      <c r="H297" s="2146">
        <f t="shared" si="37"/>
        <v>0</v>
      </c>
      <c r="I297" s="986">
        <v>1</v>
      </c>
      <c r="J297" s="2150" t="s">
        <v>2892</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664"/>
      <c r="C298" s="2149" t="str">
        <f t="shared" si="32"/>
        <v>Apto en campo: Vigor</v>
      </c>
      <c r="D298" s="981">
        <f t="shared" si="31"/>
        <v>24</v>
      </c>
      <c r="E298" s="56" t="s">
        <v>2327</v>
      </c>
      <c r="F298" s="2145">
        <v>3</v>
      </c>
      <c r="G298" s="2145">
        <f>COUNTIF(Principal!$C$35:$J$53,Tablas!E298)</f>
        <v>0</v>
      </c>
      <c r="H298" s="2146">
        <f t="shared" si="37"/>
        <v>0</v>
      </c>
      <c r="I298" s="986">
        <v>1</v>
      </c>
      <c r="J298" s="2150" t="s">
        <v>2892</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664"/>
      <c r="C299" s="2149" t="str">
        <f t="shared" si="32"/>
        <v>Apto en una materia (1)</v>
      </c>
      <c r="D299" s="981">
        <f t="shared" si="31"/>
        <v>23</v>
      </c>
      <c r="E299" s="56" t="s">
        <v>2328</v>
      </c>
      <c r="F299" s="2145">
        <v>3</v>
      </c>
      <c r="G299" s="2145">
        <f>COUNTIF(Principal!$C$35:$J$53,Tablas!E299)</f>
        <v>0</v>
      </c>
      <c r="H299" s="2146">
        <f t="shared" si="37"/>
        <v>0</v>
      </c>
      <c r="I299" s="986">
        <v>1</v>
      </c>
      <c r="J299" s="2150" t="s">
        <v>2892</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664"/>
      <c r="C300" s="2149" t="str">
        <f t="shared" si="32"/>
        <v>Apto en una materia (2)</v>
      </c>
      <c r="D300" s="981">
        <f t="shared" si="31"/>
        <v>27</v>
      </c>
      <c r="E300" s="56" t="s">
        <v>2329</v>
      </c>
      <c r="F300" s="2145">
        <v>3</v>
      </c>
      <c r="G300" s="2145">
        <f>COUNTIF(Principal!$C$35:$J$53,Tablas!E300)</f>
        <v>0</v>
      </c>
      <c r="H300" s="2146">
        <f t="shared" si="37"/>
        <v>0</v>
      </c>
      <c r="I300" s="986">
        <v>1</v>
      </c>
      <c r="J300" s="2150" t="s">
        <v>2892</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664"/>
      <c r="C301" s="2149" t="str">
        <f t="shared" si="32"/>
        <v>Apto en una materia (3)</v>
      </c>
      <c r="D301" s="981">
        <f t="shared" si="31"/>
        <v>26</v>
      </c>
      <c r="E301" s="56" t="s">
        <v>2330</v>
      </c>
      <c r="F301" s="2145">
        <v>3</v>
      </c>
      <c r="G301" s="2145">
        <f>COUNTIF(Principal!$C$35:$J$53,Tablas!E301)</f>
        <v>0</v>
      </c>
      <c r="H301" s="2146">
        <f t="shared" si="37"/>
        <v>0</v>
      </c>
      <c r="I301" s="986">
        <v>1</v>
      </c>
      <c r="J301" s="2150" t="s">
        <v>2892</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664"/>
      <c r="C302" s="2149" t="str">
        <f t="shared" si="32"/>
        <v>Armadura mística</v>
      </c>
      <c r="D302" s="981">
        <f t="shared" si="31"/>
        <v>22</v>
      </c>
      <c r="E302" s="56" t="s">
        <v>2331</v>
      </c>
      <c r="F302" s="2145">
        <v>3</v>
      </c>
      <c r="G302" s="2145">
        <f>COUNTIF(Principal!$C$35:$J$53,Tablas!E302)</f>
        <v>0</v>
      </c>
      <c r="H302" s="2146">
        <f t="shared" si="37"/>
        <v>0</v>
      </c>
      <c r="I302" s="986">
        <v>1</v>
      </c>
      <c r="J302" s="2150" t="s">
        <v>2892</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664"/>
      <c r="C303" s="2149" t="str">
        <f t="shared" si="32"/>
        <v>Armadura natural</v>
      </c>
      <c r="D303" s="981">
        <f t="shared" si="31"/>
        <v>49</v>
      </c>
      <c r="E303" s="56" t="s">
        <v>2332</v>
      </c>
      <c r="F303" s="2145">
        <v>2</v>
      </c>
      <c r="G303" s="2145">
        <f>COUNTIF(Principal!$C$35:$J$53,Tablas!E303)</f>
        <v>0</v>
      </c>
      <c r="H303" s="2146">
        <f t="shared" si="37"/>
        <v>0</v>
      </c>
      <c r="I303" s="986">
        <v>1</v>
      </c>
      <c r="J303" s="2150" t="s">
        <v>2892</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664"/>
      <c r="C304" s="2149" t="str">
        <f t="shared" si="32"/>
        <v>Bono natural incrementado</v>
      </c>
      <c r="D304" s="981">
        <f t="shared" si="31"/>
        <v>108</v>
      </c>
      <c r="E304" s="56" t="s">
        <v>2333</v>
      </c>
      <c r="F304" s="2145">
        <v>1</v>
      </c>
      <c r="G304" s="2145">
        <f>COUNTIF(Principal!$C$35:$J$53,Tablas!E304)</f>
        <v>0</v>
      </c>
      <c r="H304" s="2146">
        <f t="shared" si="37"/>
        <v>0</v>
      </c>
      <c r="I304" s="986"/>
      <c r="J304" s="2150" t="s">
        <v>2892</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664"/>
      <c r="C305" s="2149" t="str">
        <f t="shared" si="32"/>
        <v>Buena suerte</v>
      </c>
      <c r="D305" s="981">
        <f t="shared" si="31"/>
        <v>61</v>
      </c>
      <c r="E305" s="56" t="s">
        <v>2334</v>
      </c>
      <c r="F305" s="2145">
        <v>1</v>
      </c>
      <c r="G305" s="2145">
        <f>COUNTIF(Principal!$C$35:$J$53,Tablas!E305)</f>
        <v>0</v>
      </c>
      <c r="H305" s="2146">
        <f t="shared" si="37"/>
        <v>0</v>
      </c>
      <c r="I305" s="986"/>
      <c r="J305" s="2150" t="s">
        <v>2892</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664"/>
      <c r="C306" s="2149" t="str">
        <f t="shared" si="32"/>
        <v>Con. de todas las materias</v>
      </c>
      <c r="D306" s="981">
        <f t="shared" si="31"/>
        <v>48</v>
      </c>
      <c r="E306" s="56" t="s">
        <v>2335</v>
      </c>
      <c r="F306" s="2145">
        <v>1</v>
      </c>
      <c r="G306" s="2145">
        <f>COUNTIF(Principal!$C$35:$J$53,Tablas!E306)</f>
        <v>0</v>
      </c>
      <c r="H306" s="2146">
        <f t="shared" si="37"/>
        <v>0</v>
      </c>
      <c r="I306" s="986"/>
      <c r="J306" s="2150" t="s">
        <v>2892</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664"/>
      <c r="C307" s="2149" t="str">
        <f t="shared" si="32"/>
        <v>Convocador de masas (1)</v>
      </c>
      <c r="D307" s="981">
        <f t="shared" si="31"/>
        <v>11</v>
      </c>
      <c r="E307" s="56" t="s">
        <v>2336</v>
      </c>
      <c r="F307" s="2145">
        <v>1</v>
      </c>
      <c r="G307" s="2145">
        <f>COUNTIF(Principal!$C$35:$J$53,Tablas!E307)</f>
        <v>0</v>
      </c>
      <c r="H307" s="2146">
        <f t="shared" si="37"/>
        <v>0</v>
      </c>
      <c r="I307" s="986"/>
      <c r="J307" s="2150" t="s">
        <v>2892</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664"/>
      <c r="C308" s="2149" t="str">
        <f t="shared" si="32"/>
        <v>Convocador de masas (2)</v>
      </c>
      <c r="D308" s="981">
        <f t="shared" si="31"/>
        <v>87</v>
      </c>
      <c r="E308" s="56" t="s">
        <v>2337</v>
      </c>
      <c r="F308" s="2145">
        <v>1</v>
      </c>
      <c r="G308" s="2145">
        <f>COUNTIF(Principal!$C$35:$J$53,Tablas!E308)</f>
        <v>0</v>
      </c>
      <c r="H308" s="2146">
        <f t="shared" si="37"/>
        <v>0</v>
      </c>
      <c r="I308" s="986">
        <v>1</v>
      </c>
      <c r="J308" s="2150" t="s">
        <v>2892</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664"/>
      <c r="C309" s="2149" t="str">
        <f t="shared" si="32"/>
        <v>Convocador de masas (3)</v>
      </c>
      <c r="D309" s="981">
        <f t="shared" si="31"/>
        <v>88</v>
      </c>
      <c r="E309" s="56" t="s">
        <v>2338</v>
      </c>
      <c r="F309" s="2145">
        <v>2</v>
      </c>
      <c r="G309" s="2145">
        <f>COUNTIF(Principal!$C$35:$J$53,Tablas!E309)</f>
        <v>0</v>
      </c>
      <c r="H309" s="2146">
        <f t="shared" si="37"/>
        <v>0</v>
      </c>
      <c r="I309" s="986">
        <v>1</v>
      </c>
      <c r="J309" s="2150" t="s">
        <v>2892</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664"/>
      <c r="C310" s="2149" t="str">
        <f t="shared" si="32"/>
        <v>Difícil de matar (1)</v>
      </c>
      <c r="D310" s="981">
        <f t="shared" si="31"/>
        <v>89</v>
      </c>
      <c r="E310" s="56" t="s">
        <v>2339</v>
      </c>
      <c r="F310" s="2145">
        <v>3</v>
      </c>
      <c r="G310" s="2145">
        <f>COUNTIF(Principal!$C$35:$J$53,Tablas!E310)</f>
        <v>0</v>
      </c>
      <c r="H310" s="2146">
        <f t="shared" si="37"/>
        <v>0</v>
      </c>
      <c r="I310" s="986">
        <v>1</v>
      </c>
      <c r="J310" s="2150" t="s">
        <v>2892</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664"/>
      <c r="C311" s="2149" t="str">
        <f t="shared" si="32"/>
        <v>Difícil de matar (2)</v>
      </c>
      <c r="D311" s="981">
        <f t="shared" si="31"/>
        <v>111</v>
      </c>
      <c r="E311" s="56" t="s">
        <v>2340</v>
      </c>
      <c r="F311" s="2145">
        <v>1</v>
      </c>
      <c r="G311" s="2145">
        <f>COUNTIF(Principal!$C$35:$J$53,Tablas!E311)</f>
        <v>0</v>
      </c>
      <c r="H311" s="2146">
        <f t="shared" si="37"/>
        <v>0</v>
      </c>
      <c r="I311" s="986">
        <v>1</v>
      </c>
      <c r="J311" s="2150" t="s">
        <v>2892</v>
      </c>
      <c r="K311" s="2140" t="s">
        <v>8750</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664"/>
      <c r="C312" s="2149" t="str">
        <f t="shared" si="32"/>
        <v>Difícil de matar (3)</v>
      </c>
      <c r="D312" s="981">
        <f t="shared" si="31"/>
        <v>112</v>
      </c>
      <c r="E312" s="56" t="s">
        <v>2341</v>
      </c>
      <c r="F312" s="2145">
        <v>1</v>
      </c>
      <c r="G312" s="2145">
        <f>COUNTIF(Principal!$C$35:$J$53,Tablas!E312)</f>
        <v>0</v>
      </c>
      <c r="H312" s="2146">
        <f t="shared" si="37"/>
        <v>0</v>
      </c>
      <c r="I312" s="986">
        <v>1</v>
      </c>
      <c r="J312" s="2150" t="s">
        <v>2892</v>
      </c>
      <c r="K312" s="2141">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664"/>
      <c r="C313" s="2149" t="str">
        <f t="shared" si="32"/>
        <v>Don</v>
      </c>
      <c r="D313" s="981">
        <f t="shared" si="31"/>
        <v>113</v>
      </c>
      <c r="E313" s="56" t="s">
        <v>2342</v>
      </c>
      <c r="F313" s="2145">
        <v>1</v>
      </c>
      <c r="G313" s="2145">
        <f>COUNTIF(Principal!$C$35:$J$53,Tablas!E313)</f>
        <v>0</v>
      </c>
      <c r="H313" s="2146">
        <f t="shared" si="37"/>
        <v>0</v>
      </c>
      <c r="I313" s="986">
        <v>1</v>
      </c>
      <c r="J313" s="2150" t="s">
        <v>2892</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664"/>
      <c r="C314" s="2149" t="str">
        <f t="shared" si="32"/>
        <v>Don incompleto</v>
      </c>
      <c r="D314" s="981">
        <f t="shared" si="31"/>
        <v>114</v>
      </c>
      <c r="E314" s="56" t="s">
        <v>2343</v>
      </c>
      <c r="F314" s="2145">
        <v>1</v>
      </c>
      <c r="G314" s="2145">
        <f>COUNTIF(Principal!$C$35:$J$53,Tablas!E314)</f>
        <v>0</v>
      </c>
      <c r="H314" s="2146">
        <f t="shared" si="37"/>
        <v>0</v>
      </c>
      <c r="I314" s="986">
        <v>1</v>
      </c>
      <c r="J314" s="2150" t="s">
        <v>2892</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664"/>
      <c r="C315" s="2149" t="str">
        <f t="shared" si="32"/>
        <v>Elan (1)</v>
      </c>
      <c r="D315" s="981">
        <f t="shared" si="31"/>
        <v>115</v>
      </c>
      <c r="E315" s="56" t="s">
        <v>2344</v>
      </c>
      <c r="F315" s="2145">
        <v>1</v>
      </c>
      <c r="G315" s="2145">
        <f>COUNTIF(Principal!$C$35:$J$53,Tablas!E315)</f>
        <v>0</v>
      </c>
      <c r="H315" s="2146">
        <f t="shared" si="37"/>
        <v>0</v>
      </c>
      <c r="I315" s="986">
        <v>1</v>
      </c>
      <c r="J315" s="2150" t="s">
        <v>2892</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664"/>
      <c r="C316" s="2149" t="str">
        <f t="shared" si="32"/>
        <v>Elan (2)</v>
      </c>
      <c r="D316" s="981">
        <f t="shared" si="31"/>
        <v>116</v>
      </c>
      <c r="E316" s="56" t="s">
        <v>2345</v>
      </c>
      <c r="F316" s="2145">
        <v>1</v>
      </c>
      <c r="G316" s="2145">
        <f>COUNTIF(Principal!$C$35:$J$53,Tablas!E316)</f>
        <v>0</v>
      </c>
      <c r="H316" s="2146">
        <f t="shared" si="37"/>
        <v>0</v>
      </c>
      <c r="I316" s="986">
        <v>1</v>
      </c>
      <c r="J316" s="2150" t="s">
        <v>2892</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664"/>
      <c r="C317" s="2149" t="str">
        <f t="shared" si="32"/>
        <v>Elan (3)</v>
      </c>
      <c r="D317" s="981">
        <f t="shared" si="31"/>
        <v>117</v>
      </c>
      <c r="E317" s="56" t="s">
        <v>2346</v>
      </c>
      <c r="F317" s="2145">
        <v>1</v>
      </c>
      <c r="G317" s="2145">
        <f>COUNTIF(Principal!$C$35:$J$53,Tablas!E317)</f>
        <v>0</v>
      </c>
      <c r="H317" s="2146">
        <f t="shared" si="37"/>
        <v>0</v>
      </c>
      <c r="I317" s="986">
        <v>1</v>
      </c>
      <c r="J317" s="2150" t="s">
        <v>2892</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664"/>
      <c r="C318" s="2149" t="str">
        <f t="shared" si="32"/>
        <v>Encanto</v>
      </c>
      <c r="D318" s="981">
        <f t="shared" si="31"/>
        <v>118</v>
      </c>
      <c r="E318" s="56" t="s">
        <v>2347</v>
      </c>
      <c r="F318" s="2145">
        <v>1</v>
      </c>
      <c r="G318" s="2145">
        <f>COUNTIF(Principal!$C$35:$J$53,Tablas!E318)</f>
        <v>0</v>
      </c>
      <c r="H318" s="2146">
        <f t="shared" si="37"/>
        <v>0</v>
      </c>
      <c r="I318" s="986">
        <v>1</v>
      </c>
      <c r="J318" s="2150" t="s">
        <v>2892</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664"/>
      <c r="C319" s="2149" t="str">
        <f t="shared" si="32"/>
        <v>Esencia Sheele</v>
      </c>
      <c r="D319" s="981">
        <f t="shared" si="31"/>
        <v>119</v>
      </c>
      <c r="E319" s="56" t="s">
        <v>2348</v>
      </c>
      <c r="F319" s="2145">
        <v>1</v>
      </c>
      <c r="G319" s="2145">
        <f>COUNTIF(Principal!$C$35:$J$53,Tablas!E319)</f>
        <v>0</v>
      </c>
      <c r="H319" s="2146">
        <f t="shared" si="37"/>
        <v>0</v>
      </c>
      <c r="I319" s="986">
        <v>1</v>
      </c>
      <c r="J319" s="2150" t="s">
        <v>2892</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664"/>
      <c r="C320" s="2149" t="str">
        <f t="shared" si="32"/>
        <v>Familiar (2)</v>
      </c>
      <c r="D320" s="981">
        <f t="shared" si="31"/>
        <v>120</v>
      </c>
      <c r="E320" s="56" t="s">
        <v>2349</v>
      </c>
      <c r="F320" s="2145">
        <v>1</v>
      </c>
      <c r="G320" s="2145">
        <f>COUNTIF(Principal!$C$35:$J$53,Tablas!E320)</f>
        <v>0</v>
      </c>
      <c r="H320" s="2146">
        <f t="shared" si="37"/>
        <v>0</v>
      </c>
      <c r="I320" s="986">
        <v>1</v>
      </c>
      <c r="J320" s="2150" t="s">
        <v>2892</v>
      </c>
      <c r="L320" s="542" t="s">
        <v>1478</v>
      </c>
      <c r="M320" s="1109" t="s">
        <v>6432</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664"/>
      <c r="C321" s="2149" t="str">
        <f t="shared" si="32"/>
        <v>Familiar (3)</v>
      </c>
      <c r="D321" s="981">
        <f t="shared" si="31"/>
        <v>105</v>
      </c>
      <c r="E321" s="56" t="s">
        <v>2350</v>
      </c>
      <c r="F321" s="2145">
        <v>2</v>
      </c>
      <c r="G321" s="2145">
        <f>COUNTIF(Principal!$C$35:$J$53,Tablas!E321)</f>
        <v>0</v>
      </c>
      <c r="H321" s="2146">
        <f t="shared" ref="H321:H343" si="38">G321*F321</f>
        <v>0</v>
      </c>
      <c r="I321" s="986"/>
      <c r="J321" s="2150" t="s">
        <v>2892</v>
      </c>
      <c r="L321" s="542" t="s">
        <v>1478</v>
      </c>
      <c r="M321" s="1109" t="s">
        <v>6433</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664"/>
      <c r="C322" s="2149" t="str">
        <f t="shared" si="32"/>
        <v>Habilidoso</v>
      </c>
      <c r="D322" s="981">
        <f t="shared" ref="D322:D385" si="39">COUNTIF($E$257:$E$392,"&lt;="&amp;E322)-COUNTIF($E$257:$E$392,"*&gt;*")</f>
        <v>46</v>
      </c>
      <c r="E322" s="56" t="s">
        <v>2351</v>
      </c>
      <c r="F322" s="2145">
        <v>1</v>
      </c>
      <c r="G322" s="2145">
        <f>COUNTIF(Principal!$C$35:$J$53,Tablas!E322)</f>
        <v>0</v>
      </c>
      <c r="H322" s="2146">
        <f t="shared" si="38"/>
        <v>0</v>
      </c>
      <c r="I322" s="986">
        <v>1</v>
      </c>
      <c r="J322" s="2150" t="s">
        <v>2892</v>
      </c>
      <c r="L322" s="542" t="s">
        <v>1478</v>
      </c>
      <c r="M322" s="1109" t="s">
        <v>6434</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664"/>
      <c r="C323" s="2149" t="str">
        <f t="shared" ref="C323:C386" si="40">VLOOKUP(A66,$D$257:$E$397,2,0)</f>
        <v>Infatigable (1)</v>
      </c>
      <c r="D323" s="981">
        <f t="shared" si="39"/>
        <v>45</v>
      </c>
      <c r="E323" s="56" t="s">
        <v>2352</v>
      </c>
      <c r="F323" s="2145">
        <v>1</v>
      </c>
      <c r="G323" s="2145">
        <f>COUNTIF(Principal!$C$35:$J$53,Tablas!E323)</f>
        <v>0</v>
      </c>
      <c r="H323" s="2146">
        <f t="shared" si="38"/>
        <v>0</v>
      </c>
      <c r="I323" s="986">
        <v>1</v>
      </c>
      <c r="J323" s="2150" t="s">
        <v>2892</v>
      </c>
      <c r="L323" s="542" t="s">
        <v>1478</v>
      </c>
      <c r="M323" s="1109" t="s">
        <v>6435</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664"/>
      <c r="C324" s="2149" t="str">
        <f t="shared" si="40"/>
        <v>Infatigable (2)</v>
      </c>
      <c r="D324" s="981">
        <f t="shared" si="39"/>
        <v>3</v>
      </c>
      <c r="E324" s="56" t="s">
        <v>2353</v>
      </c>
      <c r="F324" s="2145">
        <v>1</v>
      </c>
      <c r="G324" s="2145">
        <f>COUNTIF(Principal!$C$35:$J$53,Tablas!E324)</f>
        <v>0</v>
      </c>
      <c r="H324" s="2146">
        <f t="shared" si="38"/>
        <v>0</v>
      </c>
      <c r="I324" s="986"/>
      <c r="J324" s="2150" t="s">
        <v>2892</v>
      </c>
      <c r="L324" s="542" t="str">
        <f>VLOOKUP(PDs!D177,PDs!AH178:AI184,2,FALSE)</f>
        <v>Perceptivas</v>
      </c>
      <c r="M324" s="1109" t="str">
        <f>IF(PDs!E177=0,"#1",PDs!E177)</f>
        <v>Prueba</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664"/>
      <c r="C325" s="2149" t="str">
        <f t="shared" si="40"/>
        <v>Infatigable (3)</v>
      </c>
      <c r="D325" s="981">
        <f t="shared" si="39"/>
        <v>4</v>
      </c>
      <c r="E325" s="56" t="s">
        <v>2354</v>
      </c>
      <c r="F325" s="2145">
        <v>2</v>
      </c>
      <c r="G325" s="2145">
        <f>COUNTIF(Principal!$C$35:$J$53,Tablas!E325)</f>
        <v>0</v>
      </c>
      <c r="H325" s="2146">
        <f t="shared" si="38"/>
        <v>0</v>
      </c>
      <c r="I325" s="986"/>
      <c r="J325" s="2150" t="s">
        <v>2892</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664"/>
      <c r="C326" s="2149" t="str">
        <f t="shared" si="40"/>
        <v>Inm. al dolor y al cansancio</v>
      </c>
      <c r="D326" s="981">
        <f t="shared" si="39"/>
        <v>5</v>
      </c>
      <c r="E326" s="56" t="s">
        <v>2355</v>
      </c>
      <c r="F326" s="2145">
        <v>3</v>
      </c>
      <c r="G326" s="2145">
        <f>COUNTIF(Principal!$C$35:$J$53,Tablas!E326)</f>
        <v>0</v>
      </c>
      <c r="H326" s="2146">
        <f t="shared" si="38"/>
        <v>0</v>
      </c>
      <c r="I326" s="986"/>
      <c r="J326" s="2150" t="s">
        <v>2892</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664"/>
      <c r="C327" s="2149" t="str">
        <f t="shared" si="40"/>
        <v>Inmunidad psíquica</v>
      </c>
      <c r="D327" s="981">
        <f t="shared" si="39"/>
        <v>69</v>
      </c>
      <c r="E327" s="56" t="s">
        <v>2356</v>
      </c>
      <c r="F327" s="2145">
        <v>1</v>
      </c>
      <c r="G327" s="2145">
        <f>COUNTIF(Principal!$C$35:$J$53,Tablas!E327)</f>
        <v>0</v>
      </c>
      <c r="H327" s="2146">
        <f t="shared" si="38"/>
        <v>0</v>
      </c>
      <c r="I327" s="986">
        <v>1</v>
      </c>
      <c r="J327" s="2150" t="s">
        <v>2892</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664"/>
      <c r="C328" s="2149" t="str">
        <f t="shared" si="40"/>
        <v>Inmunidad sobrenatural (1)</v>
      </c>
      <c r="D328" s="981">
        <f t="shared" si="39"/>
        <v>126</v>
      </c>
      <c r="E328" s="56" t="s">
        <v>2357</v>
      </c>
      <c r="F328" s="2145">
        <v>1</v>
      </c>
      <c r="G328" s="2145">
        <f>COUNTIF(Principal!$C$35:$J$53,Tablas!E328)</f>
        <v>0</v>
      </c>
      <c r="H328" s="2146">
        <f t="shared" si="38"/>
        <v>0</v>
      </c>
      <c r="I328" s="986"/>
      <c r="J328" s="2150" t="s">
        <v>2892</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664"/>
      <c r="C329" s="2149" t="str">
        <f t="shared" si="40"/>
        <v>Inmunidad sobrenatural (2)</v>
      </c>
      <c r="D329" s="981">
        <f t="shared" si="39"/>
        <v>79</v>
      </c>
      <c r="E329" s="56" t="s">
        <v>2358</v>
      </c>
      <c r="F329" s="2145">
        <v>1</v>
      </c>
      <c r="G329" s="2145">
        <f>COUNTIF(Principal!$C$35:$J$53,Tablas!E329)</f>
        <v>0</v>
      </c>
      <c r="H329" s="2146">
        <f t="shared" si="38"/>
        <v>0</v>
      </c>
      <c r="I329" s="986">
        <v>1</v>
      </c>
      <c r="J329" s="2150" t="s">
        <v>2892</v>
      </c>
      <c r="N329"/>
      <c r="O329" s="624"/>
    </row>
    <row r="330" spans="1:26" ht="12.75" customHeight="1" x14ac:dyDescent="0.2">
      <c r="A330" s="242">
        <v>330</v>
      </c>
      <c r="B330" s="5664"/>
      <c r="C330" s="2149" t="str">
        <f t="shared" si="40"/>
        <v>Inmunidad sobrenatural (3)</v>
      </c>
      <c r="D330" s="981">
        <f t="shared" si="39"/>
        <v>80</v>
      </c>
      <c r="E330" s="56" t="s">
        <v>2359</v>
      </c>
      <c r="F330" s="2145">
        <v>2</v>
      </c>
      <c r="G330" s="2145">
        <f>COUNTIF(Principal!$C$35:$J$53,Tablas!E330)</f>
        <v>0</v>
      </c>
      <c r="H330" s="2146">
        <f t="shared" si="38"/>
        <v>0</v>
      </c>
      <c r="I330" s="986">
        <v>1</v>
      </c>
      <c r="J330" s="2150" t="s">
        <v>2892</v>
      </c>
      <c r="N330"/>
      <c r="O330" s="624"/>
    </row>
    <row r="331" spans="1:26" ht="12.75" customHeight="1" x14ac:dyDescent="0.2">
      <c r="A331" s="242">
        <v>331</v>
      </c>
      <c r="B331" s="5664"/>
      <c r="C331" s="2149" t="str">
        <f t="shared" si="40"/>
        <v>Inquietante</v>
      </c>
      <c r="D331" s="981">
        <f t="shared" si="39"/>
        <v>81</v>
      </c>
      <c r="E331" s="56" t="s">
        <v>2360</v>
      </c>
      <c r="F331" s="2145">
        <v>3</v>
      </c>
      <c r="G331" s="2145">
        <f>COUNTIF(Principal!$C$35:$J$53,Tablas!E331)</f>
        <v>0</v>
      </c>
      <c r="H331" s="2146">
        <f t="shared" si="38"/>
        <v>0</v>
      </c>
      <c r="I331" s="986">
        <v>1</v>
      </c>
      <c r="J331" s="2150" t="s">
        <v>2892</v>
      </c>
      <c r="N331"/>
      <c r="O331" s="624"/>
    </row>
    <row r="332" spans="1:26" ht="12.75" customHeight="1" x14ac:dyDescent="0.2">
      <c r="A332" s="242">
        <v>332</v>
      </c>
      <c r="B332" s="5664"/>
      <c r="C332" s="2149" t="str">
        <f t="shared" si="40"/>
        <v>Inutilidad gestual</v>
      </c>
      <c r="D332" s="981">
        <f t="shared" si="39"/>
        <v>66</v>
      </c>
      <c r="E332" s="56" t="s">
        <v>2361</v>
      </c>
      <c r="F332" s="2145">
        <v>1</v>
      </c>
      <c r="G332" s="2145">
        <f>COUNTIF(Principal!$C$35:$J$53,Tablas!E332)</f>
        <v>0</v>
      </c>
      <c r="H332" s="2146">
        <f t="shared" si="38"/>
        <v>0</v>
      </c>
      <c r="I332" s="986">
        <v>1</v>
      </c>
      <c r="J332" s="2150" t="s">
        <v>2892</v>
      </c>
      <c r="N332"/>
      <c r="O332" s="624"/>
    </row>
    <row r="333" spans="1:26" ht="12.75" customHeight="1" x14ac:dyDescent="0.2">
      <c r="A333" s="242">
        <v>333</v>
      </c>
      <c r="B333" s="5664"/>
      <c r="C333" s="2149" t="str">
        <f t="shared" si="40"/>
        <v>Ki imperceptible</v>
      </c>
      <c r="D333" s="981">
        <f t="shared" si="39"/>
        <v>67</v>
      </c>
      <c r="E333" s="56" t="s">
        <v>2362</v>
      </c>
      <c r="F333" s="2145">
        <v>2</v>
      </c>
      <c r="G333" s="2145">
        <f>COUNTIF(Principal!$C$35:$J$53,Tablas!E333)</f>
        <v>0</v>
      </c>
      <c r="H333" s="2146">
        <f t="shared" si="38"/>
        <v>0</v>
      </c>
      <c r="I333" s="986">
        <v>1</v>
      </c>
      <c r="J333" s="2150" t="s">
        <v>2892</v>
      </c>
      <c r="N333"/>
      <c r="O333" s="624"/>
    </row>
    <row r="334" spans="1:26" ht="12.75" customHeight="1" x14ac:dyDescent="0.2">
      <c r="A334" s="242">
        <v>334</v>
      </c>
      <c r="B334" s="5664"/>
      <c r="C334" s="2149" t="str">
        <f t="shared" si="40"/>
        <v>Libre albedrío</v>
      </c>
      <c r="D334" s="981">
        <f t="shared" si="39"/>
        <v>68</v>
      </c>
      <c r="E334" s="56" t="s">
        <v>2363</v>
      </c>
      <c r="F334" s="2145">
        <v>3</v>
      </c>
      <c r="G334" s="2145">
        <f>COUNTIF(Principal!$C$35:$J$53,Tablas!E334)</f>
        <v>0</v>
      </c>
      <c r="H334" s="2146">
        <f t="shared" si="38"/>
        <v>0</v>
      </c>
      <c r="I334" s="986">
        <v>1</v>
      </c>
      <c r="J334" s="2150" t="s">
        <v>2892</v>
      </c>
      <c r="N334"/>
      <c r="O334" s="624"/>
    </row>
    <row r="335" spans="1:26" ht="12.75" customHeight="1" x14ac:dyDescent="0.2">
      <c r="A335" s="242">
        <v>335</v>
      </c>
      <c r="B335" s="5664"/>
      <c r="C335" s="2149" t="str">
        <f t="shared" si="40"/>
        <v>Límite dual</v>
      </c>
      <c r="D335" s="981">
        <f t="shared" si="39"/>
        <v>-3</v>
      </c>
      <c r="E335" s="56" t="str">
        <f>IF(Personalización!$G$15="Si","Desplazamiento rápido","&gt; Desplazamiento rápido")</f>
        <v>&gt; Desplazamiento rápido</v>
      </c>
      <c r="F335" s="2145">
        <v>1</v>
      </c>
      <c r="G335" s="2145">
        <f>IF(Personalización!$G$15="Si",COUNTIF(Principal!$C$35:$J$53,Tablas!E335),0)</f>
        <v>0</v>
      </c>
      <c r="H335" s="2146">
        <f t="shared" si="38"/>
        <v>0</v>
      </c>
      <c r="I335" s="986">
        <v>1</v>
      </c>
      <c r="J335" s="2150" t="s">
        <v>2892</v>
      </c>
      <c r="N335"/>
      <c r="O335" s="624"/>
    </row>
    <row r="336" spans="1:26" ht="12.75" customHeight="1" x14ac:dyDescent="0.2">
      <c r="A336" s="242">
        <v>336</v>
      </c>
      <c r="B336" s="5664"/>
      <c r="C336" s="2149" t="str">
        <f t="shared" si="40"/>
        <v>Maestro marcial (1)</v>
      </c>
      <c r="D336" s="981">
        <f t="shared" si="39"/>
        <v>84</v>
      </c>
      <c r="E336" s="56" t="s">
        <v>2364</v>
      </c>
      <c r="F336" s="2145">
        <v>1</v>
      </c>
      <c r="G336" s="2145">
        <f>COUNTIF(Principal!$C$35:$J$53,Tablas!E336)</f>
        <v>0</v>
      </c>
      <c r="H336" s="2146">
        <f t="shared" si="38"/>
        <v>0</v>
      </c>
      <c r="I336" s="986"/>
      <c r="J336" s="2150" t="s">
        <v>2892</v>
      </c>
      <c r="N336"/>
      <c r="O336" s="624"/>
    </row>
    <row r="337" spans="1:31" ht="12.75" customHeight="1" x14ac:dyDescent="0.2">
      <c r="A337" s="242">
        <v>337</v>
      </c>
      <c r="B337" s="5664"/>
      <c r="C337" s="2149" t="str">
        <f t="shared" si="40"/>
        <v>Maestro marcial (2)</v>
      </c>
      <c r="D337" s="981">
        <f t="shared" si="39"/>
        <v>85</v>
      </c>
      <c r="E337" s="56" t="s">
        <v>2365</v>
      </c>
      <c r="F337" s="2145">
        <v>2</v>
      </c>
      <c r="G337" s="2145">
        <f>COUNTIF(Principal!$C$35:$J$53,Tablas!E337)</f>
        <v>0</v>
      </c>
      <c r="H337" s="2146">
        <f t="shared" si="38"/>
        <v>0</v>
      </c>
      <c r="I337" s="986"/>
      <c r="J337" s="2150" t="s">
        <v>2892</v>
      </c>
      <c r="N337"/>
      <c r="O337" s="624"/>
    </row>
    <row r="338" spans="1:31" ht="12.75" customHeight="1" x14ac:dyDescent="0.2">
      <c r="A338" s="242">
        <v>338</v>
      </c>
      <c r="B338" s="5664"/>
      <c r="C338" s="2149" t="str">
        <f t="shared" si="40"/>
        <v>Maestro marcial (3)</v>
      </c>
      <c r="D338" s="981">
        <f t="shared" si="39"/>
        <v>86</v>
      </c>
      <c r="E338" s="56" t="s">
        <v>2366</v>
      </c>
      <c r="F338" s="2145">
        <v>3</v>
      </c>
      <c r="G338" s="2145">
        <f>COUNTIF(Principal!$C$35:$J$53,Tablas!E338)</f>
        <v>0</v>
      </c>
      <c r="H338" s="2146">
        <f t="shared" si="38"/>
        <v>0</v>
      </c>
      <c r="I338" s="986"/>
      <c r="J338" s="2150" t="s">
        <v>2892</v>
      </c>
      <c r="N338"/>
      <c r="O338" s="624"/>
      <c r="AE338" s="955"/>
    </row>
    <row r="339" spans="1:31" ht="12.75" customHeight="1" x14ac:dyDescent="0.2">
      <c r="A339" s="242">
        <v>339</v>
      </c>
      <c r="B339" s="5664"/>
      <c r="C339" s="2149" t="str">
        <f t="shared" si="40"/>
        <v>Percepción del Ki</v>
      </c>
      <c r="D339" s="981">
        <f t="shared" si="39"/>
        <v>58</v>
      </c>
      <c r="E339" s="56" t="s">
        <v>2367</v>
      </c>
      <c r="F339" s="2145">
        <v>1</v>
      </c>
      <c r="G339" s="2145">
        <f>COUNTIF(Principal!$C$35:$J$53,Tablas!E339)</f>
        <v>0</v>
      </c>
      <c r="H339" s="2146">
        <f t="shared" si="38"/>
        <v>0</v>
      </c>
      <c r="I339" s="986"/>
      <c r="J339" s="2150" t="s">
        <v>2892</v>
      </c>
      <c r="N339"/>
      <c r="O339" s="624"/>
      <c r="AE339" s="955"/>
    </row>
    <row r="340" spans="1:31" ht="12.75" customHeight="1" x14ac:dyDescent="0.2">
      <c r="A340" s="242">
        <v>340</v>
      </c>
      <c r="B340" s="5664"/>
      <c r="C340" s="2149" t="str">
        <f t="shared" si="40"/>
        <v>Poder innato</v>
      </c>
      <c r="D340" s="981">
        <f t="shared" si="39"/>
        <v>59</v>
      </c>
      <c r="E340" s="56" t="s">
        <v>2368</v>
      </c>
      <c r="F340" s="2145">
        <v>2</v>
      </c>
      <c r="G340" s="2145">
        <f>COUNTIF(Principal!$C$35:$J$53,Tablas!E340)</f>
        <v>0</v>
      </c>
      <c r="H340" s="2146">
        <f t="shared" si="38"/>
        <v>0</v>
      </c>
      <c r="I340" s="986"/>
      <c r="J340" s="2150" t="s">
        <v>2892</v>
      </c>
      <c r="N340"/>
      <c r="O340" s="624"/>
      <c r="AE340" s="955"/>
    </row>
    <row r="341" spans="1:31" ht="12.75" customHeight="1" x14ac:dyDescent="0.2">
      <c r="A341" s="242">
        <v>341</v>
      </c>
      <c r="B341" s="5664"/>
      <c r="C341" s="2149" t="str">
        <f t="shared" si="40"/>
        <v>Recuperación de Ki (1)</v>
      </c>
      <c r="D341" s="981">
        <f t="shared" si="39"/>
        <v>60</v>
      </c>
      <c r="E341" s="56" t="s">
        <v>2369</v>
      </c>
      <c r="F341" s="2145">
        <v>3</v>
      </c>
      <c r="G341" s="2145">
        <f>COUNTIF(Principal!$C$35:$J$53,Tablas!E341)</f>
        <v>0</v>
      </c>
      <c r="H341" s="2146">
        <f t="shared" si="38"/>
        <v>0</v>
      </c>
      <c r="I341" s="986"/>
      <c r="J341" s="2150" t="s">
        <v>2892</v>
      </c>
      <c r="N341"/>
      <c r="O341" s="624"/>
      <c r="AE341" s="955"/>
    </row>
    <row r="342" spans="1:31" ht="12.75" customHeight="1" x14ac:dyDescent="0.2">
      <c r="A342" s="242">
        <v>342</v>
      </c>
      <c r="B342" s="5664"/>
      <c r="C342" s="2149" t="str">
        <f t="shared" si="40"/>
        <v>Recuperación de Ki (2)</v>
      </c>
      <c r="D342" s="981">
        <f t="shared" si="39"/>
        <v>28</v>
      </c>
      <c r="E342" s="56" t="s">
        <v>2370</v>
      </c>
      <c r="F342" s="2145">
        <v>1</v>
      </c>
      <c r="G342" s="2145">
        <f>COUNTIF(Principal!$C$35:$J$53,Tablas!E342)</f>
        <v>0</v>
      </c>
      <c r="H342" s="2146">
        <f t="shared" si="38"/>
        <v>0</v>
      </c>
      <c r="I342" s="986"/>
      <c r="J342" s="2150" t="s">
        <v>2892</v>
      </c>
      <c r="N342"/>
      <c r="O342" s="624"/>
      <c r="AE342" s="955"/>
    </row>
    <row r="343" spans="1:31" ht="12.75" customHeight="1" x14ac:dyDescent="0.2">
      <c r="A343" s="242">
        <v>343</v>
      </c>
      <c r="B343" s="5664"/>
      <c r="C343" s="2149" t="str">
        <f t="shared" si="40"/>
        <v>Recuperación de Ki (3)</v>
      </c>
      <c r="D343" s="981">
        <f t="shared" si="39"/>
        <v>29</v>
      </c>
      <c r="E343" s="56" t="s">
        <v>2371</v>
      </c>
      <c r="F343" s="2145">
        <v>2</v>
      </c>
      <c r="G343" s="2145">
        <f>COUNTIF(Principal!$C$35:$J$53,Tablas!E343)</f>
        <v>0</v>
      </c>
      <c r="H343" s="2146">
        <f t="shared" si="38"/>
        <v>0</v>
      </c>
      <c r="I343" s="986"/>
      <c r="J343" s="2150" t="s">
        <v>2892</v>
      </c>
      <c r="N343"/>
      <c r="O343" s="624"/>
    </row>
    <row r="344" spans="1:31" ht="12.75" customHeight="1" x14ac:dyDescent="0.2">
      <c r="A344" s="242">
        <v>344</v>
      </c>
      <c r="B344" s="5664"/>
      <c r="C344" s="2149" t="str">
        <f t="shared" si="40"/>
        <v>Reflejos rápidos (1)</v>
      </c>
      <c r="D344" s="981">
        <f t="shared" si="39"/>
        <v>30</v>
      </c>
      <c r="E344" s="56" t="s">
        <v>2372</v>
      </c>
      <c r="F344" s="2145">
        <v>3</v>
      </c>
      <c r="G344" s="2145">
        <f>COUNTIF(Principal!$C$35:$J$53,Tablas!E344)</f>
        <v>0</v>
      </c>
      <c r="H344" s="2146">
        <f t="shared" ref="H344:H347" si="41">G344*F344</f>
        <v>0</v>
      </c>
      <c r="I344" s="986"/>
      <c r="J344" s="2150" t="s">
        <v>2892</v>
      </c>
      <c r="N344"/>
      <c r="O344" s="624"/>
    </row>
    <row r="345" spans="1:31" ht="12.75" customHeight="1" x14ac:dyDescent="0.2">
      <c r="A345" s="242">
        <v>345</v>
      </c>
      <c r="B345" s="5664"/>
      <c r="C345" s="2149" t="str">
        <f t="shared" si="40"/>
        <v>Reflejos rápidos (2)</v>
      </c>
      <c r="D345" s="981">
        <f t="shared" si="39"/>
        <v>-2</v>
      </c>
      <c r="E345" s="56" t="str">
        <f>IF(Personalización!$G$15="Si","Mutación (1)","&gt; Mutación (1)")</f>
        <v>&gt; Mutación (1)</v>
      </c>
      <c r="F345" s="2145">
        <v>1</v>
      </c>
      <c r="G345" s="2145">
        <f>IF(Personalización!$G$15="Si",COUNTIF(Principal!$C$35:$J$53,Tablas!E345),0)</f>
        <v>0</v>
      </c>
      <c r="H345" s="2146">
        <f t="shared" si="41"/>
        <v>0</v>
      </c>
      <c r="I345" s="986"/>
      <c r="J345" s="2150" t="s">
        <v>2892</v>
      </c>
      <c r="N345"/>
      <c r="O345" s="624"/>
    </row>
    <row r="346" spans="1:31" ht="12.75" customHeight="1" x14ac:dyDescent="0.2">
      <c r="A346" s="242">
        <v>346</v>
      </c>
      <c r="B346" s="5664"/>
      <c r="C346" s="2149" t="str">
        <f t="shared" si="40"/>
        <v>Reflejos rápidos (3)</v>
      </c>
      <c r="D346" s="981">
        <f t="shared" si="39"/>
        <v>-1</v>
      </c>
      <c r="E346" s="56" t="str">
        <f>IF(Personalización!$G$15="Si","Mutación (2)","&gt; Mutación (2)")</f>
        <v>&gt; Mutación (2)</v>
      </c>
      <c r="F346" s="2145">
        <v>2</v>
      </c>
      <c r="G346" s="2145">
        <f>IF(Personalización!$G$15="Si",COUNTIF(Principal!$C$35:$J$53,Tablas!E346),0)</f>
        <v>0</v>
      </c>
      <c r="H346" s="2146">
        <f t="shared" si="41"/>
        <v>0</v>
      </c>
      <c r="I346" s="986"/>
      <c r="J346" s="2150" t="s">
        <v>2892</v>
      </c>
      <c r="N346"/>
      <c r="O346" s="624"/>
    </row>
    <row r="347" spans="1:31" ht="12.75" customHeight="1" x14ac:dyDescent="0.2">
      <c r="A347" s="242">
        <v>347</v>
      </c>
      <c r="B347" s="5664"/>
      <c r="C347" s="2149" t="str">
        <f t="shared" si="40"/>
        <v>Regeneración avanzada</v>
      </c>
      <c r="D347" s="981">
        <f t="shared" si="39"/>
        <v>0</v>
      </c>
      <c r="E347" s="56" t="str">
        <f>IF(Personalización!$G$15="Si","Mutación (3)","&gt; Mutación (3)")</f>
        <v>&gt; Mutación (3)</v>
      </c>
      <c r="F347" s="2145">
        <v>3</v>
      </c>
      <c r="G347" s="2145">
        <f>IF(Personalización!$G$15="Si",COUNTIF(Principal!$C$35:$J$53,Tablas!E347),0)</f>
        <v>0</v>
      </c>
      <c r="H347" s="2146">
        <f t="shared" si="41"/>
        <v>0</v>
      </c>
      <c r="I347" s="986"/>
      <c r="J347" s="2150" t="s">
        <v>2892</v>
      </c>
      <c r="N347"/>
    </row>
    <row r="348" spans="1:31" ht="12.75" customHeight="1" x14ac:dyDescent="0.2">
      <c r="A348" s="242">
        <v>348</v>
      </c>
      <c r="B348" s="5664"/>
      <c r="C348" s="2149" t="str">
        <f t="shared" si="40"/>
        <v>Regeneración básica</v>
      </c>
      <c r="D348" s="981">
        <f t="shared" si="39"/>
        <v>-4</v>
      </c>
      <c r="E348" s="56" t="s">
        <v>2469</v>
      </c>
      <c r="F348" s="2145"/>
      <c r="G348" s="2145"/>
      <c r="H348" s="2146"/>
      <c r="I348" s="986"/>
      <c r="J348" s="2150" t="s">
        <v>2892</v>
      </c>
      <c r="N348"/>
    </row>
    <row r="349" spans="1:31" ht="12.75" customHeight="1" x14ac:dyDescent="0.2">
      <c r="A349" s="242">
        <v>349</v>
      </c>
      <c r="B349" s="5664"/>
      <c r="C349" s="2149" t="str">
        <f t="shared" si="40"/>
        <v>Regeneración mayor</v>
      </c>
      <c r="D349" s="981">
        <f t="shared" si="39"/>
        <v>53</v>
      </c>
      <c r="E349" s="56" t="s">
        <v>2470</v>
      </c>
      <c r="F349" s="2145">
        <v>1</v>
      </c>
      <c r="G349" s="2145">
        <f>COUNTIF(Principal!$C$35:$J$53,Tablas!E349)</f>
        <v>0</v>
      </c>
      <c r="H349" s="2146">
        <f t="shared" ref="H349:H370" si="42">G349*F349</f>
        <v>0</v>
      </c>
      <c r="I349" s="986">
        <v>2</v>
      </c>
      <c r="J349" s="2150" t="s">
        <v>2892</v>
      </c>
      <c r="N349"/>
    </row>
    <row r="350" spans="1:31" ht="12.75" customHeight="1" x14ac:dyDescent="0.2">
      <c r="A350" s="242">
        <v>350</v>
      </c>
      <c r="B350" s="5664"/>
      <c r="C350" s="2149" t="str">
        <f t="shared" si="40"/>
        <v>Repetir tirada de características</v>
      </c>
      <c r="D350" s="981">
        <f t="shared" si="39"/>
        <v>54</v>
      </c>
      <c r="E350" s="56" t="s">
        <v>2471</v>
      </c>
      <c r="F350" s="2145">
        <v>2</v>
      </c>
      <c r="G350" s="2145">
        <f>COUNTIF(Principal!$C$35:$J$53,Tablas!E350)</f>
        <v>0</v>
      </c>
      <c r="H350" s="2146">
        <f t="shared" si="42"/>
        <v>0</v>
      </c>
      <c r="I350" s="986">
        <v>2</v>
      </c>
      <c r="J350" s="2150" t="s">
        <v>2892</v>
      </c>
      <c r="N350"/>
    </row>
    <row r="351" spans="1:31" ht="12.75" customHeight="1" x14ac:dyDescent="0.2">
      <c r="A351" s="242">
        <v>351</v>
      </c>
      <c r="B351" s="5664"/>
      <c r="C351" s="2149" t="str">
        <f t="shared" si="40"/>
        <v>Res. física excepcional (1)</v>
      </c>
      <c r="D351" s="981">
        <f t="shared" si="39"/>
        <v>55</v>
      </c>
      <c r="E351" s="56" t="s">
        <v>2472</v>
      </c>
      <c r="F351" s="2145">
        <v>3</v>
      </c>
      <c r="G351" s="2145">
        <f>COUNTIF(Principal!$C$35:$J$53,Tablas!E351)</f>
        <v>0</v>
      </c>
      <c r="H351" s="2146">
        <f t="shared" si="42"/>
        <v>0</v>
      </c>
      <c r="I351" s="986">
        <v>2</v>
      </c>
      <c r="J351" s="2150" t="s">
        <v>2892</v>
      </c>
      <c r="N351"/>
    </row>
    <row r="352" spans="1:31" ht="12.75" customHeight="1" x14ac:dyDescent="0.2">
      <c r="A352" s="242">
        <v>352</v>
      </c>
      <c r="B352" s="5664"/>
      <c r="C352" s="2149" t="str">
        <f t="shared" si="40"/>
        <v>Res. física excepcional (2)</v>
      </c>
      <c r="D352" s="981">
        <f t="shared" si="39"/>
        <v>12</v>
      </c>
      <c r="E352" s="56" t="s">
        <v>2473</v>
      </c>
      <c r="F352" s="2145">
        <v>1</v>
      </c>
      <c r="G352" s="2145">
        <f>COUNTIF(Principal!$C$35:$J$53,Tablas!E352)</f>
        <v>0</v>
      </c>
      <c r="H352" s="2146">
        <f t="shared" si="42"/>
        <v>0</v>
      </c>
      <c r="I352" s="986"/>
      <c r="J352" s="2150" t="s">
        <v>2892</v>
      </c>
      <c r="N352"/>
    </row>
    <row r="353" spans="1:14" ht="12.75" customHeight="1" x14ac:dyDescent="0.2">
      <c r="A353" s="242">
        <v>353</v>
      </c>
      <c r="B353" s="5664"/>
      <c r="C353" s="2149" t="str">
        <f t="shared" si="40"/>
        <v>Res. mágica excepcional (1)</v>
      </c>
      <c r="D353" s="981">
        <f t="shared" si="39"/>
        <v>71</v>
      </c>
      <c r="E353" s="56" t="s">
        <v>2474</v>
      </c>
      <c r="F353" s="2145">
        <v>1</v>
      </c>
      <c r="G353" s="2145">
        <f>COUNTIF(Principal!$C$35:$J$53,Tablas!E353)</f>
        <v>0</v>
      </c>
      <c r="H353" s="2146">
        <f t="shared" si="42"/>
        <v>0</v>
      </c>
      <c r="I353" s="986"/>
      <c r="J353" s="2150" t="s">
        <v>2892</v>
      </c>
      <c r="N353"/>
    </row>
    <row r="354" spans="1:14" ht="12.75" customHeight="1" x14ac:dyDescent="0.2">
      <c r="A354" s="242">
        <v>354</v>
      </c>
      <c r="B354" s="5664"/>
      <c r="C354" s="2149" t="str">
        <f t="shared" si="40"/>
        <v>Res. mágica excepcional (2)</v>
      </c>
      <c r="D354" s="981">
        <f t="shared" si="39"/>
        <v>72</v>
      </c>
      <c r="E354" s="56" t="s">
        <v>2475</v>
      </c>
      <c r="F354" s="2145">
        <v>2</v>
      </c>
      <c r="G354" s="2145">
        <f>COUNTIF(Principal!$C$35:$J$53,Tablas!E354)</f>
        <v>0</v>
      </c>
      <c r="H354" s="2146">
        <f t="shared" si="42"/>
        <v>0</v>
      </c>
      <c r="I354" s="986"/>
      <c r="J354" s="2150" t="s">
        <v>2892</v>
      </c>
      <c r="N354"/>
    </row>
    <row r="355" spans="1:14" ht="12.75" customHeight="1" x14ac:dyDescent="0.2">
      <c r="A355" s="242">
        <v>355</v>
      </c>
      <c r="B355" s="5664"/>
      <c r="C355" s="2149" t="str">
        <f t="shared" si="40"/>
        <v>Res. psi. excepcional (1)</v>
      </c>
      <c r="D355" s="981">
        <f t="shared" si="39"/>
        <v>73</v>
      </c>
      <c r="E355" s="56" t="s">
        <v>2476</v>
      </c>
      <c r="F355" s="2145">
        <v>3</v>
      </c>
      <c r="G355" s="2145">
        <f>COUNTIF(Principal!$C$35:$J$53,Tablas!E355)</f>
        <v>0</v>
      </c>
      <c r="H355" s="2146">
        <f t="shared" si="42"/>
        <v>0</v>
      </c>
      <c r="I355" s="986"/>
      <c r="J355" s="2150" t="s">
        <v>2892</v>
      </c>
      <c r="N355"/>
    </row>
    <row r="356" spans="1:14" ht="12.75" customHeight="1" x14ac:dyDescent="0.2">
      <c r="A356" s="242">
        <v>356</v>
      </c>
      <c r="B356" s="5664"/>
      <c r="C356" s="2149" t="str">
        <f t="shared" si="40"/>
        <v>Res. psi. excepcional (2)</v>
      </c>
      <c r="D356" s="981">
        <f t="shared" si="39"/>
        <v>107</v>
      </c>
      <c r="E356" s="56" t="s">
        <v>2477</v>
      </c>
      <c r="F356" s="2145">
        <v>2</v>
      </c>
      <c r="G356" s="2145">
        <f>COUNTIF(Principal!$C$35:$J$53,Tablas!E356)</f>
        <v>0</v>
      </c>
      <c r="H356" s="2146">
        <f t="shared" si="42"/>
        <v>0</v>
      </c>
      <c r="I356" s="986"/>
      <c r="J356" s="2150" t="s">
        <v>2892</v>
      </c>
      <c r="N356"/>
    </row>
    <row r="357" spans="1:14" ht="12.75" customHeight="1" x14ac:dyDescent="0.2">
      <c r="A357" s="242">
        <v>357</v>
      </c>
      <c r="B357" s="5664"/>
      <c r="C357" s="2149" t="str">
        <f t="shared" si="40"/>
        <v>Seductor</v>
      </c>
      <c r="D357" s="981">
        <f t="shared" si="39"/>
        <v>102</v>
      </c>
      <c r="E357" s="56" t="s">
        <v>2478</v>
      </c>
      <c r="F357" s="2145">
        <v>3</v>
      </c>
      <c r="G357" s="2145">
        <f>COUNTIF(Principal!$C$35:$J$53,Tablas!E357)</f>
        <v>0</v>
      </c>
      <c r="H357" s="2146">
        <f t="shared" si="42"/>
        <v>0</v>
      </c>
      <c r="I357" s="986">
        <v>1</v>
      </c>
      <c r="J357" s="2150" t="s">
        <v>2892</v>
      </c>
      <c r="N357"/>
    </row>
    <row r="358" spans="1:14" ht="12.75" customHeight="1" x14ac:dyDescent="0.2">
      <c r="A358" s="242">
        <v>358</v>
      </c>
      <c r="B358" s="5664"/>
      <c r="C358" s="2149" t="str">
        <f t="shared" si="40"/>
        <v>Sellos magistrales</v>
      </c>
      <c r="D358" s="981">
        <f t="shared" si="39"/>
        <v>104</v>
      </c>
      <c r="E358" s="56" t="s">
        <v>2479</v>
      </c>
      <c r="F358" s="2145">
        <v>3</v>
      </c>
      <c r="G358" s="2145">
        <f>COUNTIF(Principal!$C$35:$J$53,Tablas!E358)</f>
        <v>0</v>
      </c>
      <c r="H358" s="2146">
        <f t="shared" si="42"/>
        <v>0</v>
      </c>
      <c r="I358" s="986">
        <v>1</v>
      </c>
      <c r="J358" s="2150" t="s">
        <v>2892</v>
      </c>
      <c r="N358"/>
    </row>
    <row r="359" spans="1:14" ht="12.75" customHeight="1" x14ac:dyDescent="0.2">
      <c r="A359" s="242">
        <v>359</v>
      </c>
      <c r="B359" s="5664"/>
      <c r="C359" s="2149" t="str">
        <f t="shared" si="40"/>
        <v>Sentido del combate: Ataque</v>
      </c>
      <c r="D359" s="981">
        <f t="shared" si="39"/>
        <v>103</v>
      </c>
      <c r="E359" s="56" t="s">
        <v>2480</v>
      </c>
      <c r="F359" s="2145">
        <v>3</v>
      </c>
      <c r="G359" s="2145">
        <f>COUNTIF(Principal!$C$35:$J$53,Tablas!E359)</f>
        <v>0</v>
      </c>
      <c r="H359" s="2146">
        <f t="shared" si="42"/>
        <v>0</v>
      </c>
      <c r="I359" s="986">
        <v>1</v>
      </c>
      <c r="J359" s="2150" t="s">
        <v>2892</v>
      </c>
      <c r="N359"/>
    </row>
    <row r="360" spans="1:14" ht="12.75" customHeight="1" x14ac:dyDescent="0.2">
      <c r="A360" s="242">
        <v>360</v>
      </c>
      <c r="B360" s="5664"/>
      <c r="C360" s="2149" t="str">
        <f t="shared" si="40"/>
        <v>Sentido del combate: Esquiva</v>
      </c>
      <c r="D360" s="981">
        <f t="shared" si="39"/>
        <v>47</v>
      </c>
      <c r="E360" s="56" t="s">
        <v>2481</v>
      </c>
      <c r="F360" s="2145">
        <v>2</v>
      </c>
      <c r="G360" s="2145">
        <f>COUNTIF(Principal!$C$35:$J$53,Tablas!E360)</f>
        <v>1</v>
      </c>
      <c r="H360" s="2146">
        <f t="shared" si="42"/>
        <v>2</v>
      </c>
      <c r="I360" s="986">
        <v>1</v>
      </c>
      <c r="J360" s="2150" t="s">
        <v>2892</v>
      </c>
      <c r="N360"/>
    </row>
    <row r="361" spans="1:14" ht="12.75" customHeight="1" x14ac:dyDescent="0.2">
      <c r="A361" s="242">
        <v>361</v>
      </c>
      <c r="B361" s="5664"/>
      <c r="C361" s="2149" t="str">
        <f t="shared" si="40"/>
        <v>Sentido del combate: Parada</v>
      </c>
      <c r="D361" s="981">
        <f t="shared" si="39"/>
        <v>123</v>
      </c>
      <c r="E361" s="56" t="s">
        <v>2482</v>
      </c>
      <c r="F361" s="2145">
        <v>1</v>
      </c>
      <c r="G361" s="2145">
        <f>COUNTIF(Principal!$C$35:$J$53,Tablas!E361)</f>
        <v>0</v>
      </c>
      <c r="H361" s="2146">
        <f t="shared" si="42"/>
        <v>0</v>
      </c>
      <c r="I361" s="986">
        <v>1</v>
      </c>
      <c r="J361" s="2150" t="s">
        <v>2892</v>
      </c>
      <c r="N361"/>
    </row>
    <row r="362" spans="1:14" ht="12.75" customHeight="1" x14ac:dyDescent="0.2">
      <c r="A362" s="242">
        <v>362</v>
      </c>
      <c r="B362" s="5664"/>
      <c r="C362" s="2149" t="str">
        <f t="shared" si="40"/>
        <v>Sentido del peligro</v>
      </c>
      <c r="D362" s="981">
        <f t="shared" si="39"/>
        <v>124</v>
      </c>
      <c r="E362" s="56" t="s">
        <v>2483</v>
      </c>
      <c r="F362" s="2145">
        <v>2</v>
      </c>
      <c r="G362" s="2145">
        <f>COUNTIF(Principal!$C$35:$J$53,Tablas!E362)</f>
        <v>0</v>
      </c>
      <c r="H362" s="2146">
        <f t="shared" si="42"/>
        <v>0</v>
      </c>
      <c r="I362" s="986">
        <v>1</v>
      </c>
      <c r="J362" s="2150" t="s">
        <v>2892</v>
      </c>
      <c r="N362"/>
    </row>
    <row r="363" spans="1:14" ht="12.75" customHeight="1" x14ac:dyDescent="0.2">
      <c r="A363" s="242">
        <v>363</v>
      </c>
      <c r="B363" s="5664"/>
      <c r="C363" s="2149" t="str">
        <f t="shared" si="40"/>
        <v>Sentidos agudos</v>
      </c>
      <c r="D363" s="981">
        <f t="shared" si="39"/>
        <v>125</v>
      </c>
      <c r="E363" s="56" t="s">
        <v>2484</v>
      </c>
      <c r="F363" s="2145">
        <v>3</v>
      </c>
      <c r="G363" s="2145">
        <f>COUNTIF(Principal!$C$35:$J$53,Tablas!E363)</f>
        <v>0</v>
      </c>
      <c r="H363" s="2146">
        <f t="shared" si="42"/>
        <v>0</v>
      </c>
      <c r="I363" s="986">
        <v>1</v>
      </c>
      <c r="J363" s="2150" t="s">
        <v>2892</v>
      </c>
      <c r="N363"/>
    </row>
    <row r="364" spans="1:14" ht="12.75" customHeight="1" x14ac:dyDescent="0.2">
      <c r="A364" s="242">
        <v>364</v>
      </c>
      <c r="B364" s="5664"/>
      <c r="C364" s="2149" t="str">
        <f t="shared" si="40"/>
        <v>Sin límite de familiares</v>
      </c>
      <c r="D364" s="981">
        <f t="shared" si="39"/>
        <v>127</v>
      </c>
      <c r="E364" s="56" t="s">
        <v>2485</v>
      </c>
      <c r="F364" s="2145">
        <v>1</v>
      </c>
      <c r="G364" s="2145">
        <f>COUNTIF(Principal!$C$35:$J$53,Tablas!E364)</f>
        <v>0</v>
      </c>
      <c r="H364" s="2146">
        <f t="shared" si="42"/>
        <v>0</v>
      </c>
      <c r="I364" s="986">
        <v>1</v>
      </c>
      <c r="J364" s="2150" t="s">
        <v>2892</v>
      </c>
      <c r="N364"/>
    </row>
    <row r="365" spans="1:14" ht="12.75" customHeight="1" x14ac:dyDescent="0.2">
      <c r="A365" s="242">
        <v>365</v>
      </c>
      <c r="B365" s="5664"/>
      <c r="C365" s="2149" t="str">
        <f t="shared" si="40"/>
        <v>Sueño ligero</v>
      </c>
      <c r="D365" s="981">
        <f t="shared" si="39"/>
        <v>109</v>
      </c>
      <c r="E365" s="56" t="s">
        <v>2486</v>
      </c>
      <c r="F365" s="2145">
        <v>1</v>
      </c>
      <c r="G365" s="2145">
        <f>COUNTIF(Principal!$C$35:$J$53,Tablas!E365)</f>
        <v>0</v>
      </c>
      <c r="H365" s="2146">
        <f t="shared" si="42"/>
        <v>0</v>
      </c>
      <c r="I365" s="986"/>
      <c r="J365" s="2150" t="s">
        <v>2892</v>
      </c>
      <c r="N365"/>
    </row>
    <row r="366" spans="1:14" ht="12.75" customHeight="1" x14ac:dyDescent="0.2">
      <c r="A366" s="242">
        <v>366</v>
      </c>
      <c r="B366" s="5664"/>
      <c r="C366" s="2149" t="str">
        <f t="shared" si="40"/>
        <v>Superviviente</v>
      </c>
      <c r="D366" s="981">
        <f t="shared" si="39"/>
        <v>122</v>
      </c>
      <c r="E366" s="56" t="s">
        <v>2487</v>
      </c>
      <c r="F366" s="2145">
        <v>1</v>
      </c>
      <c r="G366" s="2145">
        <f>COUNTIF(Principal!$C$35:$J$53,Tablas!E366)</f>
        <v>0</v>
      </c>
      <c r="H366" s="2146">
        <f t="shared" si="42"/>
        <v>0</v>
      </c>
      <c r="I366" s="986"/>
      <c r="J366" s="2150" t="s">
        <v>2892</v>
      </c>
      <c r="N366"/>
    </row>
    <row r="367" spans="1:14" ht="12.75" customHeight="1" x14ac:dyDescent="0.2">
      <c r="A367" s="242">
        <v>367</v>
      </c>
      <c r="B367" s="5664"/>
      <c r="C367" s="2149" t="str">
        <f t="shared" si="40"/>
        <v>Sustituir característica por 9</v>
      </c>
      <c r="D367" s="981">
        <f t="shared" si="39"/>
        <v>70</v>
      </c>
      <c r="E367" s="56" t="s">
        <v>2488</v>
      </c>
      <c r="F367" s="2145">
        <v>1</v>
      </c>
      <c r="G367" s="2145">
        <f>COUNTIF(Principal!$C$35:$J$53,Tablas!E367)</f>
        <v>0</v>
      </c>
      <c r="H367" s="2146">
        <f t="shared" si="42"/>
        <v>0</v>
      </c>
      <c r="I367" s="986"/>
      <c r="J367" s="2150" t="s">
        <v>2892</v>
      </c>
      <c r="N367"/>
    </row>
    <row r="368" spans="1:14" ht="12.75" customHeight="1" x14ac:dyDescent="0.2">
      <c r="A368" s="242">
        <v>368</v>
      </c>
      <c r="B368" s="5664"/>
      <c r="C368" s="2149" t="str">
        <f t="shared" si="40"/>
        <v>Tamaño no natural +1</v>
      </c>
      <c r="D368" s="981">
        <f t="shared" si="39"/>
        <v>65</v>
      </c>
      <c r="E368" s="56" t="s">
        <v>2489</v>
      </c>
      <c r="F368" s="2145">
        <v>1</v>
      </c>
      <c r="G368" s="2145">
        <f>COUNTIF(Principal!$C$35:$J$53,Tablas!E368)</f>
        <v>0</v>
      </c>
      <c r="H368" s="2146">
        <f t="shared" si="42"/>
        <v>0</v>
      </c>
      <c r="I368" s="986">
        <v>2</v>
      </c>
      <c r="J368" s="2150" t="s">
        <v>2892</v>
      </c>
      <c r="N368"/>
    </row>
    <row r="369" spans="1:14" ht="12.75" customHeight="1" x14ac:dyDescent="0.2">
      <c r="A369" s="242">
        <v>369</v>
      </c>
      <c r="B369" s="5664"/>
      <c r="C369" s="2149" t="str">
        <f t="shared" si="40"/>
        <v>Tamaño no natural +2</v>
      </c>
      <c r="D369" s="981">
        <f t="shared" si="39"/>
        <v>77</v>
      </c>
      <c r="E369" s="56" t="s">
        <v>2490</v>
      </c>
      <c r="F369" s="2145">
        <v>1</v>
      </c>
      <c r="G369" s="2145">
        <f>COUNTIF(Principal!$C$35:$J$53,Tablas!E369)</f>
        <v>0</v>
      </c>
      <c r="H369" s="2146">
        <f t="shared" si="42"/>
        <v>0</v>
      </c>
      <c r="I369" s="986"/>
      <c r="J369" s="2150" t="s">
        <v>2892</v>
      </c>
      <c r="N369"/>
    </row>
    <row r="370" spans="1:14" ht="12.75" customHeight="1" x14ac:dyDescent="0.2">
      <c r="A370" s="242">
        <v>370</v>
      </c>
      <c r="B370" s="5664"/>
      <c r="C370" s="2152" t="str">
        <f t="shared" si="40"/>
        <v>Tamaño no natural +3</v>
      </c>
      <c r="D370" s="981">
        <f t="shared" si="39"/>
        <v>100</v>
      </c>
      <c r="E370" s="56" t="s">
        <v>2491</v>
      </c>
      <c r="F370" s="2145">
        <v>1</v>
      </c>
      <c r="G370" s="2145">
        <f>COUNTIF(Principal!$C$35:$J$53,Tablas!E370)</f>
        <v>0</v>
      </c>
      <c r="H370" s="2146">
        <f t="shared" si="42"/>
        <v>0</v>
      </c>
      <c r="I370" s="986"/>
      <c r="J370" s="2150" t="s">
        <v>2892</v>
      </c>
      <c r="N370"/>
    </row>
    <row r="371" spans="1:14" ht="12.75" customHeight="1" x14ac:dyDescent="0.2">
      <c r="A371" s="242">
        <v>371</v>
      </c>
      <c r="B371" s="5664"/>
      <c r="C371" s="2152" t="str">
        <f t="shared" si="40"/>
        <v>Tamaño no natural +4</v>
      </c>
      <c r="D371" s="981">
        <f t="shared" si="39"/>
        <v>-6</v>
      </c>
      <c r="E371" s="56" t="s">
        <v>2509</v>
      </c>
      <c r="F371" s="2145"/>
      <c r="G371" s="2145"/>
      <c r="H371" s="2146"/>
      <c r="I371" s="986"/>
      <c r="J371" s="2150" t="s">
        <v>2892</v>
      </c>
      <c r="N371"/>
    </row>
    <row r="372" spans="1:14" ht="12.75" customHeight="1" x14ac:dyDescent="0.2">
      <c r="A372" s="242">
        <v>372</v>
      </c>
      <c r="B372" s="5664"/>
      <c r="C372" s="2152" t="str">
        <f t="shared" si="40"/>
        <v>Tamaño no natural +5</v>
      </c>
      <c r="D372" s="981">
        <f t="shared" si="39"/>
        <v>8</v>
      </c>
      <c r="E372" s="56" t="s">
        <v>2510</v>
      </c>
      <c r="F372" s="2145">
        <v>2</v>
      </c>
      <c r="G372" s="2145">
        <f>COUNTIF(Principal!$C$35:$J$53,Tablas!E372)</f>
        <v>0</v>
      </c>
      <c r="H372" s="2146">
        <f t="shared" ref="H372:H382" si="43">G372*F372</f>
        <v>0</v>
      </c>
      <c r="I372" s="986"/>
      <c r="J372" s="2150" t="s">
        <v>2892</v>
      </c>
      <c r="N372"/>
    </row>
    <row r="373" spans="1:14" ht="12.75" customHeight="1" x14ac:dyDescent="0.2">
      <c r="A373" s="242">
        <v>373</v>
      </c>
      <c r="B373" s="5664"/>
      <c r="C373" s="2152" t="str">
        <f t="shared" si="40"/>
        <v>Tamaño no natural -1</v>
      </c>
      <c r="D373" s="981">
        <f t="shared" si="39"/>
        <v>31</v>
      </c>
      <c r="E373" s="56" t="s">
        <v>2511</v>
      </c>
      <c r="F373" s="2145">
        <v>1</v>
      </c>
      <c r="G373" s="2145">
        <f>COUNTIF(Principal!$C$35:$J$53,Tablas!E373)</f>
        <v>0</v>
      </c>
      <c r="H373" s="2146">
        <f t="shared" si="43"/>
        <v>0</v>
      </c>
      <c r="I373" s="986"/>
      <c r="J373" s="2150" t="s">
        <v>2892</v>
      </c>
      <c r="N373"/>
    </row>
    <row r="374" spans="1:14" ht="12.75" customHeight="1" x14ac:dyDescent="0.2">
      <c r="A374" s="242">
        <v>374</v>
      </c>
      <c r="B374" s="5664"/>
      <c r="C374" s="2152" t="str">
        <f t="shared" si="40"/>
        <v>Tamaño no natural -2</v>
      </c>
      <c r="D374" s="981">
        <f t="shared" si="39"/>
        <v>76</v>
      </c>
      <c r="E374" s="56" t="s">
        <v>2512</v>
      </c>
      <c r="F374" s="2145">
        <v>1</v>
      </c>
      <c r="G374" s="2145">
        <f>COUNTIF(Principal!$C$35:$J$53,Tablas!E374)</f>
        <v>0</v>
      </c>
      <c r="H374" s="2146">
        <f t="shared" si="43"/>
        <v>0</v>
      </c>
      <c r="I374" s="986">
        <v>1</v>
      </c>
      <c r="J374" s="2150" t="s">
        <v>2892</v>
      </c>
      <c r="N374"/>
    </row>
    <row r="375" spans="1:14" ht="12.75" customHeight="1" x14ac:dyDescent="0.2">
      <c r="A375" s="242">
        <v>375</v>
      </c>
      <c r="B375" s="5664"/>
      <c r="C375" s="2152" t="str">
        <f t="shared" si="40"/>
        <v>Tamaño no natural -3</v>
      </c>
      <c r="D375" s="981">
        <f t="shared" si="39"/>
        <v>83</v>
      </c>
      <c r="E375" s="56" t="s">
        <v>2513</v>
      </c>
      <c r="F375" s="2145">
        <v>1</v>
      </c>
      <c r="G375" s="2145">
        <f>COUNTIF(Principal!$C$35:$J$53,Tablas!E375)</f>
        <v>0</v>
      </c>
      <c r="H375" s="2146">
        <f t="shared" si="43"/>
        <v>0</v>
      </c>
      <c r="I375" s="986">
        <v>1</v>
      </c>
      <c r="J375" s="2150" t="s">
        <v>2892</v>
      </c>
      <c r="N375"/>
    </row>
    <row r="376" spans="1:14" ht="12.75" customHeight="1" x14ac:dyDescent="0.2">
      <c r="A376" s="242">
        <v>376</v>
      </c>
      <c r="B376" s="5664"/>
      <c r="C376" s="2152" t="str">
        <f t="shared" si="40"/>
        <v>Tamaño no natural -4</v>
      </c>
      <c r="D376" s="981">
        <f t="shared" si="39"/>
        <v>121</v>
      </c>
      <c r="E376" s="56" t="s">
        <v>2514</v>
      </c>
      <c r="F376" s="2145">
        <v>1</v>
      </c>
      <c r="G376" s="2145">
        <f>COUNTIF(Principal!$C$35:$J$53,Tablas!E376)</f>
        <v>0</v>
      </c>
      <c r="H376" s="2146">
        <f t="shared" si="43"/>
        <v>0</v>
      </c>
      <c r="I376" s="986"/>
      <c r="J376" s="2150" t="s">
        <v>2892</v>
      </c>
      <c r="N376"/>
    </row>
    <row r="377" spans="1:14" ht="12.75" customHeight="1" x14ac:dyDescent="0.2">
      <c r="A377" s="242">
        <v>377</v>
      </c>
      <c r="B377" s="5664"/>
      <c r="C377" s="2152" t="str">
        <f t="shared" si="40"/>
        <v>Tamaño no natural -5</v>
      </c>
      <c r="D377" s="981">
        <f t="shared" si="39"/>
        <v>1</v>
      </c>
      <c r="E377" s="56" t="s">
        <v>2515</v>
      </c>
      <c r="F377" s="2145">
        <v>1</v>
      </c>
      <c r="G377" s="2145">
        <f>COUNTIF(Principal!$C$35:$J$53,Tablas!E377)</f>
        <v>0</v>
      </c>
      <c r="H377" s="2146">
        <f t="shared" si="43"/>
        <v>0</v>
      </c>
      <c r="I377" s="986"/>
      <c r="J377" s="2150" t="s">
        <v>2892</v>
      </c>
      <c r="N377"/>
    </row>
    <row r="378" spans="1:14" ht="12.75" customHeight="1" x14ac:dyDescent="0.2">
      <c r="A378" s="242">
        <v>378</v>
      </c>
      <c r="B378" s="5664"/>
      <c r="C378" s="2152" t="str">
        <f t="shared" si="40"/>
        <v>Técnicas desvinculadas</v>
      </c>
      <c r="D378" s="981">
        <f t="shared" si="39"/>
        <v>2</v>
      </c>
      <c r="E378" s="56" t="s">
        <v>2516</v>
      </c>
      <c r="F378" s="2145">
        <v>2</v>
      </c>
      <c r="G378" s="2145">
        <f>COUNTIF(Principal!$C$35:$J$53,Tablas!E378)</f>
        <v>0</v>
      </c>
      <c r="H378" s="2146">
        <f t="shared" si="43"/>
        <v>0</v>
      </c>
      <c r="I378" s="986"/>
      <c r="J378" s="2150" t="s">
        <v>2892</v>
      </c>
      <c r="N378"/>
    </row>
    <row r="379" spans="1:14" ht="12.75" customHeight="1" x14ac:dyDescent="0.2">
      <c r="A379" s="242">
        <v>379</v>
      </c>
      <c r="B379" s="5664"/>
      <c r="C379" s="2152" t="str">
        <f t="shared" si="40"/>
        <v>Tocado por el Destino</v>
      </c>
      <c r="D379" s="981">
        <f t="shared" si="39"/>
        <v>82</v>
      </c>
      <c r="E379" s="56" t="s">
        <v>2517</v>
      </c>
      <c r="F379" s="2145">
        <v>1</v>
      </c>
      <c r="G379" s="2145">
        <f>COUNTIF(Principal!$C$35:$J$53,Tablas!E379)</f>
        <v>0</v>
      </c>
      <c r="H379" s="2146">
        <f t="shared" si="43"/>
        <v>0</v>
      </c>
      <c r="I379" s="986">
        <v>1</v>
      </c>
      <c r="J379" s="2150" t="s">
        <v>2892</v>
      </c>
      <c r="N379"/>
    </row>
    <row r="380" spans="1:14" ht="12.75" customHeight="1" x14ac:dyDescent="0.2">
      <c r="A380" s="242">
        <v>380</v>
      </c>
      <c r="B380" s="5664"/>
      <c r="C380" s="2152" t="str">
        <f t="shared" si="40"/>
        <v>Uso de armadura (1)</v>
      </c>
      <c r="D380" s="981">
        <f t="shared" si="39"/>
        <v>78</v>
      </c>
      <c r="E380" s="56" t="s">
        <v>2518</v>
      </c>
      <c r="F380" s="2145">
        <v>1</v>
      </c>
      <c r="G380" s="2145">
        <f>COUNTIF(Principal!$C$35:$J$53,Tablas!E380)</f>
        <v>0</v>
      </c>
      <c r="H380" s="2146">
        <f t="shared" si="43"/>
        <v>0</v>
      </c>
      <c r="I380" s="986">
        <v>1</v>
      </c>
      <c r="J380" s="2150" t="s">
        <v>2892</v>
      </c>
      <c r="N380"/>
    </row>
    <row r="381" spans="1:14" ht="12.75" customHeight="1" x14ac:dyDescent="0.2">
      <c r="A381" s="242">
        <v>381</v>
      </c>
      <c r="B381" s="5664"/>
      <c r="C381" s="2152" t="str">
        <f t="shared" si="40"/>
        <v>Uso de armadura (2)</v>
      </c>
      <c r="D381" s="981">
        <f t="shared" si="39"/>
        <v>75</v>
      </c>
      <c r="E381" s="56" t="s">
        <v>2519</v>
      </c>
      <c r="F381" s="2145">
        <v>1</v>
      </c>
      <c r="G381" s="2145">
        <f>COUNTIF(Principal!$C$35:$J$53,Tablas!E381)</f>
        <v>0</v>
      </c>
      <c r="H381" s="2146">
        <f t="shared" si="43"/>
        <v>0</v>
      </c>
      <c r="I381" s="986"/>
      <c r="J381" s="2150" t="s">
        <v>2892</v>
      </c>
      <c r="N381"/>
    </row>
    <row r="382" spans="1:14" ht="12.75" customHeight="1" x14ac:dyDescent="0.2">
      <c r="A382" s="242">
        <v>382</v>
      </c>
      <c r="B382" s="5664"/>
      <c r="C382" s="2152" t="str">
        <f t="shared" si="40"/>
        <v>Uso de armadura (3)</v>
      </c>
      <c r="D382" s="981">
        <f t="shared" si="39"/>
        <v>101</v>
      </c>
      <c r="E382" s="56" t="s">
        <v>2520</v>
      </c>
      <c r="F382" s="2145">
        <v>1</v>
      </c>
      <c r="G382" s="2145">
        <f>COUNTIF(Principal!$C$35:$J$53,Tablas!E382)</f>
        <v>0</v>
      </c>
      <c r="H382" s="2146">
        <f t="shared" si="43"/>
        <v>0</v>
      </c>
      <c r="I382" s="986"/>
      <c r="J382" s="2150" t="s">
        <v>2892</v>
      </c>
      <c r="N382"/>
    </row>
    <row r="383" spans="1:14" ht="12.75" customHeight="1" x14ac:dyDescent="0.2">
      <c r="A383" s="242">
        <v>383</v>
      </c>
      <c r="B383" s="5664"/>
      <c r="C383" s="2152" t="str">
        <f t="shared" si="40"/>
        <v>Ver lo sobrenatural</v>
      </c>
      <c r="D383" s="981">
        <f t="shared" si="39"/>
        <v>-7</v>
      </c>
      <c r="E383" s="56" t="s">
        <v>2521</v>
      </c>
      <c r="F383" s="2145"/>
      <c r="G383" s="2145"/>
      <c r="H383" s="2146"/>
      <c r="I383" s="986"/>
      <c r="J383" s="2150" t="s">
        <v>2892</v>
      </c>
      <c r="N383"/>
    </row>
    <row r="384" spans="1:14" ht="12.75" customHeight="1" x14ac:dyDescent="0.2">
      <c r="A384" s="242">
        <v>384</v>
      </c>
      <c r="B384" s="5664"/>
      <c r="C384" s="2152" t="str">
        <f t="shared" si="40"/>
        <v>Versátil</v>
      </c>
      <c r="D384" s="981">
        <f t="shared" si="39"/>
        <v>57</v>
      </c>
      <c r="E384" s="56" t="s">
        <v>2522</v>
      </c>
      <c r="F384" s="2145">
        <v>1</v>
      </c>
      <c r="G384" s="2145">
        <f>COUNTIF(Principal!$C$35:$J$53,Tablas!E384)</f>
        <v>0</v>
      </c>
      <c r="H384" s="2146">
        <f t="shared" ref="H384:H390" si="44">G384*F384</f>
        <v>0</v>
      </c>
      <c r="I384" s="986"/>
      <c r="J384" s="2150" t="s">
        <v>2892</v>
      </c>
      <c r="N384"/>
    </row>
    <row r="385" spans="1:14" ht="12.75" customHeight="1" x14ac:dyDescent="0.2">
      <c r="A385" s="242">
        <v>385</v>
      </c>
      <c r="B385" s="5664"/>
      <c r="C385" s="2152" t="str">
        <f t="shared" si="40"/>
        <v>Visión nocturna</v>
      </c>
      <c r="D385" s="981">
        <f t="shared" si="39"/>
        <v>62</v>
      </c>
      <c r="E385" s="56" t="s">
        <v>6397</v>
      </c>
      <c r="F385" s="2145">
        <v>1</v>
      </c>
      <c r="G385" s="2145">
        <f>COUNTIF(Principal!$C$35:$J$53,Tablas!E385)</f>
        <v>0</v>
      </c>
      <c r="H385" s="2146">
        <f t="shared" si="44"/>
        <v>0</v>
      </c>
      <c r="I385" s="986"/>
      <c r="J385" s="2150" t="s">
        <v>2892</v>
      </c>
      <c r="N385"/>
    </row>
    <row r="386" spans="1:14" ht="12.75" customHeight="1" x14ac:dyDescent="0.2">
      <c r="A386" s="242">
        <v>386</v>
      </c>
      <c r="B386" s="5664"/>
      <c r="C386" s="2152" t="str">
        <f t="shared" si="40"/>
        <v>&gt; VENTAJAS PERSONALIZADAS</v>
      </c>
      <c r="D386" s="981">
        <f t="shared" ref="D386:D392" si="45">COUNTIF($E$257:$E$392,"&lt;="&amp;E386)-COUNTIF($E$257:$E$392,"*&gt;*")</f>
        <v>63</v>
      </c>
      <c r="E386" s="56" t="s">
        <v>2523</v>
      </c>
      <c r="F386" s="2145">
        <v>2</v>
      </c>
      <c r="G386" s="2145">
        <f>COUNTIF(Principal!$C$35:$J$53,Tablas!E386)</f>
        <v>0</v>
      </c>
      <c r="H386" s="2146">
        <f t="shared" si="44"/>
        <v>0</v>
      </c>
      <c r="I386" s="986"/>
      <c r="J386" s="2150" t="s">
        <v>2892</v>
      </c>
      <c r="N386"/>
    </row>
    <row r="387" spans="1:14" ht="12.75" customHeight="1" x14ac:dyDescent="0.2">
      <c r="A387" s="242">
        <v>387</v>
      </c>
      <c r="B387" s="5664"/>
      <c r="C387" s="2152" t="str">
        <f t="shared" ref="C387:C397" si="46">VLOOKUP(A130,$D$257:$E$397,2,0)</f>
        <v>Ventaja personalizada #1</v>
      </c>
      <c r="D387" s="981">
        <f t="shared" si="45"/>
        <v>64</v>
      </c>
      <c r="E387" s="56" t="s">
        <v>2524</v>
      </c>
      <c r="F387" s="2145">
        <v>3</v>
      </c>
      <c r="G387" s="2145">
        <f>COUNTIF(Principal!$C$35:$J$53,Tablas!E387)</f>
        <v>0</v>
      </c>
      <c r="H387" s="2146">
        <f t="shared" si="44"/>
        <v>0</v>
      </c>
      <c r="I387" s="986"/>
      <c r="J387" s="2150" t="s">
        <v>2892</v>
      </c>
      <c r="N387"/>
    </row>
    <row r="388" spans="1:14" ht="12.75" customHeight="1" x14ac:dyDescent="0.2">
      <c r="A388" s="242">
        <v>388</v>
      </c>
      <c r="B388" s="5664"/>
      <c r="C388" s="2152" t="str">
        <f t="shared" si="46"/>
        <v>Ventaja personalizada #2</v>
      </c>
      <c r="D388" s="981">
        <f t="shared" si="45"/>
        <v>50</v>
      </c>
      <c r="E388" s="56" t="s">
        <v>2525</v>
      </c>
      <c r="F388" s="2145">
        <v>1</v>
      </c>
      <c r="G388" s="2145">
        <f>COUNTIF(Principal!$C$35:$J$53,Tablas!E388)</f>
        <v>0</v>
      </c>
      <c r="H388" s="2146">
        <f t="shared" si="44"/>
        <v>0</v>
      </c>
      <c r="I388" s="986">
        <v>1</v>
      </c>
      <c r="J388" s="2150" t="s">
        <v>2892</v>
      </c>
      <c r="N388"/>
    </row>
    <row r="389" spans="1:14" ht="12.75" customHeight="1" x14ac:dyDescent="0.2">
      <c r="A389" s="242">
        <v>389</v>
      </c>
      <c r="B389" s="5664"/>
      <c r="C389" s="2152" t="str">
        <f t="shared" si="46"/>
        <v>Ventaja personalizada #3</v>
      </c>
      <c r="D389" s="981">
        <f t="shared" si="45"/>
        <v>51</v>
      </c>
      <c r="E389" s="56" t="s">
        <v>2526</v>
      </c>
      <c r="F389" s="2145">
        <v>2</v>
      </c>
      <c r="G389" s="2145">
        <f>COUNTIF(Principal!$C$35:$J$53,Tablas!E389)</f>
        <v>0</v>
      </c>
      <c r="H389" s="2146">
        <f t="shared" si="44"/>
        <v>0</v>
      </c>
      <c r="I389" s="986">
        <v>1</v>
      </c>
      <c r="J389" s="2150" t="s">
        <v>2892</v>
      </c>
      <c r="N389"/>
    </row>
    <row r="390" spans="1:14" ht="12.75" customHeight="1" x14ac:dyDescent="0.2">
      <c r="A390" s="242">
        <v>390</v>
      </c>
      <c r="B390" s="5664"/>
      <c r="C390" s="2152" t="str">
        <f t="shared" si="46"/>
        <v>Ventaja personalizada #4</v>
      </c>
      <c r="D390" s="981">
        <f t="shared" si="45"/>
        <v>52</v>
      </c>
      <c r="E390" s="56" t="s">
        <v>2527</v>
      </c>
      <c r="F390" s="2145">
        <v>3</v>
      </c>
      <c r="G390" s="2145">
        <f>COUNTIF(Principal!$C$35:$J$53,Tablas!E390)</f>
        <v>0</v>
      </c>
      <c r="H390" s="2146">
        <f t="shared" si="44"/>
        <v>0</v>
      </c>
      <c r="I390" s="986">
        <v>1</v>
      </c>
      <c r="J390" s="2150" t="s">
        <v>2892</v>
      </c>
      <c r="N390"/>
    </row>
    <row r="391" spans="1:14" ht="12.75" customHeight="1" x14ac:dyDescent="0.2">
      <c r="A391" s="242">
        <v>391</v>
      </c>
      <c r="B391" s="5664"/>
      <c r="C391" s="2152" t="e">
        <f t="shared" si="46"/>
        <v>#N/A</v>
      </c>
      <c r="D391" s="981">
        <f t="shared" si="45"/>
        <v>-5</v>
      </c>
      <c r="E391" s="56" t="s">
        <v>2532</v>
      </c>
      <c r="F391" s="2145"/>
      <c r="G391" s="2145"/>
      <c r="H391" s="2146"/>
      <c r="I391" s="986"/>
      <c r="J391" s="2150" t="s">
        <v>2892</v>
      </c>
      <c r="N391"/>
    </row>
    <row r="392" spans="1:14" ht="12.75" customHeight="1" x14ac:dyDescent="0.2">
      <c r="A392" s="242">
        <v>392</v>
      </c>
      <c r="B392" s="5664"/>
      <c r="C392" s="2152" t="e">
        <f t="shared" si="46"/>
        <v>#N/A</v>
      </c>
      <c r="D392" s="981">
        <f t="shared" si="45"/>
        <v>10</v>
      </c>
      <c r="E392" s="56" t="s">
        <v>2533</v>
      </c>
      <c r="F392" s="2145">
        <v>1</v>
      </c>
      <c r="G392" s="2145">
        <f>COUNTIF(Principal!$C$35:$J$53,Tablas!E392)</f>
        <v>0</v>
      </c>
      <c r="H392" s="2146">
        <f>G392*F392</f>
        <v>0</v>
      </c>
      <c r="I392" s="986"/>
      <c r="J392" s="2150" t="s">
        <v>2892</v>
      </c>
      <c r="N392"/>
    </row>
    <row r="393" spans="1:14" ht="12.75" customHeight="1" x14ac:dyDescent="0.2">
      <c r="A393" s="242">
        <v>393</v>
      </c>
      <c r="B393" s="5664"/>
      <c r="C393" s="2152" t="e">
        <f t="shared" si="46"/>
        <v>#N/A</v>
      </c>
      <c r="D393" s="981">
        <f>MAX(D256:D392)+1</f>
        <v>129</v>
      </c>
      <c r="E393" s="56" t="s">
        <v>8698</v>
      </c>
      <c r="F393" s="2145"/>
      <c r="G393" s="2145"/>
      <c r="H393" s="2146"/>
      <c r="I393" s="986"/>
      <c r="J393" s="2150" t="s">
        <v>2892</v>
      </c>
      <c r="K393" s="2696"/>
      <c r="N393"/>
    </row>
    <row r="394" spans="1:14" ht="12.75" customHeight="1" x14ac:dyDescent="0.2">
      <c r="A394" s="242">
        <v>394</v>
      </c>
      <c r="B394" s="5664"/>
      <c r="C394" s="2152" t="e">
        <f t="shared" si="46"/>
        <v>#N/A</v>
      </c>
      <c r="D394" s="981">
        <f>IF(LEN(E394)&gt;0,D393+1,MIN($D$256:D393)-1)</f>
        <v>130</v>
      </c>
      <c r="E394" s="56" t="str">
        <f>IF(Personalización!$C11="","Ventaja personalizada #"&amp;A1,Personalización!$C11)</f>
        <v>Ventaja personalizada #1</v>
      </c>
      <c r="F394" s="2145">
        <f>Personalización!G11</f>
        <v>0</v>
      </c>
      <c r="G394" s="2145">
        <f>COUNTIF(Principal!$C$35:$J$49,Tablas!E394)</f>
        <v>0</v>
      </c>
      <c r="H394" s="2146">
        <f>G394*F394</f>
        <v>0</v>
      </c>
      <c r="I394" s="986"/>
      <c r="J394" s="2150" t="s">
        <v>2892</v>
      </c>
      <c r="K394" s="2696"/>
      <c r="N394"/>
    </row>
    <row r="395" spans="1:14" ht="12.75" customHeight="1" x14ac:dyDescent="0.2">
      <c r="A395" s="242">
        <v>395</v>
      </c>
      <c r="B395" s="5664"/>
      <c r="C395" s="2152" t="e">
        <f t="shared" si="46"/>
        <v>#N/A</v>
      </c>
      <c r="D395" s="981">
        <f>IF(LEN(E395)&gt;0,D394+1,MIN($D$256:D394)-1)</f>
        <v>131</v>
      </c>
      <c r="E395" s="56" t="str">
        <f>IF(Personalización!$C12="","Ventaja personalizada #"&amp;A2,Personalización!$C12)</f>
        <v>Ventaja personalizada #2</v>
      </c>
      <c r="F395" s="2145">
        <f>Personalización!G12</f>
        <v>0</v>
      </c>
      <c r="G395" s="2145">
        <f>COUNTIF(Principal!$C$35:$J$49,Tablas!E395)</f>
        <v>0</v>
      </c>
      <c r="H395" s="2146">
        <f>G395*F395</f>
        <v>0</v>
      </c>
      <c r="I395" s="986"/>
      <c r="J395" s="2150" t="s">
        <v>2892</v>
      </c>
      <c r="K395" s="2696"/>
      <c r="N395"/>
    </row>
    <row r="396" spans="1:14" ht="12.75" customHeight="1" x14ac:dyDescent="0.2">
      <c r="A396" s="242">
        <v>396</v>
      </c>
      <c r="B396" s="5664"/>
      <c r="C396" s="2152" t="e">
        <f t="shared" si="46"/>
        <v>#N/A</v>
      </c>
      <c r="D396" s="981">
        <f>IF(LEN(E396)&gt;0,D395+1,MIN($D$256:D395)-1)</f>
        <v>132</v>
      </c>
      <c r="E396" s="56" t="str">
        <f>IF(Personalización!$C13="","Ventaja personalizada #"&amp;A3,Personalización!$C13)</f>
        <v>Ventaja personalizada #3</v>
      </c>
      <c r="F396" s="2145">
        <f>Personalización!G13</f>
        <v>0</v>
      </c>
      <c r="G396" s="2145">
        <f>COUNTIF(Principal!$C$35:$J$49,Tablas!E396)</f>
        <v>0</v>
      </c>
      <c r="H396" s="2146">
        <f>G396*F396</f>
        <v>0</v>
      </c>
      <c r="I396" s="986"/>
      <c r="J396" s="2150" t="s">
        <v>2892</v>
      </c>
      <c r="K396" s="2696"/>
      <c r="N396"/>
    </row>
    <row r="397" spans="1:14" ht="12.75" customHeight="1" x14ac:dyDescent="0.2">
      <c r="A397" s="242">
        <v>397</v>
      </c>
      <c r="B397" s="5664"/>
      <c r="C397" s="2153" t="e">
        <f t="shared" si="46"/>
        <v>#N/A</v>
      </c>
      <c r="D397" s="981">
        <f>IF(LEN(E397)&gt;0,D396+1,MIN($D$256:D396)-1)</f>
        <v>133</v>
      </c>
      <c r="E397" s="56" t="str">
        <f>IF(Personalización!$C14="","Ventaja personalizada #"&amp;A4,Personalización!$C14)</f>
        <v>Ventaja personalizada #4</v>
      </c>
      <c r="F397" s="2145">
        <f>Personalización!G14</f>
        <v>0</v>
      </c>
      <c r="G397" s="2145">
        <f>COUNTIF(Principal!$C$35:$J$49,Tablas!E397)</f>
        <v>0</v>
      </c>
      <c r="H397" s="2146">
        <f>G397*F397</f>
        <v>0</v>
      </c>
      <c r="I397" s="986"/>
      <c r="J397" s="2150" t="s">
        <v>2892</v>
      </c>
      <c r="K397" s="2696"/>
      <c r="N397"/>
    </row>
    <row r="398" spans="1:14" ht="12.75" customHeight="1" x14ac:dyDescent="0.2">
      <c r="A398" s="242">
        <v>398</v>
      </c>
      <c r="B398" s="5664"/>
      <c r="C398" s="2154"/>
      <c r="D398" s="982"/>
      <c r="E398" s="2155" t="s">
        <v>2373</v>
      </c>
      <c r="F398" s="833"/>
      <c r="G398" s="833"/>
      <c r="H398" s="985"/>
      <c r="I398" s="2147"/>
      <c r="J398" s="2148" t="s">
        <v>2309</v>
      </c>
      <c r="N398"/>
    </row>
    <row r="399" spans="1:14" ht="12.75" customHeight="1" x14ac:dyDescent="0.2">
      <c r="A399" s="242">
        <v>399</v>
      </c>
      <c r="B399" s="5664"/>
      <c r="C399" s="2154"/>
      <c r="D399" s="981">
        <f t="shared" ref="D399:D442" si="47">COUNTIF($E$399:$E$442,"&lt;="&amp;E399)-COUNTIF($E$399:$E$442,"*&gt;*")</f>
        <v>39</v>
      </c>
      <c r="E399" s="56" t="s">
        <v>2374</v>
      </c>
      <c r="F399" s="2145">
        <v>1</v>
      </c>
      <c r="G399" s="2145">
        <f>COUNTIF(Principal!$C$35:$J$53,Tablas!E399)</f>
        <v>0</v>
      </c>
      <c r="H399" s="2146">
        <f t="shared" ref="H399:H431" si="48">G399*F399</f>
        <v>0</v>
      </c>
      <c r="I399" s="986">
        <v>1</v>
      </c>
      <c r="J399" s="2150" t="s">
        <v>2309</v>
      </c>
      <c r="N399"/>
    </row>
    <row r="400" spans="1:14" ht="12.75" customHeight="1" x14ac:dyDescent="0.2">
      <c r="A400" s="242">
        <v>400</v>
      </c>
      <c r="B400" s="5664"/>
      <c r="C400" s="2154" t="str">
        <f>E398</f>
        <v>&gt; VENTAJAS: DON</v>
      </c>
      <c r="D400" s="981">
        <f t="shared" si="47"/>
        <v>40</v>
      </c>
      <c r="E400" s="56" t="s">
        <v>2375</v>
      </c>
      <c r="F400" s="2145">
        <v>2</v>
      </c>
      <c r="G400" s="2145">
        <f>COUNTIF(Principal!$C$35:$J$53,Tablas!E400)</f>
        <v>0</v>
      </c>
      <c r="H400" s="2146">
        <f t="shared" si="48"/>
        <v>0</v>
      </c>
      <c r="I400" s="986">
        <v>1</v>
      </c>
      <c r="J400" s="2150" t="s">
        <v>2309</v>
      </c>
      <c r="N400"/>
    </row>
    <row r="401" spans="1:14" ht="12.75" customHeight="1" x14ac:dyDescent="0.2">
      <c r="A401" s="242">
        <v>401</v>
      </c>
      <c r="B401" s="5664"/>
      <c r="C401" s="2152" t="str">
        <f t="shared" ref="C401:C442" si="49">VLOOKUP(A1,$D$399:$E$442,2,0)</f>
        <v>Aprendizaje mágico gradual</v>
      </c>
      <c r="D401" s="981">
        <f t="shared" si="47"/>
        <v>41</v>
      </c>
      <c r="E401" s="56" t="s">
        <v>2376</v>
      </c>
      <c r="F401" s="2145">
        <v>3</v>
      </c>
      <c r="G401" s="2145">
        <f>COUNTIF(Principal!$C$35:$J$53,Tablas!E401)</f>
        <v>0</v>
      </c>
      <c r="H401" s="2146">
        <f t="shared" si="48"/>
        <v>0</v>
      </c>
      <c r="I401" s="986">
        <v>1</v>
      </c>
      <c r="J401" s="2150" t="s">
        <v>2309</v>
      </c>
      <c r="N401"/>
    </row>
    <row r="402" spans="1:14" ht="12.75" customHeight="1" x14ac:dyDescent="0.2">
      <c r="A402" s="242">
        <v>402</v>
      </c>
      <c r="B402" s="5664"/>
      <c r="C402" s="2152" t="str">
        <f t="shared" si="49"/>
        <v>Apto desarrollo de la magia</v>
      </c>
      <c r="D402" s="981">
        <f t="shared" si="47"/>
        <v>2</v>
      </c>
      <c r="E402" s="56" t="s">
        <v>2377</v>
      </c>
      <c r="F402" s="2145">
        <v>1</v>
      </c>
      <c r="G402" s="2145">
        <f>COUNTIF(Principal!$C$35:$J$53,Tablas!E402)</f>
        <v>0</v>
      </c>
      <c r="H402" s="2146">
        <f t="shared" si="48"/>
        <v>0</v>
      </c>
      <c r="I402" s="986">
        <v>1</v>
      </c>
      <c r="J402" s="2150" t="s">
        <v>2309</v>
      </c>
      <c r="N402"/>
    </row>
    <row r="403" spans="1:14" ht="12.75" customHeight="1" x14ac:dyDescent="0.2">
      <c r="A403" s="242">
        <v>403</v>
      </c>
      <c r="B403" s="5664"/>
      <c r="C403" s="2152" t="str">
        <f t="shared" si="49"/>
        <v>Con. natural de Vía: Agua</v>
      </c>
      <c r="D403" s="981">
        <f t="shared" si="47"/>
        <v>10</v>
      </c>
      <c r="E403" s="56" t="s">
        <v>2378</v>
      </c>
      <c r="F403" s="2145">
        <v>1</v>
      </c>
      <c r="G403" s="2145">
        <f>COUNTIF(Principal!$C$35:$J$53,Tablas!E403)</f>
        <v>0</v>
      </c>
      <c r="H403" s="2146">
        <f t="shared" si="48"/>
        <v>0</v>
      </c>
      <c r="I403" s="986">
        <v>1</v>
      </c>
      <c r="J403" s="2150" t="s">
        <v>2309</v>
      </c>
      <c r="K403" s="1505" t="s">
        <v>1708</v>
      </c>
      <c r="N403"/>
    </row>
    <row r="404" spans="1:14" ht="12.75" customHeight="1" x14ac:dyDescent="0.2">
      <c r="A404" s="242">
        <v>404</v>
      </c>
      <c r="B404" s="5664"/>
      <c r="C404" s="2152" t="str">
        <f t="shared" si="49"/>
        <v>Con. natural de Vía: Aire</v>
      </c>
      <c r="D404" s="981">
        <f t="shared" si="47"/>
        <v>12</v>
      </c>
      <c r="E404" s="56" t="s">
        <v>2379</v>
      </c>
      <c r="F404" s="2145">
        <v>1</v>
      </c>
      <c r="G404" s="2145">
        <f>COUNTIF(Principal!$C$35:$J$53,Tablas!E404)</f>
        <v>0</v>
      </c>
      <c r="H404" s="2146">
        <f t="shared" si="48"/>
        <v>0</v>
      </c>
      <c r="I404" s="986">
        <v>1</v>
      </c>
      <c r="J404" s="2150" t="s">
        <v>2309</v>
      </c>
      <c r="K404" s="1506" t="s">
        <v>1709</v>
      </c>
      <c r="N404"/>
    </row>
    <row r="405" spans="1:14" ht="12.75" customHeight="1" x14ac:dyDescent="0.2">
      <c r="A405" s="242">
        <v>405</v>
      </c>
      <c r="B405" s="5664"/>
      <c r="C405" s="2152" t="str">
        <f t="shared" si="49"/>
        <v>Con. natural de Vía: Creación</v>
      </c>
      <c r="D405" s="981">
        <f t="shared" si="47"/>
        <v>8</v>
      </c>
      <c r="E405" s="56" t="s">
        <v>2380</v>
      </c>
      <c r="F405" s="2145">
        <v>1</v>
      </c>
      <c r="G405" s="2145">
        <f>COUNTIF(Principal!$C$35:$J$53,Tablas!E405)</f>
        <v>0</v>
      </c>
      <c r="H405" s="2146">
        <f t="shared" si="48"/>
        <v>0</v>
      </c>
      <c r="I405" s="986">
        <v>1</v>
      </c>
      <c r="J405" s="2150" t="s">
        <v>2309</v>
      </c>
      <c r="K405" s="1506" t="s">
        <v>1619</v>
      </c>
      <c r="N405"/>
    </row>
    <row r="406" spans="1:14" ht="12.75" customHeight="1" x14ac:dyDescent="0.2">
      <c r="A406" s="242">
        <v>406</v>
      </c>
      <c r="B406" s="5664"/>
      <c r="C406" s="2152" t="str">
        <f t="shared" si="49"/>
        <v>Con. natural de Vía: Destruc.</v>
      </c>
      <c r="D406" s="981">
        <f t="shared" si="47"/>
        <v>3</v>
      </c>
      <c r="E406" s="56" t="s">
        <v>2381</v>
      </c>
      <c r="F406" s="2145">
        <v>1</v>
      </c>
      <c r="G406" s="2145">
        <f>COUNTIF(Principal!$C$35:$J$53,Tablas!E406)</f>
        <v>0</v>
      </c>
      <c r="H406" s="2146">
        <f t="shared" si="48"/>
        <v>0</v>
      </c>
      <c r="I406" s="986">
        <v>1</v>
      </c>
      <c r="J406" s="2150" t="s">
        <v>2309</v>
      </c>
      <c r="K406" s="1506" t="s">
        <v>1615</v>
      </c>
      <c r="N406"/>
    </row>
    <row r="407" spans="1:14" ht="12.75" customHeight="1" x14ac:dyDescent="0.2">
      <c r="A407" s="242">
        <v>407</v>
      </c>
      <c r="B407" s="5664"/>
      <c r="C407" s="2152" t="str">
        <f t="shared" si="49"/>
        <v>Con. natural de Vía: Esencia</v>
      </c>
      <c r="D407" s="981">
        <f t="shared" si="47"/>
        <v>4</v>
      </c>
      <c r="E407" s="56" t="s">
        <v>2382</v>
      </c>
      <c r="F407" s="2145">
        <v>1</v>
      </c>
      <c r="G407" s="2145">
        <f>COUNTIF(Principal!$C$35:$J$53,Tablas!E407)</f>
        <v>0</v>
      </c>
      <c r="H407" s="2146">
        <f t="shared" si="48"/>
        <v>0</v>
      </c>
      <c r="I407" s="986">
        <v>1</v>
      </c>
      <c r="J407" s="2150" t="s">
        <v>2309</v>
      </c>
      <c r="K407" s="1506" t="s">
        <v>1612</v>
      </c>
      <c r="N407"/>
    </row>
    <row r="408" spans="1:14" ht="12.75" customHeight="1" x14ac:dyDescent="0.2">
      <c r="A408" s="242">
        <v>408</v>
      </c>
      <c r="B408" s="5664"/>
      <c r="C408" s="2152" t="str">
        <f t="shared" si="49"/>
        <v>Con. natural de Vía: Fuego</v>
      </c>
      <c r="D408" s="981">
        <f t="shared" si="47"/>
        <v>13</v>
      </c>
      <c r="E408" s="56" t="s">
        <v>2383</v>
      </c>
      <c r="F408" s="2145">
        <v>1</v>
      </c>
      <c r="G408" s="2145">
        <f>COUNTIF(Principal!$C$35:$J$53,Tablas!E408)</f>
        <v>0</v>
      </c>
      <c r="H408" s="2146">
        <f t="shared" si="48"/>
        <v>0</v>
      </c>
      <c r="I408" s="986">
        <v>1</v>
      </c>
      <c r="J408" s="2150" t="s">
        <v>2309</v>
      </c>
      <c r="K408" s="1506" t="s">
        <v>1713</v>
      </c>
      <c r="N408"/>
    </row>
    <row r="409" spans="1:14" ht="12.75" customHeight="1" x14ac:dyDescent="0.2">
      <c r="A409" s="242">
        <v>409</v>
      </c>
      <c r="B409" s="5664"/>
      <c r="C409" s="2152" t="str">
        <f t="shared" si="49"/>
        <v>Con. natural de Vía: Ilusión</v>
      </c>
      <c r="D409" s="981">
        <f t="shared" si="47"/>
        <v>5</v>
      </c>
      <c r="E409" s="56" t="s">
        <v>2384</v>
      </c>
      <c r="F409" s="2145">
        <v>1</v>
      </c>
      <c r="G409" s="2145">
        <f>COUNTIF(Principal!$C$35:$J$53,Tablas!E409)</f>
        <v>0</v>
      </c>
      <c r="H409" s="2146">
        <f t="shared" si="48"/>
        <v>0</v>
      </c>
      <c r="I409" s="986">
        <v>1</v>
      </c>
      <c r="J409" s="2150" t="s">
        <v>2309</v>
      </c>
      <c r="K409" s="1506" t="s">
        <v>1715</v>
      </c>
      <c r="N409"/>
    </row>
    <row r="410" spans="1:14" ht="12.75" customHeight="1" x14ac:dyDescent="0.2">
      <c r="A410" s="242">
        <v>410</v>
      </c>
      <c r="B410" s="5664"/>
      <c r="C410" s="2152" t="str">
        <f t="shared" si="49"/>
        <v>Con. natural de Vía: Luz</v>
      </c>
      <c r="D410" s="981">
        <f t="shared" si="47"/>
        <v>6</v>
      </c>
      <c r="E410" s="56" t="s">
        <v>2385</v>
      </c>
      <c r="F410" s="2145">
        <v>1</v>
      </c>
      <c r="G410" s="2145">
        <f>COUNTIF(Principal!$C$35:$J$53,Tablas!E410)</f>
        <v>0</v>
      </c>
      <c r="H410" s="2146">
        <f t="shared" si="48"/>
        <v>0</v>
      </c>
      <c r="I410" s="986">
        <v>1</v>
      </c>
      <c r="J410" s="2150" t="s">
        <v>2309</v>
      </c>
      <c r="K410" s="1506" t="s">
        <v>1716</v>
      </c>
      <c r="N410"/>
    </row>
    <row r="411" spans="1:14" ht="12.75" customHeight="1" x14ac:dyDescent="0.2">
      <c r="A411" s="242">
        <v>411</v>
      </c>
      <c r="B411" s="5664"/>
      <c r="C411" s="2152" t="str">
        <f t="shared" si="49"/>
        <v>Con. natural de Vía: Nigro.</v>
      </c>
      <c r="D411" s="981">
        <f t="shared" si="47"/>
        <v>7</v>
      </c>
      <c r="E411" s="56" t="s">
        <v>2386</v>
      </c>
      <c r="F411" s="2145">
        <v>1</v>
      </c>
      <c r="G411" s="2145">
        <f>COUNTIF(Principal!$C$35:$J$53,Tablas!E411)</f>
        <v>0</v>
      </c>
      <c r="H411" s="2146">
        <f t="shared" si="48"/>
        <v>0</v>
      </c>
      <c r="I411" s="986">
        <v>1</v>
      </c>
      <c r="J411" s="2150" t="s">
        <v>2309</v>
      </c>
      <c r="K411" s="1506" t="s">
        <v>1718</v>
      </c>
      <c r="N411"/>
    </row>
    <row r="412" spans="1:14" ht="12.75" customHeight="1" x14ac:dyDescent="0.2">
      <c r="A412" s="242">
        <v>412</v>
      </c>
      <c r="B412" s="5664"/>
      <c r="C412" s="2152" t="str">
        <f t="shared" si="49"/>
        <v>Con. natural de Vía: Osc.</v>
      </c>
      <c r="D412" s="981">
        <f t="shared" si="47"/>
        <v>9</v>
      </c>
      <c r="E412" s="56" t="s">
        <v>2387</v>
      </c>
      <c r="F412" s="2145">
        <v>1</v>
      </c>
      <c r="G412" s="2145">
        <f>COUNTIF(Principal!$C$35:$J$53,Tablas!E412)</f>
        <v>0</v>
      </c>
      <c r="H412" s="2146">
        <f t="shared" si="48"/>
        <v>0</v>
      </c>
      <c r="I412" s="986">
        <v>1</v>
      </c>
      <c r="J412" s="2150" t="s">
        <v>2309</v>
      </c>
      <c r="K412" s="1506" t="s">
        <v>1720</v>
      </c>
      <c r="N412"/>
    </row>
    <row r="413" spans="1:14" ht="12.75" customHeight="1" x14ac:dyDescent="0.2">
      <c r="A413" s="242">
        <v>413</v>
      </c>
      <c r="B413" s="5664"/>
      <c r="C413" s="2152" t="str">
        <f t="shared" si="49"/>
        <v>Con. natural de Vía: Tierra</v>
      </c>
      <c r="D413" s="981">
        <f t="shared" si="47"/>
        <v>11</v>
      </c>
      <c r="E413" s="56" t="s">
        <v>2388</v>
      </c>
      <c r="F413" s="2145">
        <v>1</v>
      </c>
      <c r="G413" s="2145">
        <f>COUNTIF(Principal!$C$35:$J$53,Tablas!E413)</f>
        <v>0</v>
      </c>
      <c r="H413" s="2146">
        <f t="shared" si="48"/>
        <v>0</v>
      </c>
      <c r="I413" s="986">
        <v>1</v>
      </c>
      <c r="J413" s="2150" t="s">
        <v>2309</v>
      </c>
      <c r="K413" s="2142" t="s">
        <v>1722</v>
      </c>
      <c r="N413"/>
    </row>
    <row r="414" spans="1:14" ht="12.75" customHeight="1" x14ac:dyDescent="0.2">
      <c r="A414" s="242">
        <v>414</v>
      </c>
      <c r="B414" s="5664"/>
      <c r="C414" s="2152" t="str">
        <f t="shared" si="49"/>
        <v>Des. elemental: Agua</v>
      </c>
      <c r="D414" s="981">
        <f t="shared" si="47"/>
        <v>30</v>
      </c>
      <c r="E414" s="56" t="s">
        <v>2389</v>
      </c>
      <c r="F414" s="2145">
        <v>1</v>
      </c>
      <c r="G414" s="2145">
        <f>COUNTIF(Principal!$C$35:$J$53,Tablas!E414)</f>
        <v>0</v>
      </c>
      <c r="H414" s="2146">
        <f t="shared" si="48"/>
        <v>0</v>
      </c>
      <c r="I414" s="986">
        <v>1</v>
      </c>
      <c r="J414" s="2150" t="s">
        <v>2309</v>
      </c>
      <c r="N414"/>
    </row>
    <row r="415" spans="1:14" ht="12.75" customHeight="1" x14ac:dyDescent="0.2">
      <c r="A415" s="242">
        <v>415</v>
      </c>
      <c r="B415" s="5664"/>
      <c r="C415" s="2152" t="str">
        <f t="shared" si="49"/>
        <v>Des. elemental: Aire</v>
      </c>
      <c r="D415" s="981">
        <f t="shared" si="47"/>
        <v>31</v>
      </c>
      <c r="E415" s="56" t="s">
        <v>2390</v>
      </c>
      <c r="F415" s="2145">
        <v>2</v>
      </c>
      <c r="G415" s="2145">
        <f>COUNTIF(Principal!$C$35:$J$53,Tablas!E415)</f>
        <v>0</v>
      </c>
      <c r="H415" s="2146">
        <f t="shared" si="48"/>
        <v>0</v>
      </c>
      <c r="I415" s="986">
        <v>1</v>
      </c>
      <c r="J415" s="2150" t="s">
        <v>2309</v>
      </c>
      <c r="N415"/>
    </row>
    <row r="416" spans="1:14" ht="12.75" customHeight="1" x14ac:dyDescent="0.2">
      <c r="A416" s="242">
        <v>416</v>
      </c>
      <c r="B416" s="5664"/>
      <c r="C416" s="2152" t="str">
        <f t="shared" si="49"/>
        <v>Des. elemental: Creación</v>
      </c>
      <c r="D416" s="981">
        <f t="shared" si="47"/>
        <v>32</v>
      </c>
      <c r="E416" s="56" t="s">
        <v>2391</v>
      </c>
      <c r="F416" s="2145">
        <v>3</v>
      </c>
      <c r="G416" s="2145">
        <f>COUNTIF(Principal!$C$35:$J$53,Tablas!E416)</f>
        <v>0</v>
      </c>
      <c r="H416" s="2146">
        <f t="shared" si="48"/>
        <v>0</v>
      </c>
      <c r="I416" s="986">
        <v>1</v>
      </c>
      <c r="J416" s="2150" t="s">
        <v>2309</v>
      </c>
      <c r="N416"/>
    </row>
    <row r="417" spans="1:14" ht="12.75" customHeight="1" x14ac:dyDescent="0.2">
      <c r="A417" s="242">
        <v>417</v>
      </c>
      <c r="B417" s="5664"/>
      <c r="C417" s="2152" t="str">
        <f t="shared" si="49"/>
        <v>Des. elemental: Destrucción</v>
      </c>
      <c r="D417" s="981">
        <f t="shared" si="47"/>
        <v>38</v>
      </c>
      <c r="E417" s="56" t="s">
        <v>2392</v>
      </c>
      <c r="F417" s="2145">
        <v>1</v>
      </c>
      <c r="G417" s="2145">
        <f>COUNTIF(Principal!$C$35:$J$53,Tablas!E417)</f>
        <v>0</v>
      </c>
      <c r="H417" s="2146">
        <f t="shared" si="48"/>
        <v>0</v>
      </c>
      <c r="I417" s="986"/>
      <c r="J417" s="2150" t="s">
        <v>2309</v>
      </c>
      <c r="N417"/>
    </row>
    <row r="418" spans="1:14" ht="12.75" customHeight="1" x14ac:dyDescent="0.2">
      <c r="A418" s="242">
        <v>418</v>
      </c>
      <c r="B418" s="5664"/>
      <c r="C418" s="2152" t="str">
        <f t="shared" si="49"/>
        <v>Des. elemental: Esencia</v>
      </c>
      <c r="D418" s="981">
        <f t="shared" si="47"/>
        <v>29</v>
      </c>
      <c r="E418" s="56" t="s">
        <v>2393</v>
      </c>
      <c r="F418" s="2145">
        <v>1</v>
      </c>
      <c r="G418" s="2145">
        <f>COUNTIF(Principal!$C$35:$J$53,Tablas!E418)</f>
        <v>0</v>
      </c>
      <c r="H418" s="2146">
        <f t="shared" si="48"/>
        <v>0</v>
      </c>
      <c r="I418" s="986"/>
      <c r="J418" s="2150" t="s">
        <v>2309</v>
      </c>
      <c r="N418"/>
    </row>
    <row r="419" spans="1:14" ht="12.75" customHeight="1" x14ac:dyDescent="0.2">
      <c r="A419" s="242">
        <v>419</v>
      </c>
      <c r="B419" s="5664"/>
      <c r="C419" s="2152" t="str">
        <f t="shared" si="49"/>
        <v>Des. elemental: Fuego</v>
      </c>
      <c r="D419" s="981">
        <f t="shared" si="47"/>
        <v>28</v>
      </c>
      <c r="E419" s="56" t="s">
        <v>2394</v>
      </c>
      <c r="F419" s="2145">
        <v>1</v>
      </c>
      <c r="G419" s="2145">
        <f>COUNTIF(Principal!$C$35:$J$53,Tablas!E419)</f>
        <v>0</v>
      </c>
      <c r="H419" s="2146">
        <f t="shared" si="48"/>
        <v>0</v>
      </c>
      <c r="I419" s="986"/>
      <c r="J419" s="2150" t="s">
        <v>2309</v>
      </c>
      <c r="N419"/>
    </row>
    <row r="420" spans="1:14" ht="12.75" customHeight="1" x14ac:dyDescent="0.2">
      <c r="A420" s="242">
        <v>420</v>
      </c>
      <c r="B420" s="5664"/>
      <c r="C420" s="2152" t="str">
        <f t="shared" si="49"/>
        <v>Des. elemental: Ilusión</v>
      </c>
      <c r="D420" s="981">
        <f t="shared" si="47"/>
        <v>21</v>
      </c>
      <c r="E420" s="56" t="s">
        <v>2395</v>
      </c>
      <c r="F420" s="2145">
        <v>1</v>
      </c>
      <c r="G420" s="2145">
        <f>COUNTIF(Principal!$C$35:$J$53,Tablas!E420)</f>
        <v>0</v>
      </c>
      <c r="H420" s="2146">
        <f t="shared" si="48"/>
        <v>0</v>
      </c>
      <c r="I420" s="986">
        <v>1</v>
      </c>
      <c r="J420" s="2150" t="s">
        <v>2309</v>
      </c>
      <c r="N420"/>
    </row>
    <row r="421" spans="1:14" ht="12.75" customHeight="1" x14ac:dyDescent="0.2">
      <c r="A421" s="242">
        <v>421</v>
      </c>
      <c r="B421" s="5664"/>
      <c r="C421" s="2152" t="str">
        <f t="shared" si="49"/>
        <v>Des. elemental: Luz</v>
      </c>
      <c r="D421" s="981">
        <f t="shared" si="47"/>
        <v>23</v>
      </c>
      <c r="E421" s="56" t="s">
        <v>2396</v>
      </c>
      <c r="F421" s="2145">
        <v>1</v>
      </c>
      <c r="G421" s="2145">
        <f>COUNTIF(Principal!$C$35:$J$53,Tablas!E421)</f>
        <v>0</v>
      </c>
      <c r="H421" s="2146">
        <f t="shared" si="48"/>
        <v>0</v>
      </c>
      <c r="I421" s="986">
        <v>1</v>
      </c>
      <c r="J421" s="2150" t="s">
        <v>2309</v>
      </c>
      <c r="N421"/>
    </row>
    <row r="422" spans="1:14" ht="12.75" customHeight="1" x14ac:dyDescent="0.2">
      <c r="A422" s="242">
        <v>422</v>
      </c>
      <c r="B422" s="5664"/>
      <c r="C422" s="2152" t="str">
        <f t="shared" si="49"/>
        <v>Des. elemental: Nigromancia</v>
      </c>
      <c r="D422" s="981">
        <f t="shared" si="47"/>
        <v>19</v>
      </c>
      <c r="E422" s="56" t="s">
        <v>2397</v>
      </c>
      <c r="F422" s="2145">
        <v>1</v>
      </c>
      <c r="G422" s="2145">
        <f>COUNTIF(Principal!$C$35:$J$53,Tablas!E422)</f>
        <v>0</v>
      </c>
      <c r="H422" s="2146">
        <f t="shared" si="48"/>
        <v>0</v>
      </c>
      <c r="I422" s="986">
        <v>1</v>
      </c>
      <c r="J422" s="2150" t="s">
        <v>2309</v>
      </c>
      <c r="N422"/>
    </row>
    <row r="423" spans="1:14" ht="12.75" customHeight="1" x14ac:dyDescent="0.2">
      <c r="A423" s="242">
        <v>423</v>
      </c>
      <c r="B423" s="5664"/>
      <c r="C423" s="2152" t="str">
        <f t="shared" si="49"/>
        <v>Des. elemental: Oscuridad</v>
      </c>
      <c r="D423" s="981">
        <f t="shared" si="47"/>
        <v>14</v>
      </c>
      <c r="E423" s="56" t="s">
        <v>2398</v>
      </c>
      <c r="F423" s="2145">
        <v>1</v>
      </c>
      <c r="G423" s="2145">
        <f>COUNTIF(Principal!$C$35:$J$53,Tablas!E423)</f>
        <v>0</v>
      </c>
      <c r="H423" s="2146">
        <f t="shared" si="48"/>
        <v>0</v>
      </c>
      <c r="I423" s="986">
        <v>1</v>
      </c>
      <c r="J423" s="2150" t="s">
        <v>2309</v>
      </c>
      <c r="N423"/>
    </row>
    <row r="424" spans="1:14" ht="12.75" customHeight="1" x14ac:dyDescent="0.2">
      <c r="A424" s="242">
        <v>424</v>
      </c>
      <c r="B424" s="5664"/>
      <c r="C424" s="2152" t="str">
        <f t="shared" si="49"/>
        <v>Des. elemental: Tierra</v>
      </c>
      <c r="D424" s="981">
        <f t="shared" si="47"/>
        <v>15</v>
      </c>
      <c r="E424" s="56" t="s">
        <v>2399</v>
      </c>
      <c r="F424" s="2145">
        <v>1</v>
      </c>
      <c r="G424" s="2145">
        <f>COUNTIF(Principal!$C$35:$J$53,Tablas!E424)</f>
        <v>0</v>
      </c>
      <c r="H424" s="2146">
        <f t="shared" si="48"/>
        <v>0</v>
      </c>
      <c r="I424" s="986">
        <v>1</v>
      </c>
      <c r="J424" s="2150" t="s">
        <v>2309</v>
      </c>
      <c r="N424"/>
    </row>
    <row r="425" spans="1:14" ht="12.75" customHeight="1" x14ac:dyDescent="0.2">
      <c r="A425" s="242">
        <v>425</v>
      </c>
      <c r="B425" s="5664"/>
      <c r="C425" s="2152" t="str">
        <f t="shared" si="49"/>
        <v>Desequilibrio sephirótico</v>
      </c>
      <c r="D425" s="981">
        <f t="shared" si="47"/>
        <v>24</v>
      </c>
      <c r="E425" s="56" t="s">
        <v>2400</v>
      </c>
      <c r="F425" s="2145">
        <v>1</v>
      </c>
      <c r="G425" s="2145">
        <f>COUNTIF(Principal!$C$35:$J$53,Tablas!E425)</f>
        <v>0</v>
      </c>
      <c r="H425" s="2146">
        <f t="shared" si="48"/>
        <v>0</v>
      </c>
      <c r="I425" s="986">
        <v>1</v>
      </c>
      <c r="J425" s="2150" t="s">
        <v>2309</v>
      </c>
      <c r="N425"/>
    </row>
    <row r="426" spans="1:14" ht="12.75" customHeight="1" x14ac:dyDescent="0.2">
      <c r="A426" s="242">
        <v>426</v>
      </c>
      <c r="B426" s="5664"/>
      <c r="C426" s="2152" t="str">
        <f t="shared" si="49"/>
        <v>Dicción mágica</v>
      </c>
      <c r="D426" s="981">
        <f t="shared" si="47"/>
        <v>16</v>
      </c>
      <c r="E426" s="56" t="s">
        <v>2401</v>
      </c>
      <c r="F426" s="2145">
        <v>1</v>
      </c>
      <c r="G426" s="2145">
        <f>COUNTIF(Principal!$C$35:$J$53,Tablas!E426)</f>
        <v>0</v>
      </c>
      <c r="H426" s="2146">
        <f t="shared" si="48"/>
        <v>0</v>
      </c>
      <c r="I426" s="986">
        <v>1</v>
      </c>
      <c r="J426" s="2150" t="s">
        <v>2309</v>
      </c>
      <c r="N426"/>
    </row>
    <row r="427" spans="1:14" ht="12.75" customHeight="1" x14ac:dyDescent="0.2">
      <c r="A427" s="242">
        <v>427</v>
      </c>
      <c r="B427" s="5664"/>
      <c r="C427" s="2152" t="str">
        <f t="shared" si="49"/>
        <v>Hechicero nato</v>
      </c>
      <c r="D427" s="981">
        <f t="shared" si="47"/>
        <v>17</v>
      </c>
      <c r="E427" s="56" t="s">
        <v>2402</v>
      </c>
      <c r="F427" s="2145">
        <v>1</v>
      </c>
      <c r="G427" s="2145">
        <f>COUNTIF(Principal!$C$35:$J$53,Tablas!E427)</f>
        <v>0</v>
      </c>
      <c r="H427" s="2146">
        <f t="shared" si="48"/>
        <v>0</v>
      </c>
      <c r="I427" s="986">
        <v>1</v>
      </c>
      <c r="J427" s="2150" t="s">
        <v>2309</v>
      </c>
      <c r="N427"/>
    </row>
    <row r="428" spans="1:14" ht="12.75" customHeight="1" x14ac:dyDescent="0.2">
      <c r="A428" s="242">
        <v>428</v>
      </c>
      <c r="B428" s="5664"/>
      <c r="C428" s="2152" t="str">
        <f t="shared" si="49"/>
        <v>Inutilidad oral</v>
      </c>
      <c r="D428" s="981">
        <f t="shared" si="47"/>
        <v>18</v>
      </c>
      <c r="E428" s="56" t="s">
        <v>2403</v>
      </c>
      <c r="F428" s="2145">
        <v>1</v>
      </c>
      <c r="G428" s="2145">
        <f>COUNTIF(Principal!$C$35:$J$53,Tablas!E428)</f>
        <v>0</v>
      </c>
      <c r="H428" s="2146">
        <f t="shared" si="48"/>
        <v>0</v>
      </c>
      <c r="I428" s="986">
        <v>1</v>
      </c>
      <c r="J428" s="2150" t="s">
        <v>2309</v>
      </c>
      <c r="N428"/>
    </row>
    <row r="429" spans="1:14" ht="12.75" customHeight="1" x14ac:dyDescent="0.2">
      <c r="A429" s="242">
        <v>429</v>
      </c>
      <c r="B429" s="5664"/>
      <c r="C429" s="2152" t="str">
        <f t="shared" si="49"/>
        <v>Inutilidad somática</v>
      </c>
      <c r="D429" s="981">
        <f t="shared" si="47"/>
        <v>20</v>
      </c>
      <c r="E429" s="56" t="s">
        <v>2404</v>
      </c>
      <c r="F429" s="2145">
        <v>1</v>
      </c>
      <c r="G429" s="2145">
        <f>COUNTIF(Principal!$C$35:$J$53,Tablas!E429)</f>
        <v>0</v>
      </c>
      <c r="H429" s="2146">
        <f t="shared" si="48"/>
        <v>0</v>
      </c>
      <c r="I429" s="986">
        <v>1</v>
      </c>
      <c r="J429" s="2150" t="s">
        <v>2309</v>
      </c>
      <c r="N429"/>
    </row>
    <row r="430" spans="1:14" ht="12.75" customHeight="1" x14ac:dyDescent="0.2">
      <c r="A430" s="242">
        <v>430</v>
      </c>
      <c r="B430" s="5664"/>
      <c r="C430" s="2152" t="str">
        <f t="shared" si="49"/>
        <v>Magia innata mejorada (1)</v>
      </c>
      <c r="D430" s="981">
        <f t="shared" si="47"/>
        <v>22</v>
      </c>
      <c r="E430" s="56" t="s">
        <v>2405</v>
      </c>
      <c r="F430" s="2145">
        <v>1</v>
      </c>
      <c r="G430" s="2145">
        <f>COUNTIF(Principal!$C$35:$J$53,Tablas!E430)</f>
        <v>0</v>
      </c>
      <c r="H430" s="2146">
        <f t="shared" si="48"/>
        <v>0</v>
      </c>
      <c r="I430" s="986">
        <v>1</v>
      </c>
      <c r="J430" s="2150" t="s">
        <v>2309</v>
      </c>
      <c r="N430"/>
    </row>
    <row r="431" spans="1:14" ht="12.75" customHeight="1" x14ac:dyDescent="0.2">
      <c r="A431" s="242">
        <v>431</v>
      </c>
      <c r="B431" s="5664"/>
      <c r="C431" s="2152" t="str">
        <f t="shared" si="49"/>
        <v>Magia innata mejorada (2)</v>
      </c>
      <c r="D431" s="981">
        <f t="shared" si="47"/>
        <v>25</v>
      </c>
      <c r="E431" s="56" t="s">
        <v>2406</v>
      </c>
      <c r="F431" s="2145">
        <v>2</v>
      </c>
      <c r="G431" s="2145">
        <f>COUNTIF(Principal!$C$35:$J$53,Tablas!E431)</f>
        <v>0</v>
      </c>
      <c r="H431" s="2146">
        <f t="shared" si="48"/>
        <v>0</v>
      </c>
      <c r="I431" s="986">
        <v>1</v>
      </c>
      <c r="J431" s="2150" t="s">
        <v>2309</v>
      </c>
      <c r="N431"/>
    </row>
    <row r="432" spans="1:14" ht="12.75" customHeight="1" x14ac:dyDescent="0.2">
      <c r="A432" s="242">
        <v>432</v>
      </c>
      <c r="B432" s="5664"/>
      <c r="C432" s="2152" t="str">
        <f t="shared" si="49"/>
        <v>Magia innata mejorada (3)</v>
      </c>
      <c r="D432" s="981">
        <f t="shared" si="47"/>
        <v>0</v>
      </c>
      <c r="E432" s="56" t="s">
        <v>2492</v>
      </c>
      <c r="F432" s="2145"/>
      <c r="G432" s="2145"/>
      <c r="H432" s="2146"/>
      <c r="I432" s="986"/>
      <c r="J432" s="2150" t="s">
        <v>2309</v>
      </c>
      <c r="N432"/>
    </row>
    <row r="433" spans="1:14" ht="12.75" customHeight="1" x14ac:dyDescent="0.2">
      <c r="A433" s="242">
        <v>433</v>
      </c>
      <c r="B433" s="5664"/>
      <c r="C433" s="2152" t="str">
        <f t="shared" si="49"/>
        <v>Magia opuesta</v>
      </c>
      <c r="D433" s="981">
        <f t="shared" si="47"/>
        <v>33</v>
      </c>
      <c r="E433" s="56" t="s">
        <v>2493</v>
      </c>
      <c r="F433" s="2145">
        <v>1</v>
      </c>
      <c r="G433" s="2145">
        <f>COUNTIF(Principal!$C$35:$J$53,Tablas!E433)</f>
        <v>0</v>
      </c>
      <c r="H433" s="2146">
        <f t="shared" ref="H433:H438" si="50">G433*F433</f>
        <v>0</v>
      </c>
      <c r="I433" s="986">
        <v>1</v>
      </c>
      <c r="J433" s="2150" t="s">
        <v>2309</v>
      </c>
      <c r="N433"/>
    </row>
    <row r="434" spans="1:14" ht="12.75" customHeight="1" x14ac:dyDescent="0.2">
      <c r="A434" s="242">
        <v>434</v>
      </c>
      <c r="B434" s="5664"/>
      <c r="C434" s="2152" t="str">
        <f t="shared" si="49"/>
        <v>Naturaleza mágica (1)</v>
      </c>
      <c r="D434" s="981">
        <f t="shared" si="47"/>
        <v>34</v>
      </c>
      <c r="E434" s="56" t="s">
        <v>2494</v>
      </c>
      <c r="F434" s="2145">
        <v>1</v>
      </c>
      <c r="G434" s="2145">
        <f>COUNTIF(Principal!$C$35:$J$53,Tablas!E434)</f>
        <v>0</v>
      </c>
      <c r="H434" s="2146">
        <f t="shared" si="50"/>
        <v>0</v>
      </c>
      <c r="I434" s="986">
        <v>1</v>
      </c>
      <c r="J434" s="2150" t="s">
        <v>2309</v>
      </c>
      <c r="N434"/>
    </row>
    <row r="435" spans="1:14" ht="12.75" customHeight="1" x14ac:dyDescent="0.2">
      <c r="A435" s="242">
        <v>435</v>
      </c>
      <c r="B435" s="5664"/>
      <c r="C435" s="2152" t="str">
        <f t="shared" si="49"/>
        <v>Naturaleza mágica (2)</v>
      </c>
      <c r="D435" s="981">
        <f t="shared" si="47"/>
        <v>35</v>
      </c>
      <c r="E435" s="56" t="s">
        <v>2495</v>
      </c>
      <c r="F435" s="2145">
        <v>2</v>
      </c>
      <c r="G435" s="2145">
        <f>COUNTIF(Principal!$C$35:$J$53,Tablas!E435)</f>
        <v>0</v>
      </c>
      <c r="H435" s="2146">
        <f t="shared" si="50"/>
        <v>0</v>
      </c>
      <c r="I435" s="986">
        <v>1</v>
      </c>
      <c r="J435" s="2150" t="s">
        <v>2309</v>
      </c>
      <c r="N435"/>
    </row>
    <row r="436" spans="1:14" ht="12.75" customHeight="1" x14ac:dyDescent="0.2">
      <c r="A436" s="242">
        <v>436</v>
      </c>
      <c r="B436" s="5664"/>
      <c r="C436" s="2152" t="str">
        <f t="shared" si="49"/>
        <v>Naturaleza mágica (3)</v>
      </c>
      <c r="D436" s="981">
        <f t="shared" si="47"/>
        <v>36</v>
      </c>
      <c r="E436" s="56" t="s">
        <v>2496</v>
      </c>
      <c r="F436" s="2145">
        <v>3</v>
      </c>
      <c r="G436" s="2145">
        <f>COUNTIF(Principal!$C$35:$J$53,Tablas!E436)</f>
        <v>0</v>
      </c>
      <c r="H436" s="2146">
        <f t="shared" si="50"/>
        <v>0</v>
      </c>
      <c r="I436" s="986">
        <v>1</v>
      </c>
      <c r="J436" s="2150" t="s">
        <v>2309</v>
      </c>
      <c r="N436"/>
    </row>
    <row r="437" spans="1:14" ht="12.75" customHeight="1" x14ac:dyDescent="0.2">
      <c r="A437" s="242">
        <v>437</v>
      </c>
      <c r="B437" s="5664"/>
      <c r="C437" s="2152" t="str">
        <f t="shared" si="49"/>
        <v>Poder natural</v>
      </c>
      <c r="D437" s="981">
        <f t="shared" si="47"/>
        <v>37</v>
      </c>
      <c r="E437" s="56" t="s">
        <v>2497</v>
      </c>
      <c r="F437" s="2145">
        <v>1</v>
      </c>
      <c r="G437" s="2145">
        <f>COUNTIF(Principal!$C$35:$J$53,Tablas!E437)</f>
        <v>0</v>
      </c>
      <c r="H437" s="2146">
        <f t="shared" si="50"/>
        <v>0</v>
      </c>
      <c r="I437" s="986"/>
      <c r="J437" s="2150" t="s">
        <v>2309</v>
      </c>
      <c r="N437"/>
    </row>
    <row r="438" spans="1:14" ht="12.75" customHeight="1" x14ac:dyDescent="0.2">
      <c r="A438" s="242">
        <v>438</v>
      </c>
      <c r="B438" s="5664"/>
      <c r="C438" s="2152" t="str">
        <f t="shared" si="49"/>
        <v>Potencial enfrentado</v>
      </c>
      <c r="D438" s="981">
        <f t="shared" si="47"/>
        <v>26</v>
      </c>
      <c r="E438" s="56" t="s">
        <v>2498</v>
      </c>
      <c r="F438" s="2145">
        <v>1</v>
      </c>
      <c r="G438" s="2145">
        <f>COUNTIF(Principal!$C$35:$J$53,Tablas!E438)</f>
        <v>0</v>
      </c>
      <c r="H438" s="2146">
        <f t="shared" si="50"/>
        <v>0</v>
      </c>
      <c r="I438" s="986"/>
      <c r="J438" s="2150" t="s">
        <v>2309</v>
      </c>
      <c r="N438"/>
    </row>
    <row r="439" spans="1:14" ht="12.75" customHeight="1" x14ac:dyDescent="0.2">
      <c r="A439" s="242">
        <v>439</v>
      </c>
      <c r="B439" s="5664"/>
      <c r="C439" s="2152" t="str">
        <f t="shared" si="49"/>
        <v>Rec. superior de magia (1)</v>
      </c>
      <c r="D439" s="981">
        <f t="shared" si="47"/>
        <v>-1</v>
      </c>
      <c r="E439" s="56" t="s">
        <v>2528</v>
      </c>
      <c r="F439" s="2145"/>
      <c r="G439" s="2145"/>
      <c r="H439" s="2146"/>
      <c r="I439" s="986"/>
      <c r="J439" s="2150" t="s">
        <v>2309</v>
      </c>
      <c r="N439"/>
    </row>
    <row r="440" spans="1:14" ht="12.75" customHeight="1" x14ac:dyDescent="0.2">
      <c r="A440" s="242">
        <v>440</v>
      </c>
      <c r="B440" s="5664"/>
      <c r="C440" s="2152" t="str">
        <f t="shared" si="49"/>
        <v>Rec. superior de magia (2)</v>
      </c>
      <c r="D440" s="981">
        <f t="shared" si="47"/>
        <v>42</v>
      </c>
      <c r="E440" s="56" t="s">
        <v>2529</v>
      </c>
      <c r="F440" s="2145">
        <v>1</v>
      </c>
      <c r="G440" s="2145">
        <f>COUNTIF(Principal!$C$35:$J$53,Tablas!E440)</f>
        <v>0</v>
      </c>
      <c r="H440" s="2146">
        <f>G440*F440</f>
        <v>0</v>
      </c>
      <c r="I440" s="986"/>
      <c r="J440" s="2150" t="s">
        <v>2309</v>
      </c>
      <c r="N440"/>
    </row>
    <row r="441" spans="1:14" ht="12.75" customHeight="1" x14ac:dyDescent="0.2">
      <c r="A441" s="242">
        <v>441</v>
      </c>
      <c r="B441" s="5664"/>
      <c r="C441" s="2152" t="str">
        <f t="shared" si="49"/>
        <v>Rec. superior de magia (3)</v>
      </c>
      <c r="D441" s="981">
        <f t="shared" si="47"/>
        <v>27</v>
      </c>
      <c r="E441" s="56" t="s">
        <v>2530</v>
      </c>
      <c r="F441" s="2145">
        <v>1</v>
      </c>
      <c r="G441" s="2145">
        <f>COUNTIF(Principal!$C$35:$J$53,Tablas!E441)</f>
        <v>0</v>
      </c>
      <c r="H441" s="2146">
        <f>G441*F441</f>
        <v>0</v>
      </c>
      <c r="I441" s="986"/>
      <c r="J441" s="2150" t="s">
        <v>2309</v>
      </c>
      <c r="N441"/>
    </row>
    <row r="442" spans="1:14" ht="12.75" customHeight="1" x14ac:dyDescent="0.2">
      <c r="A442" s="242">
        <v>442</v>
      </c>
      <c r="B442" s="5664"/>
      <c r="C442" s="2153" t="str">
        <f t="shared" si="49"/>
        <v>Versatilidad metamágica</v>
      </c>
      <c r="D442" s="2156">
        <f t="shared" si="47"/>
        <v>1</v>
      </c>
      <c r="E442" s="2157" t="s">
        <v>2531</v>
      </c>
      <c r="F442" s="983">
        <v>2</v>
      </c>
      <c r="G442" s="983">
        <f>COUNTIF(Principal!$C$35:$J$53,Tablas!E442)</f>
        <v>0</v>
      </c>
      <c r="H442" s="2158">
        <f>G442*F442</f>
        <v>0</v>
      </c>
      <c r="I442" s="2159">
        <v>1</v>
      </c>
      <c r="J442" s="2160" t="s">
        <v>2309</v>
      </c>
      <c r="N442"/>
    </row>
    <row r="443" spans="1:14" ht="12.75" customHeight="1" x14ac:dyDescent="0.2">
      <c r="A443" s="242">
        <v>443</v>
      </c>
      <c r="B443" s="5664"/>
      <c r="C443" s="2154" t="str">
        <f>E443</f>
        <v>&gt; VENTAJAS: PSIQUICOS</v>
      </c>
      <c r="D443" s="981">
        <f t="shared" ref="D443:D467" si="51">COUNTIF($E$444:$E$467,"&lt;="&amp;E443)-COUNTIF($E$444:$E$467,"*&gt;*")</f>
        <v>0</v>
      </c>
      <c r="E443" s="56" t="s">
        <v>2407</v>
      </c>
      <c r="F443" s="2145"/>
      <c r="G443" s="2145"/>
      <c r="H443" s="2146"/>
      <c r="I443" s="986"/>
      <c r="J443" s="2150" t="s">
        <v>6740</v>
      </c>
      <c r="N443"/>
    </row>
    <row r="444" spans="1:14" ht="12.75" customHeight="1" x14ac:dyDescent="0.2">
      <c r="A444" s="242">
        <v>444</v>
      </c>
      <c r="B444" s="5664"/>
      <c r="C444" s="2154" t="str">
        <f t="shared" ref="C444:C466" si="52">VLOOKUP(A1,$D$443:$E$467,2,0)</f>
        <v>Ambivalencia psíquica</v>
      </c>
      <c r="D444" s="981">
        <f t="shared" si="51"/>
        <v>3</v>
      </c>
      <c r="E444" s="56" t="s">
        <v>2408</v>
      </c>
      <c r="F444" s="2145">
        <v>2</v>
      </c>
      <c r="G444" s="2145">
        <f>COUNTIF(Principal!$C$35:$J$53,Tablas!E444)</f>
        <v>0</v>
      </c>
      <c r="H444" s="2146">
        <f t="shared" ref="H444:H464" si="53">G444*F444</f>
        <v>0</v>
      </c>
      <c r="I444" s="986">
        <v>1</v>
      </c>
      <c r="J444" s="2150" t="s">
        <v>6740</v>
      </c>
      <c r="N444"/>
    </row>
    <row r="445" spans="1:14" ht="12.75" customHeight="1" x14ac:dyDescent="0.2">
      <c r="A445" s="242">
        <v>445</v>
      </c>
      <c r="B445" s="5664"/>
      <c r="C445" s="2154" t="str">
        <f t="shared" si="52"/>
        <v>Calibre</v>
      </c>
      <c r="D445" s="981">
        <f t="shared" si="51"/>
        <v>2</v>
      </c>
      <c r="E445" s="56" t="s">
        <v>2409</v>
      </c>
      <c r="F445" s="2145">
        <v>1</v>
      </c>
      <c r="G445" s="2145">
        <f>COUNTIF(Principal!$C$35:$J$53,Tablas!E445)</f>
        <v>0</v>
      </c>
      <c r="H445" s="2146">
        <f t="shared" si="53"/>
        <v>0</v>
      </c>
      <c r="I445" s="986">
        <v>1</v>
      </c>
      <c r="J445" s="2150" t="s">
        <v>6740</v>
      </c>
      <c r="N445"/>
    </row>
    <row r="446" spans="1:14" ht="12.75" customHeight="1" x14ac:dyDescent="0.2">
      <c r="A446" s="242">
        <v>446</v>
      </c>
      <c r="B446" s="5664"/>
      <c r="C446" s="2154" t="str">
        <f t="shared" si="52"/>
        <v>Concentración extrema</v>
      </c>
      <c r="D446" s="981">
        <f t="shared" si="51"/>
        <v>18</v>
      </c>
      <c r="E446" s="56" t="s">
        <v>1774</v>
      </c>
      <c r="F446" s="2145">
        <v>2</v>
      </c>
      <c r="G446" s="2145">
        <f>COUNTIF(Principal!$C$35:$J$53,Tablas!E446)</f>
        <v>0</v>
      </c>
      <c r="H446" s="2146">
        <f t="shared" si="53"/>
        <v>0</v>
      </c>
      <c r="I446" s="986"/>
      <c r="J446" s="2150" t="s">
        <v>6740</v>
      </c>
      <c r="N446"/>
    </row>
    <row r="447" spans="1:14" ht="12.75" customHeight="1" x14ac:dyDescent="0.2">
      <c r="A447" s="242">
        <v>447</v>
      </c>
      <c r="B447" s="5664"/>
      <c r="C447" s="2154" t="str">
        <f t="shared" si="52"/>
        <v>Concentración pasiva</v>
      </c>
      <c r="D447" s="981">
        <f t="shared" si="51"/>
        <v>23</v>
      </c>
      <c r="E447" s="56" t="s">
        <v>2410</v>
      </c>
      <c r="F447" s="2145">
        <v>2</v>
      </c>
      <c r="G447" s="2145">
        <f>COUNTIF(Principal!$C$35:$J$53,Tablas!E447)</f>
        <v>0</v>
      </c>
      <c r="H447" s="2146">
        <f t="shared" si="53"/>
        <v>0</v>
      </c>
      <c r="I447" s="986"/>
      <c r="J447" s="2150" t="s">
        <v>6740</v>
      </c>
      <c r="N447"/>
    </row>
    <row r="448" spans="1:14" ht="12.75" customHeight="1" x14ac:dyDescent="0.2">
      <c r="A448" s="242">
        <v>448</v>
      </c>
      <c r="B448" s="5664"/>
      <c r="C448" s="2154" t="str">
        <f t="shared" si="52"/>
        <v>Des. psí: Electromagnetismo</v>
      </c>
      <c r="D448" s="981">
        <f t="shared" si="51"/>
        <v>20</v>
      </c>
      <c r="E448" s="56" t="s">
        <v>2411</v>
      </c>
      <c r="F448" s="2145">
        <v>1</v>
      </c>
      <c r="G448" s="2145">
        <f>COUNTIF(Principal!$C$35:$J$53,Tablas!E448)</f>
        <v>0</v>
      </c>
      <c r="H448" s="2146">
        <f t="shared" si="53"/>
        <v>0</v>
      </c>
      <c r="I448" s="986"/>
      <c r="J448" s="2150" t="s">
        <v>6740</v>
      </c>
      <c r="N448"/>
    </row>
    <row r="449" spans="1:14" ht="12.75" customHeight="1" x14ac:dyDescent="0.2">
      <c r="A449" s="242">
        <v>449</v>
      </c>
      <c r="B449" s="5664"/>
      <c r="C449" s="2154" t="str">
        <f t="shared" si="52"/>
        <v>Des. psí: Hipersensibilidad</v>
      </c>
      <c r="D449" s="981">
        <f t="shared" si="51"/>
        <v>21</v>
      </c>
      <c r="E449" s="56" t="s">
        <v>2412</v>
      </c>
      <c r="F449" s="2145">
        <v>2</v>
      </c>
      <c r="G449" s="2145">
        <f>COUNTIF(Principal!$C$35:$J$53,Tablas!E449)</f>
        <v>0</v>
      </c>
      <c r="H449" s="2146">
        <f t="shared" si="53"/>
        <v>0</v>
      </c>
      <c r="I449" s="986"/>
      <c r="J449" s="2150" t="s">
        <v>6740</v>
      </c>
      <c r="N449"/>
    </row>
    <row r="450" spans="1:14" ht="12.75" customHeight="1" x14ac:dyDescent="0.2">
      <c r="A450" s="242">
        <v>450</v>
      </c>
      <c r="B450" s="5664"/>
      <c r="C450" s="2154" t="str">
        <f t="shared" si="52"/>
        <v>Des. psíquico: Causalidad</v>
      </c>
      <c r="D450" s="981">
        <f t="shared" si="51"/>
        <v>22</v>
      </c>
      <c r="E450" s="56" t="s">
        <v>2413</v>
      </c>
      <c r="F450" s="2145">
        <v>3</v>
      </c>
      <c r="G450" s="2145">
        <f>COUNTIF(Principal!$C$35:$J$53,Tablas!E450)</f>
        <v>0</v>
      </c>
      <c r="H450" s="2146">
        <f t="shared" si="53"/>
        <v>0</v>
      </c>
      <c r="I450" s="986"/>
      <c r="J450" s="2150" t="s">
        <v>6740</v>
      </c>
      <c r="N450"/>
    </row>
    <row r="451" spans="1:14" ht="12.75" customHeight="1" x14ac:dyDescent="0.2">
      <c r="A451" s="242">
        <v>451</v>
      </c>
      <c r="B451" s="5664"/>
      <c r="C451" s="2154" t="str">
        <f t="shared" si="52"/>
        <v>Des. psíquico: Crioquinesis</v>
      </c>
      <c r="D451" s="981">
        <f t="shared" si="51"/>
        <v>12</v>
      </c>
      <c r="E451" s="56" t="s">
        <v>2414</v>
      </c>
      <c r="F451" s="2145">
        <v>2</v>
      </c>
      <c r="G451" s="2145">
        <f>COUNTIF(Principal!$C$35:$J$53,Tablas!E451)</f>
        <v>0</v>
      </c>
      <c r="H451" s="2146">
        <f t="shared" si="53"/>
        <v>0</v>
      </c>
      <c r="I451" s="986">
        <v>1</v>
      </c>
      <c r="J451" s="2150" t="s">
        <v>6740</v>
      </c>
      <c r="N451"/>
    </row>
    <row r="452" spans="1:14" ht="12.75" customHeight="1" x14ac:dyDescent="0.2">
      <c r="A452" s="242">
        <v>452</v>
      </c>
      <c r="B452" s="5664"/>
      <c r="C452" s="2154" t="str">
        <f t="shared" si="52"/>
        <v>Des. psíquico: Energía</v>
      </c>
      <c r="D452" s="981">
        <f t="shared" si="51"/>
        <v>8</v>
      </c>
      <c r="E452" s="56" t="s">
        <v>2415</v>
      </c>
      <c r="F452" s="2145">
        <v>2</v>
      </c>
      <c r="G452" s="2145">
        <f>COUNTIF(Principal!$C$35:$J$53,Tablas!E452)</f>
        <v>0</v>
      </c>
      <c r="H452" s="2146">
        <f t="shared" si="53"/>
        <v>0</v>
      </c>
      <c r="I452" s="986">
        <v>1</v>
      </c>
      <c r="J452" s="2150" t="s">
        <v>6740</v>
      </c>
      <c r="N452"/>
    </row>
    <row r="453" spans="1:14" ht="12.75" customHeight="1" x14ac:dyDescent="0.2">
      <c r="A453" s="242">
        <v>453</v>
      </c>
      <c r="B453" s="5664"/>
      <c r="C453" s="2154" t="str">
        <f t="shared" si="52"/>
        <v>Des. psíquico: Inc. Físico</v>
      </c>
      <c r="D453" s="981">
        <f t="shared" si="51"/>
        <v>16</v>
      </c>
      <c r="E453" s="56" t="s">
        <v>2416</v>
      </c>
      <c r="F453" s="2145">
        <v>2</v>
      </c>
      <c r="G453" s="2145">
        <f>COUNTIF(Principal!$C$35:$J$53,Tablas!E453)</f>
        <v>0</v>
      </c>
      <c r="H453" s="2146">
        <f t="shared" si="53"/>
        <v>0</v>
      </c>
      <c r="I453" s="986">
        <v>1</v>
      </c>
      <c r="J453" s="2150" t="s">
        <v>6740</v>
      </c>
      <c r="N453"/>
    </row>
    <row r="454" spans="1:14" ht="12.75" customHeight="1" x14ac:dyDescent="0.2">
      <c r="A454" s="242">
        <v>454</v>
      </c>
      <c r="B454" s="5664"/>
      <c r="C454" s="2154" t="str">
        <f t="shared" si="52"/>
        <v>Des. psíquico: Luz</v>
      </c>
      <c r="D454" s="981">
        <f t="shared" si="51"/>
        <v>15</v>
      </c>
      <c r="E454" s="56" t="s">
        <v>2417</v>
      </c>
      <c r="F454" s="2145">
        <v>2</v>
      </c>
      <c r="G454" s="2145">
        <f>COUNTIF(Principal!$C$35:$J$53,Tablas!E454)</f>
        <v>0</v>
      </c>
      <c r="H454" s="2146">
        <f t="shared" si="53"/>
        <v>0</v>
      </c>
      <c r="I454" s="986">
        <v>1</v>
      </c>
      <c r="J454" s="2150" t="s">
        <v>6740</v>
      </c>
      <c r="N454"/>
    </row>
    <row r="455" spans="1:14" ht="12.75" customHeight="1" x14ac:dyDescent="0.2">
      <c r="A455" s="242">
        <v>455</v>
      </c>
      <c r="B455" s="5664"/>
      <c r="C455" s="2154" t="str">
        <f t="shared" si="52"/>
        <v>Des. psíquico: Piroquinesis</v>
      </c>
      <c r="D455" s="981">
        <f t="shared" si="51"/>
        <v>9</v>
      </c>
      <c r="E455" s="56" t="s">
        <v>2418</v>
      </c>
      <c r="F455" s="2145">
        <v>2</v>
      </c>
      <c r="G455" s="2145">
        <f>COUNTIF(Principal!$C$35:$J$53,Tablas!E455)</f>
        <v>0</v>
      </c>
      <c r="H455" s="2146">
        <f t="shared" si="53"/>
        <v>0</v>
      </c>
      <c r="I455" s="986">
        <v>1</v>
      </c>
      <c r="J455" s="2150" t="s">
        <v>6740</v>
      </c>
      <c r="N455"/>
    </row>
    <row r="456" spans="1:14" ht="12.75" customHeight="1" x14ac:dyDescent="0.2">
      <c r="A456" s="242">
        <v>456</v>
      </c>
      <c r="B456" s="5664"/>
      <c r="C456" s="2154" t="str">
        <f t="shared" si="52"/>
        <v>Des. psíquico: Sentiente</v>
      </c>
      <c r="D456" s="981">
        <f t="shared" si="51"/>
        <v>10</v>
      </c>
      <c r="E456" s="56" t="s">
        <v>2419</v>
      </c>
      <c r="F456" s="2145">
        <v>2</v>
      </c>
      <c r="G456" s="2145">
        <f>COUNTIF(Principal!$C$35:$J$53,Tablas!E456)</f>
        <v>0</v>
      </c>
      <c r="H456" s="2146">
        <f t="shared" si="53"/>
        <v>0</v>
      </c>
      <c r="I456" s="986">
        <v>1</v>
      </c>
      <c r="J456" s="2150" t="s">
        <v>6740</v>
      </c>
      <c r="N456"/>
    </row>
    <row r="457" spans="1:14" ht="12.75" customHeight="1" x14ac:dyDescent="0.2">
      <c r="A457" s="242">
        <v>457</v>
      </c>
      <c r="B457" s="5664"/>
      <c r="C457" s="2154" t="str">
        <f t="shared" si="52"/>
        <v>Des. psíquico: Telemetría</v>
      </c>
      <c r="D457" s="981">
        <f t="shared" si="51"/>
        <v>13</v>
      </c>
      <c r="E457" s="56" t="s">
        <v>2420</v>
      </c>
      <c r="F457" s="2145">
        <v>2</v>
      </c>
      <c r="G457" s="2145">
        <f>COUNTIF(Principal!$C$35:$J$53,Tablas!E457)</f>
        <v>0</v>
      </c>
      <c r="H457" s="2146">
        <f t="shared" si="53"/>
        <v>0</v>
      </c>
      <c r="I457" s="986">
        <v>1</v>
      </c>
      <c r="J457" s="2150" t="s">
        <v>6740</v>
      </c>
      <c r="N457"/>
    </row>
    <row r="458" spans="1:14" ht="12.75" customHeight="1" x14ac:dyDescent="0.2">
      <c r="A458" s="242">
        <v>458</v>
      </c>
      <c r="B458" s="5664"/>
      <c r="C458" s="2154" t="str">
        <f t="shared" si="52"/>
        <v>Des. psíquico: Telepatía</v>
      </c>
      <c r="D458" s="981">
        <f t="shared" si="51"/>
        <v>14</v>
      </c>
      <c r="E458" s="56" t="s">
        <v>2421</v>
      </c>
      <c r="F458" s="2145">
        <v>2</v>
      </c>
      <c r="G458" s="2145">
        <f>COUNTIF(Principal!$C$35:$J$53,Tablas!E458)</f>
        <v>0</v>
      </c>
      <c r="H458" s="2146">
        <f t="shared" si="53"/>
        <v>0</v>
      </c>
      <c r="I458" s="986">
        <v>1</v>
      </c>
      <c r="J458" s="2150" t="s">
        <v>6740</v>
      </c>
      <c r="N458"/>
    </row>
    <row r="459" spans="1:14" ht="12.75" customHeight="1" x14ac:dyDescent="0.2">
      <c r="A459" s="242">
        <v>459</v>
      </c>
      <c r="B459" s="5664"/>
      <c r="C459" s="2154" t="str">
        <f t="shared" si="52"/>
        <v>Des. psíquico: Telequinesis</v>
      </c>
      <c r="D459" s="981">
        <f t="shared" si="51"/>
        <v>7</v>
      </c>
      <c r="E459" s="56" t="s">
        <v>2422</v>
      </c>
      <c r="F459" s="2145">
        <v>2</v>
      </c>
      <c r="G459" s="2145">
        <f>COUNTIF(Principal!$C$35:$J$53,Tablas!E459)</f>
        <v>0</v>
      </c>
      <c r="H459" s="2146">
        <f t="shared" si="53"/>
        <v>0</v>
      </c>
      <c r="I459" s="986">
        <v>1</v>
      </c>
      <c r="J459" s="2150" t="s">
        <v>6740</v>
      </c>
      <c r="N459"/>
    </row>
    <row r="460" spans="1:14" ht="12.75" customHeight="1" x14ac:dyDescent="0.2">
      <c r="A460" s="242">
        <v>460</v>
      </c>
      <c r="B460" s="5664"/>
      <c r="C460" s="2154" t="str">
        <f t="shared" si="52"/>
        <v>Des. psíquico: Teletransporte</v>
      </c>
      <c r="D460" s="981">
        <f t="shared" si="51"/>
        <v>5</v>
      </c>
      <c r="E460" s="56" t="s">
        <v>2423</v>
      </c>
      <c r="F460" s="2145">
        <v>2</v>
      </c>
      <c r="G460" s="2145">
        <f>COUNTIF(Principal!$C$35:$J$53,Tablas!E460)</f>
        <v>0</v>
      </c>
      <c r="H460" s="2146">
        <f t="shared" si="53"/>
        <v>0</v>
      </c>
      <c r="I460" s="986">
        <v>1</v>
      </c>
      <c r="J460" s="2150" t="s">
        <v>6740</v>
      </c>
      <c r="N460"/>
    </row>
    <row r="461" spans="1:14" ht="12.75" customHeight="1" x14ac:dyDescent="0.2">
      <c r="A461" s="242">
        <v>461</v>
      </c>
      <c r="B461" s="5664"/>
      <c r="C461" s="2154" t="str">
        <f t="shared" si="52"/>
        <v>Mantenimiento añadido</v>
      </c>
      <c r="D461" s="981">
        <f t="shared" si="51"/>
        <v>17</v>
      </c>
      <c r="E461" s="56" t="s">
        <v>2424</v>
      </c>
      <c r="F461" s="2145">
        <v>2</v>
      </c>
      <c r="G461" s="2145">
        <f>COUNTIF(Principal!$C$35:$J$53,Tablas!E461)</f>
        <v>0</v>
      </c>
      <c r="H461" s="2146">
        <f t="shared" si="53"/>
        <v>0</v>
      </c>
      <c r="I461" s="986">
        <v>1</v>
      </c>
      <c r="J461" s="2150" t="s">
        <v>6740</v>
      </c>
      <c r="N461"/>
    </row>
    <row r="462" spans="1:14" ht="12.75" customHeight="1" x14ac:dyDescent="0.2">
      <c r="A462" s="242">
        <v>462</v>
      </c>
      <c r="B462" s="5664"/>
      <c r="C462" s="2154" t="str">
        <f t="shared" si="52"/>
        <v>Mod. psíquico incrementado</v>
      </c>
      <c r="D462" s="981">
        <f t="shared" si="51"/>
        <v>11</v>
      </c>
      <c r="E462" s="56" t="s">
        <v>2425</v>
      </c>
      <c r="F462" s="2145">
        <v>2</v>
      </c>
      <c r="G462" s="2145">
        <f>COUNTIF(Principal!$C$35:$J$53,Tablas!E462)</f>
        <v>0</v>
      </c>
      <c r="H462" s="2146">
        <f t="shared" si="53"/>
        <v>0</v>
      </c>
      <c r="I462" s="986">
        <v>1</v>
      </c>
      <c r="J462" s="2150" t="s">
        <v>6740</v>
      </c>
      <c r="N462"/>
    </row>
    <row r="463" spans="1:14" ht="12.75" customHeight="1" x14ac:dyDescent="0.2">
      <c r="A463" s="242">
        <v>463</v>
      </c>
      <c r="B463" s="5664"/>
      <c r="C463" s="2154" t="str">
        <f t="shared" si="52"/>
        <v>Recuperación de CVs (1)</v>
      </c>
      <c r="D463" s="981">
        <f t="shared" si="51"/>
        <v>6</v>
      </c>
      <c r="E463" s="56" t="s">
        <v>2426</v>
      </c>
      <c r="F463" s="2145">
        <v>2</v>
      </c>
      <c r="G463" s="2145">
        <f>COUNTIF(Principal!$C$35:$J$53,Tablas!E463)</f>
        <v>0</v>
      </c>
      <c r="H463" s="2146">
        <f t="shared" si="53"/>
        <v>0</v>
      </c>
      <c r="I463" s="986">
        <v>1</v>
      </c>
      <c r="J463" s="2150" t="s">
        <v>6740</v>
      </c>
      <c r="N463"/>
    </row>
    <row r="464" spans="1:14" ht="12.75" customHeight="1" x14ac:dyDescent="0.2">
      <c r="A464" s="242">
        <v>464</v>
      </c>
      <c r="B464" s="5664"/>
      <c r="C464" s="2154" t="str">
        <f t="shared" si="52"/>
        <v>Recuperación de CVs (2)</v>
      </c>
      <c r="D464" s="981">
        <f t="shared" si="51"/>
        <v>4</v>
      </c>
      <c r="E464" s="56" t="s">
        <v>2427</v>
      </c>
      <c r="F464" s="2145">
        <v>2</v>
      </c>
      <c r="G464" s="2145">
        <f>COUNTIF(Principal!$C$35:$J$53,Tablas!E464)</f>
        <v>0</v>
      </c>
      <c r="H464" s="2146">
        <f t="shared" si="53"/>
        <v>0</v>
      </c>
      <c r="I464" s="986"/>
      <c r="J464" s="2150" t="s">
        <v>6740</v>
      </c>
      <c r="N464"/>
    </row>
    <row r="465" spans="1:14" ht="12.75" customHeight="1" x14ac:dyDescent="0.2">
      <c r="A465" s="242">
        <v>465</v>
      </c>
      <c r="B465" s="5664"/>
      <c r="C465" s="2154" t="str">
        <f t="shared" si="52"/>
        <v>Recuperación de CVs (3)</v>
      </c>
      <c r="D465" s="981">
        <f t="shared" si="51"/>
        <v>0</v>
      </c>
      <c r="E465" s="56" t="s">
        <v>2499</v>
      </c>
      <c r="F465" s="2145"/>
      <c r="G465" s="2145"/>
      <c r="H465" s="2146"/>
      <c r="I465" s="986"/>
      <c r="J465" s="2150" t="s">
        <v>6740</v>
      </c>
      <c r="N465"/>
    </row>
    <row r="466" spans="1:14" ht="12.75" customHeight="1" x14ac:dyDescent="0.2">
      <c r="A466" s="242">
        <v>466</v>
      </c>
      <c r="B466" s="5664"/>
      <c r="C466" s="2154" t="str">
        <f t="shared" si="52"/>
        <v>Res. a la fatiga psíquica</v>
      </c>
      <c r="D466" s="981">
        <f t="shared" si="51"/>
        <v>1</v>
      </c>
      <c r="E466" s="56" t="s">
        <v>2500</v>
      </c>
      <c r="F466" s="2145">
        <v>1</v>
      </c>
      <c r="G466" s="2145">
        <f>COUNTIF(Principal!$C$35:$J$53,Tablas!E466)</f>
        <v>0</v>
      </c>
      <c r="H466" s="2146">
        <f>G466*F466</f>
        <v>0</v>
      </c>
      <c r="I466" s="986"/>
      <c r="J466" s="2150" t="s">
        <v>6740</v>
      </c>
      <c r="N466"/>
    </row>
    <row r="467" spans="1:14" ht="12.75" customHeight="1" x14ac:dyDescent="0.2">
      <c r="A467" s="242">
        <v>467</v>
      </c>
      <c r="B467" s="5664"/>
      <c r="C467" s="2161"/>
      <c r="D467" s="2156">
        <f t="shared" si="51"/>
        <v>19</v>
      </c>
      <c r="E467" s="2157" t="s">
        <v>2501</v>
      </c>
      <c r="F467" s="983">
        <v>1</v>
      </c>
      <c r="G467" s="983">
        <f>COUNTIF(Principal!$C$35:$J$53,Tablas!E467)</f>
        <v>0</v>
      </c>
      <c r="H467" s="2158">
        <f>G467*F467</f>
        <v>0</v>
      </c>
      <c r="I467" s="2159"/>
      <c r="J467" s="2160" t="s">
        <v>6740</v>
      </c>
      <c r="N467"/>
    </row>
    <row r="468" spans="1:14" ht="12.75" customHeight="1" x14ac:dyDescent="0.2">
      <c r="A468" s="242">
        <v>468</v>
      </c>
      <c r="B468" s="5664"/>
      <c r="C468" s="2154" t="str">
        <f t="shared" ref="C468:C490" si="54">VLOOKUP(A1,$D$468:$E$490,2,0)</f>
        <v>&gt; VENTAJAS TRASFONDO</v>
      </c>
      <c r="D468" s="981">
        <f t="shared" ref="D468:D490" si="55">COUNTIF($E$468:$E$490,"&lt;="&amp;E468)</f>
        <v>1</v>
      </c>
      <c r="E468" s="56" t="s">
        <v>2535</v>
      </c>
      <c r="F468" s="2162"/>
      <c r="G468" s="2145"/>
      <c r="H468" s="95"/>
      <c r="I468" s="984"/>
      <c r="J468" s="2150" t="s">
        <v>6741</v>
      </c>
      <c r="N468"/>
    </row>
    <row r="469" spans="1:14" ht="12.75" customHeight="1" x14ac:dyDescent="0.2">
      <c r="A469" s="242">
        <v>469</v>
      </c>
      <c r="B469" s="5664"/>
      <c r="C469" s="2154" t="str">
        <f t="shared" si="54"/>
        <v>Aliado poderoso (1)</v>
      </c>
      <c r="D469" s="981">
        <f t="shared" si="55"/>
        <v>17</v>
      </c>
      <c r="E469" s="56" t="s">
        <v>2536</v>
      </c>
      <c r="F469" s="2151">
        <v>1</v>
      </c>
      <c r="G469" s="2145">
        <f>COUNTIF(Principal!$C$35:$J$53,Tablas!E469)</f>
        <v>0</v>
      </c>
      <c r="H469" s="95">
        <f t="shared" ref="H469:H490" si="56">G469*F469</f>
        <v>0</v>
      </c>
      <c r="I469" s="984"/>
      <c r="J469" s="2150" t="s">
        <v>6741</v>
      </c>
      <c r="N469"/>
    </row>
    <row r="470" spans="1:14" ht="12.75" customHeight="1" x14ac:dyDescent="0.2">
      <c r="A470" s="242">
        <v>470</v>
      </c>
      <c r="B470" s="5664"/>
      <c r="C470" s="2154" t="str">
        <f t="shared" si="54"/>
        <v>Aliado poderoso (2)</v>
      </c>
      <c r="D470" s="981">
        <f t="shared" si="55"/>
        <v>18</v>
      </c>
      <c r="E470" s="56" t="s">
        <v>2537</v>
      </c>
      <c r="F470" s="2151">
        <v>2</v>
      </c>
      <c r="G470" s="2145">
        <f>COUNTIF(Principal!$C$35:$J$53,Tablas!E470)</f>
        <v>0</v>
      </c>
      <c r="H470" s="95">
        <f t="shared" si="56"/>
        <v>0</v>
      </c>
      <c r="I470" s="984"/>
      <c r="J470" s="2150" t="s">
        <v>6741</v>
      </c>
      <c r="N470"/>
    </row>
    <row r="471" spans="1:14" ht="12.75" customHeight="1" x14ac:dyDescent="0.2">
      <c r="A471" s="242">
        <v>471</v>
      </c>
      <c r="B471" s="5664"/>
      <c r="C471" s="2154" t="str">
        <f t="shared" si="54"/>
        <v>Aliado poderoso (3)</v>
      </c>
      <c r="D471" s="981">
        <f t="shared" si="55"/>
        <v>16</v>
      </c>
      <c r="E471" s="56" t="s">
        <v>2538</v>
      </c>
      <c r="F471" s="2151">
        <v>3</v>
      </c>
      <c r="G471" s="2145">
        <f>COUNTIF(Principal!$C$35:$J$53,Tablas!E471)</f>
        <v>0</v>
      </c>
      <c r="H471" s="95">
        <f t="shared" si="56"/>
        <v>0</v>
      </c>
      <c r="I471" s="984"/>
      <c r="J471" s="2150" t="s">
        <v>6741</v>
      </c>
      <c r="N471"/>
    </row>
    <row r="472" spans="1:14" ht="12.75" customHeight="1" x14ac:dyDescent="0.2">
      <c r="A472" s="242">
        <v>472</v>
      </c>
      <c r="B472" s="5664"/>
      <c r="C472" s="2154" t="str">
        <f t="shared" si="54"/>
        <v>Artefacto (1)</v>
      </c>
      <c r="D472" s="981">
        <f t="shared" si="55"/>
        <v>11</v>
      </c>
      <c r="E472" s="56" t="s">
        <v>2539</v>
      </c>
      <c r="F472" s="2145">
        <v>1</v>
      </c>
      <c r="G472" s="2145">
        <f>COUNTIF(Principal!$C$35:$J$53,Tablas!E472)</f>
        <v>0</v>
      </c>
      <c r="H472" s="95">
        <f t="shared" si="56"/>
        <v>0</v>
      </c>
      <c r="I472" s="984"/>
      <c r="J472" s="2150" t="s">
        <v>6741</v>
      </c>
      <c r="N472"/>
    </row>
    <row r="473" spans="1:14" ht="12.75" customHeight="1" x14ac:dyDescent="0.2">
      <c r="A473" s="242">
        <v>473</v>
      </c>
      <c r="B473" s="5664"/>
      <c r="C473" s="2154" t="str">
        <f t="shared" si="54"/>
        <v>Artefacto (2)</v>
      </c>
      <c r="D473" s="981">
        <f t="shared" si="55"/>
        <v>12</v>
      </c>
      <c r="E473" s="56" t="s">
        <v>2540</v>
      </c>
      <c r="F473" s="2145">
        <v>2</v>
      </c>
      <c r="G473" s="2145">
        <f>COUNTIF(Principal!$C$35:$J$53,Tablas!E473)</f>
        <v>0</v>
      </c>
      <c r="H473" s="95">
        <f t="shared" si="56"/>
        <v>0</v>
      </c>
      <c r="I473" s="984"/>
      <c r="J473" s="2150" t="s">
        <v>6741</v>
      </c>
      <c r="N473"/>
    </row>
    <row r="474" spans="1:14" ht="12.75" customHeight="1" x14ac:dyDescent="0.2">
      <c r="A474" s="242">
        <v>474</v>
      </c>
      <c r="B474" s="5664"/>
      <c r="C474" s="2154" t="str">
        <f t="shared" si="54"/>
        <v>Artefacto (3)</v>
      </c>
      <c r="D474" s="981">
        <f t="shared" si="55"/>
        <v>13</v>
      </c>
      <c r="E474" s="56" t="s">
        <v>2541</v>
      </c>
      <c r="F474" s="2145">
        <v>3</v>
      </c>
      <c r="G474" s="2145">
        <f>COUNTIF(Principal!$C$35:$J$53,Tablas!E474)</f>
        <v>0</v>
      </c>
      <c r="H474" s="95">
        <f t="shared" si="56"/>
        <v>0</v>
      </c>
      <c r="I474" s="984"/>
      <c r="J474" s="2150" t="s">
        <v>6741</v>
      </c>
      <c r="N474"/>
    </row>
    <row r="475" spans="1:14" ht="12.75" customHeight="1" x14ac:dyDescent="0.2">
      <c r="A475" s="242">
        <v>475</v>
      </c>
      <c r="B475" s="5664"/>
      <c r="C475" s="2154" t="str">
        <f t="shared" si="54"/>
        <v>Contactos (1)</v>
      </c>
      <c r="D475" s="981">
        <f t="shared" si="55"/>
        <v>5</v>
      </c>
      <c r="E475" s="56" t="s">
        <v>2542</v>
      </c>
      <c r="F475" s="2145">
        <v>1</v>
      </c>
      <c r="G475" s="2145">
        <f>COUNTIF(Principal!$C$35:$J$53,Tablas!E475)</f>
        <v>0</v>
      </c>
      <c r="H475" s="95">
        <f t="shared" si="56"/>
        <v>0</v>
      </c>
      <c r="I475" s="984"/>
      <c r="J475" s="2150" t="s">
        <v>6741</v>
      </c>
      <c r="N475"/>
    </row>
    <row r="476" spans="1:14" ht="12.75" customHeight="1" x14ac:dyDescent="0.2">
      <c r="A476" s="242">
        <v>476</v>
      </c>
      <c r="B476" s="5664"/>
      <c r="C476" s="2154" t="str">
        <f t="shared" si="54"/>
        <v>Contactos (2)</v>
      </c>
      <c r="D476" s="981">
        <f t="shared" si="55"/>
        <v>6</v>
      </c>
      <c r="E476" s="56" t="s">
        <v>2543</v>
      </c>
      <c r="F476" s="2145">
        <v>2</v>
      </c>
      <c r="G476" s="2145">
        <f>COUNTIF(Principal!$C$35:$J$53,Tablas!E476)</f>
        <v>0</v>
      </c>
      <c r="H476" s="95">
        <f t="shared" si="56"/>
        <v>0</v>
      </c>
      <c r="I476" s="984"/>
      <c r="J476" s="2150" t="s">
        <v>6741</v>
      </c>
      <c r="N476"/>
    </row>
    <row r="477" spans="1:14" ht="12.75" customHeight="1" x14ac:dyDescent="0.2">
      <c r="A477" s="242">
        <v>477</v>
      </c>
      <c r="B477" s="5664"/>
      <c r="C477" s="2154" t="str">
        <f t="shared" si="54"/>
        <v>Contactos (3)</v>
      </c>
      <c r="D477" s="981">
        <f t="shared" si="55"/>
        <v>7</v>
      </c>
      <c r="E477" s="56" t="s">
        <v>2544</v>
      </c>
      <c r="F477" s="2145">
        <v>3</v>
      </c>
      <c r="G477" s="2145">
        <f>COUNTIF(Principal!$C$35:$J$53,Tablas!E477)</f>
        <v>0</v>
      </c>
      <c r="H477" s="95">
        <f t="shared" si="56"/>
        <v>0</v>
      </c>
      <c r="I477" s="984"/>
      <c r="J477" s="2150" t="s">
        <v>6741</v>
      </c>
      <c r="N477"/>
    </row>
    <row r="478" spans="1:14" ht="12.75" customHeight="1" x14ac:dyDescent="0.2">
      <c r="A478" s="242">
        <v>478</v>
      </c>
      <c r="B478" s="5664"/>
      <c r="C478" s="2154" t="str">
        <f t="shared" si="54"/>
        <v>Curtido (1)</v>
      </c>
      <c r="D478" s="981">
        <f t="shared" si="55"/>
        <v>14</v>
      </c>
      <c r="E478" s="56" t="s">
        <v>2545</v>
      </c>
      <c r="F478" s="2145">
        <v>1</v>
      </c>
      <c r="G478" s="2145">
        <f>COUNTIF(Principal!$C$35:$J$53,Tablas!E478)</f>
        <v>0</v>
      </c>
      <c r="H478" s="95">
        <f t="shared" si="56"/>
        <v>0</v>
      </c>
      <c r="I478" s="984"/>
      <c r="J478" s="2150" t="s">
        <v>6741</v>
      </c>
      <c r="N478"/>
    </row>
    <row r="479" spans="1:14" ht="12.75" customHeight="1" x14ac:dyDescent="0.2">
      <c r="A479" s="242">
        <v>479</v>
      </c>
      <c r="B479" s="5664"/>
      <c r="C479" s="2154" t="str">
        <f t="shared" si="54"/>
        <v>Curtido (2)</v>
      </c>
      <c r="D479" s="981">
        <f t="shared" si="55"/>
        <v>15</v>
      </c>
      <c r="E479" s="56" t="s">
        <v>2546</v>
      </c>
      <c r="F479" s="2145">
        <v>2</v>
      </c>
      <c r="G479" s="2145">
        <f>COUNTIF(Principal!$C$35:$J$53,Tablas!E479)</f>
        <v>0</v>
      </c>
      <c r="H479" s="95">
        <f t="shared" si="56"/>
        <v>0</v>
      </c>
      <c r="I479" s="984"/>
      <c r="J479" s="2150" t="s">
        <v>6741</v>
      </c>
      <c r="N479"/>
    </row>
    <row r="480" spans="1:14" ht="12.75" customHeight="1" x14ac:dyDescent="0.2">
      <c r="A480" s="242">
        <v>480</v>
      </c>
      <c r="B480" s="5664"/>
      <c r="C480" s="2154" t="str">
        <f t="shared" si="54"/>
        <v>Curtido (3)</v>
      </c>
      <c r="D480" s="981">
        <f t="shared" si="55"/>
        <v>21</v>
      </c>
      <c r="E480" s="56" t="s">
        <v>2547</v>
      </c>
      <c r="F480" s="2145">
        <v>1</v>
      </c>
      <c r="G480" s="2145">
        <f>COUNTIF(Principal!$C$35:$J$53,Tablas!E480)</f>
        <v>0</v>
      </c>
      <c r="H480" s="95">
        <f t="shared" si="56"/>
        <v>0</v>
      </c>
      <c r="I480" s="984"/>
      <c r="J480" s="2150" t="s">
        <v>6741</v>
      </c>
      <c r="N480"/>
    </row>
    <row r="481" spans="1:14" ht="12.75" customHeight="1" x14ac:dyDescent="0.2">
      <c r="A481" s="242">
        <v>481</v>
      </c>
      <c r="B481" s="5664"/>
      <c r="C481" s="2154" t="str">
        <f t="shared" si="54"/>
        <v>Fama (1)</v>
      </c>
      <c r="D481" s="981">
        <f t="shared" si="55"/>
        <v>23</v>
      </c>
      <c r="E481" s="56" t="s">
        <v>2548</v>
      </c>
      <c r="F481" s="2145">
        <v>2</v>
      </c>
      <c r="G481" s="2145">
        <f>COUNTIF(Principal!$C$35:$J$53,Tablas!E481)</f>
        <v>0</v>
      </c>
      <c r="H481" s="95">
        <f t="shared" si="56"/>
        <v>0</v>
      </c>
      <c r="I481" s="984"/>
      <c r="J481" s="2150" t="s">
        <v>6741</v>
      </c>
      <c r="N481"/>
    </row>
    <row r="482" spans="1:14" ht="12.75" customHeight="1" x14ac:dyDescent="0.2">
      <c r="A482" s="242">
        <v>482</v>
      </c>
      <c r="B482" s="5664"/>
      <c r="C482" s="2154" t="str">
        <f t="shared" si="54"/>
        <v>Fama (2)</v>
      </c>
      <c r="D482" s="981">
        <f t="shared" si="55"/>
        <v>19</v>
      </c>
      <c r="E482" s="56" t="s">
        <v>2549</v>
      </c>
      <c r="F482" s="2145">
        <v>1</v>
      </c>
      <c r="G482" s="2145">
        <f>COUNTIF(Principal!$C$35:$J$53,Tablas!E482)</f>
        <v>0</v>
      </c>
      <c r="H482" s="95">
        <f t="shared" si="56"/>
        <v>0</v>
      </c>
      <c r="I482" s="984"/>
      <c r="J482" s="2150" t="s">
        <v>6741</v>
      </c>
      <c r="N482"/>
    </row>
    <row r="483" spans="1:14" ht="12.75" customHeight="1" x14ac:dyDescent="0.2">
      <c r="A483" s="242">
        <v>483</v>
      </c>
      <c r="B483" s="5664"/>
      <c r="C483" s="2154" t="str">
        <f t="shared" si="54"/>
        <v>Fondos iniciales (10 000 mo)</v>
      </c>
      <c r="D483" s="981">
        <f t="shared" si="55"/>
        <v>20</v>
      </c>
      <c r="E483" s="56" t="s">
        <v>2550</v>
      </c>
      <c r="F483" s="2145">
        <v>2</v>
      </c>
      <c r="G483" s="2145">
        <f>COUNTIF(Principal!$C$35:$J$53,Tablas!E483)</f>
        <v>0</v>
      </c>
      <c r="H483" s="95">
        <f t="shared" si="56"/>
        <v>0</v>
      </c>
      <c r="I483" s="984"/>
      <c r="J483" s="2150" t="s">
        <v>6741</v>
      </c>
      <c r="N483"/>
    </row>
    <row r="484" spans="1:14" ht="12.75" customHeight="1" x14ac:dyDescent="0.2">
      <c r="A484" s="242">
        <v>484</v>
      </c>
      <c r="B484" s="5664"/>
      <c r="C484" s="2154" t="str">
        <f t="shared" si="54"/>
        <v>Fondos iniciales (2 000 mo)</v>
      </c>
      <c r="D484" s="981">
        <f t="shared" si="55"/>
        <v>8</v>
      </c>
      <c r="E484" s="56" t="s">
        <v>2551</v>
      </c>
      <c r="F484" s="2145">
        <v>1</v>
      </c>
      <c r="G484" s="2145">
        <f>COUNTIF(Principal!$C$35:$J$53,Tablas!E484)</f>
        <v>0</v>
      </c>
      <c r="H484" s="95">
        <f t="shared" si="56"/>
        <v>0</v>
      </c>
      <c r="I484" s="984"/>
      <c r="J484" s="2150" t="s">
        <v>6741</v>
      </c>
      <c r="N484"/>
    </row>
    <row r="485" spans="1:14" ht="12.75" customHeight="1" x14ac:dyDescent="0.2">
      <c r="A485" s="242">
        <v>485</v>
      </c>
      <c r="B485" s="5664"/>
      <c r="C485" s="2154" t="str">
        <f t="shared" si="54"/>
        <v>Fondos iniciales (5 000 mo)</v>
      </c>
      <c r="D485" s="981">
        <f t="shared" si="55"/>
        <v>9</v>
      </c>
      <c r="E485" s="56" t="s">
        <v>2552</v>
      </c>
      <c r="F485" s="2145">
        <v>2</v>
      </c>
      <c r="G485" s="2145">
        <f>COUNTIF(Principal!$C$35:$J$53,Tablas!E485)</f>
        <v>0</v>
      </c>
      <c r="H485" s="95">
        <f t="shared" si="56"/>
        <v>0</v>
      </c>
      <c r="I485" s="984"/>
      <c r="J485" s="2150" t="s">
        <v>6741</v>
      </c>
      <c r="N485"/>
    </row>
    <row r="486" spans="1:14" ht="12.75" customHeight="1" x14ac:dyDescent="0.2">
      <c r="A486" s="242">
        <v>486</v>
      </c>
      <c r="B486" s="5664"/>
      <c r="C486" s="2154" t="str">
        <f t="shared" si="54"/>
        <v>Posición social (1)</v>
      </c>
      <c r="D486" s="981">
        <f t="shared" si="55"/>
        <v>10</v>
      </c>
      <c r="E486" s="56" t="s">
        <v>2553</v>
      </c>
      <c r="F486" s="2145">
        <v>3</v>
      </c>
      <c r="G486" s="2145">
        <f>COUNTIF(Principal!$C$35:$J$53,Tablas!E486)</f>
        <v>0</v>
      </c>
      <c r="H486" s="95">
        <f t="shared" si="56"/>
        <v>0</v>
      </c>
      <c r="I486" s="984"/>
      <c r="J486" s="2150" t="s">
        <v>6741</v>
      </c>
      <c r="N486"/>
    </row>
    <row r="487" spans="1:14" ht="12.75" customHeight="1" x14ac:dyDescent="0.2">
      <c r="A487" s="242">
        <v>487</v>
      </c>
      <c r="B487" s="5664"/>
      <c r="C487" s="2154" t="str">
        <f t="shared" si="54"/>
        <v>Posición social (2)</v>
      </c>
      <c r="D487" s="981">
        <f t="shared" si="55"/>
        <v>2</v>
      </c>
      <c r="E487" s="56" t="s">
        <v>2554</v>
      </c>
      <c r="F487" s="2145">
        <v>1</v>
      </c>
      <c r="G487" s="2145">
        <f>COUNTIF(Principal!$C$35:$J$53,Tablas!E487)</f>
        <v>0</v>
      </c>
      <c r="H487" s="95">
        <f t="shared" si="56"/>
        <v>0</v>
      </c>
      <c r="I487" s="984"/>
      <c r="J487" s="2150" t="s">
        <v>6741</v>
      </c>
      <c r="N487"/>
    </row>
    <row r="488" spans="1:14" ht="12.75" customHeight="1" x14ac:dyDescent="0.2">
      <c r="A488" s="242">
        <v>488</v>
      </c>
      <c r="B488" s="5664"/>
      <c r="C488" s="2154" t="str">
        <f t="shared" si="54"/>
        <v>Raices culturales</v>
      </c>
      <c r="D488" s="981">
        <f t="shared" si="55"/>
        <v>3</v>
      </c>
      <c r="E488" s="56" t="s">
        <v>2555</v>
      </c>
      <c r="F488" s="2145">
        <v>2</v>
      </c>
      <c r="G488" s="2145">
        <f>COUNTIF(Principal!$C$35:$J$53,Tablas!E488)</f>
        <v>0</v>
      </c>
      <c r="H488" s="95">
        <f t="shared" si="56"/>
        <v>0</v>
      </c>
      <c r="I488" s="984"/>
      <c r="J488" s="2150" t="s">
        <v>6741</v>
      </c>
      <c r="N488"/>
    </row>
    <row r="489" spans="1:14" ht="12.75" customHeight="1" x14ac:dyDescent="0.2">
      <c r="A489" s="242">
        <v>489</v>
      </c>
      <c r="B489" s="5664"/>
      <c r="C489" s="2154" t="str">
        <f t="shared" si="54"/>
        <v>Sangre Antigua</v>
      </c>
      <c r="D489" s="981">
        <f t="shared" si="55"/>
        <v>4</v>
      </c>
      <c r="E489" s="56" t="s">
        <v>2556</v>
      </c>
      <c r="F489" s="2145">
        <v>3</v>
      </c>
      <c r="G489" s="2145">
        <f>COUNTIF(Principal!$C$35:$J$53,Tablas!E489)</f>
        <v>0</v>
      </c>
      <c r="H489" s="95">
        <f t="shared" si="56"/>
        <v>0</v>
      </c>
      <c r="I489" s="984"/>
      <c r="J489" s="2150" t="s">
        <v>6741</v>
      </c>
      <c r="N489"/>
    </row>
    <row r="490" spans="1:14" ht="12.75" customHeight="1" x14ac:dyDescent="0.2">
      <c r="A490" s="242">
        <v>490</v>
      </c>
      <c r="B490" s="5664"/>
      <c r="C490" s="2161" t="str">
        <f t="shared" si="54"/>
        <v>Santo</v>
      </c>
      <c r="D490" s="2156">
        <f t="shared" si="55"/>
        <v>22</v>
      </c>
      <c r="E490" s="2157" t="s">
        <v>2557</v>
      </c>
      <c r="F490" s="983">
        <v>2</v>
      </c>
      <c r="G490" s="983">
        <f>COUNTIF(Principal!$C$35:$J$53,Tablas!E490)</f>
        <v>0</v>
      </c>
      <c r="H490" s="2163">
        <f t="shared" si="56"/>
        <v>0</v>
      </c>
      <c r="I490" s="2164"/>
      <c r="J490" s="2160" t="s">
        <v>6741</v>
      </c>
      <c r="N490"/>
    </row>
    <row r="491" spans="1:14" ht="12.75" customHeight="1" x14ac:dyDescent="0.2">
      <c r="A491" s="242">
        <v>491</v>
      </c>
      <c r="B491" s="5664"/>
      <c r="C491" s="2187" t="str">
        <f>"Tablas!"&amp;ADDRESS(ROW(C492),COLUMN(C492))&amp;":"&amp;ADDRESS(ROW(C492)+MAX(D491:D562),COLUMN(C492))</f>
        <v>Tablas!$C$492:$C$548</v>
      </c>
      <c r="D491" s="981">
        <f>COUNTIF($E$491:$E$535,"&lt;="&amp;E491)-COUNTIF($E$491:$E$535,"*&gt;*")</f>
        <v>0</v>
      </c>
      <c r="E491" s="56" t="s">
        <v>2428</v>
      </c>
      <c r="F491" s="2145"/>
      <c r="G491" s="2145"/>
      <c r="H491" s="2146"/>
      <c r="I491" s="984"/>
      <c r="J491" s="2150" t="s">
        <v>2892</v>
      </c>
      <c r="L491" t="str">
        <f>C491</f>
        <v>Tablas!$C$492:$C$548</v>
      </c>
      <c r="N491"/>
    </row>
    <row r="492" spans="1:14" ht="12.75" customHeight="1" x14ac:dyDescent="0.2">
      <c r="A492" s="242">
        <v>492</v>
      </c>
      <c r="B492" s="5664"/>
      <c r="C492" s="2154" t="str">
        <f>E491</f>
        <v>&gt; DESVENTAJAS COMUNES</v>
      </c>
      <c r="D492" s="981">
        <f t="shared" ref="D492:D535" si="57">COUNTIF($E$491:$E$535,"&lt;="&amp;E492)-COUNTIF($E$491:$E$535,"*&gt;*")</f>
        <v>1</v>
      </c>
      <c r="E492" s="987" t="s">
        <v>7419</v>
      </c>
      <c r="F492" s="2145">
        <v>-1</v>
      </c>
      <c r="G492" s="2145">
        <f>COUNTIF(Principal!$C$35:$J$53,Tablas!E492)</f>
        <v>0</v>
      </c>
      <c r="H492" s="2146">
        <f t="shared" ref="H492:H526" si="58">G492*F492</f>
        <v>0</v>
      </c>
      <c r="I492" s="986">
        <v>1</v>
      </c>
      <c r="J492" s="2150" t="s">
        <v>2892</v>
      </c>
      <c r="N492"/>
    </row>
    <row r="493" spans="1:14" ht="12.75" customHeight="1" x14ac:dyDescent="0.2">
      <c r="A493" s="242">
        <v>493</v>
      </c>
      <c r="B493" s="5664"/>
      <c r="C493" s="2154" t="str">
        <f t="shared" ref="C493:C524" si="59">VLOOKUP(A1,$D$491:$E$562,2,0)</f>
        <v>-2 a característica: AGI</v>
      </c>
      <c r="D493" s="981">
        <f t="shared" si="57"/>
        <v>2</v>
      </c>
      <c r="E493" s="987" t="s">
        <v>7420</v>
      </c>
      <c r="F493" s="2145">
        <v>-1</v>
      </c>
      <c r="G493" s="2145">
        <f>COUNTIF(Principal!$C$35:$J$53,Tablas!E493)</f>
        <v>0</v>
      </c>
      <c r="H493" s="2146">
        <f t="shared" si="58"/>
        <v>0</v>
      </c>
      <c r="I493" s="986">
        <v>1</v>
      </c>
      <c r="J493" s="2150" t="s">
        <v>2892</v>
      </c>
      <c r="N493"/>
    </row>
    <row r="494" spans="1:14" ht="12.75" customHeight="1" x14ac:dyDescent="0.2">
      <c r="A494" s="242">
        <v>494</v>
      </c>
      <c r="B494" s="5664"/>
      <c r="C494" s="2154" t="str">
        <f t="shared" si="59"/>
        <v>-2 a característica: CON</v>
      </c>
      <c r="D494" s="981">
        <f t="shared" si="57"/>
        <v>3</v>
      </c>
      <c r="E494" s="987" t="s">
        <v>7421</v>
      </c>
      <c r="F494" s="2145">
        <v>-1</v>
      </c>
      <c r="G494" s="2145">
        <f>COUNTIF(Principal!$C$35:$J$53,Tablas!E494)</f>
        <v>0</v>
      </c>
      <c r="H494" s="2146">
        <f t="shared" si="58"/>
        <v>0</v>
      </c>
      <c r="I494" s="986">
        <v>1</v>
      </c>
      <c r="J494" s="2150" t="s">
        <v>2892</v>
      </c>
      <c r="N494"/>
    </row>
    <row r="495" spans="1:14" ht="12.75" customHeight="1" x14ac:dyDescent="0.2">
      <c r="A495" s="242">
        <v>495</v>
      </c>
      <c r="B495" s="5664"/>
      <c r="C495" s="2154" t="str">
        <f t="shared" si="59"/>
        <v>-2 a característica: DES</v>
      </c>
      <c r="D495" s="981">
        <f t="shared" si="57"/>
        <v>4</v>
      </c>
      <c r="E495" s="987" t="s">
        <v>7422</v>
      </c>
      <c r="F495" s="2145">
        <v>-1</v>
      </c>
      <c r="G495" s="2145">
        <f>COUNTIF(Principal!$C$35:$J$53,Tablas!E495)</f>
        <v>0</v>
      </c>
      <c r="H495" s="2146">
        <f t="shared" si="58"/>
        <v>0</v>
      </c>
      <c r="I495" s="986">
        <v>1</v>
      </c>
      <c r="J495" s="2150" t="s">
        <v>2892</v>
      </c>
      <c r="N495"/>
    </row>
    <row r="496" spans="1:14" ht="12.75" customHeight="1" x14ac:dyDescent="0.2">
      <c r="A496" s="242">
        <v>496</v>
      </c>
      <c r="B496" s="5664"/>
      <c r="C496" s="2154" t="str">
        <f t="shared" si="59"/>
        <v>-2 a característica: FUE</v>
      </c>
      <c r="D496" s="981">
        <f t="shared" si="57"/>
        <v>5</v>
      </c>
      <c r="E496" s="987" t="s">
        <v>7423</v>
      </c>
      <c r="F496" s="2145">
        <v>-1</v>
      </c>
      <c r="G496" s="2145">
        <f>COUNTIF(Principal!$C$35:$J$53,Tablas!E496)</f>
        <v>0</v>
      </c>
      <c r="H496" s="2146">
        <f t="shared" si="58"/>
        <v>0</v>
      </c>
      <c r="I496" s="986">
        <v>1</v>
      </c>
      <c r="J496" s="2150" t="s">
        <v>2892</v>
      </c>
      <c r="N496"/>
    </row>
    <row r="497" spans="1:14" ht="12.75" customHeight="1" x14ac:dyDescent="0.2">
      <c r="A497" s="242">
        <v>497</v>
      </c>
      <c r="B497" s="5664"/>
      <c r="C497" s="2154" t="str">
        <f t="shared" si="59"/>
        <v>-2 a característica: INT</v>
      </c>
      <c r="D497" s="981">
        <f t="shared" si="57"/>
        <v>6</v>
      </c>
      <c r="E497" s="987" t="s">
        <v>7424</v>
      </c>
      <c r="F497" s="2145">
        <v>-1</v>
      </c>
      <c r="G497" s="2145">
        <f>COUNTIF(Principal!$C$35:$J$53,Tablas!E497)</f>
        <v>0</v>
      </c>
      <c r="H497" s="2146">
        <f t="shared" si="58"/>
        <v>0</v>
      </c>
      <c r="I497" s="986">
        <v>1</v>
      </c>
      <c r="J497" s="2150" t="s">
        <v>2892</v>
      </c>
      <c r="N497"/>
    </row>
    <row r="498" spans="1:14" ht="12.75" customHeight="1" x14ac:dyDescent="0.2">
      <c r="A498" s="242">
        <v>498</v>
      </c>
      <c r="B498" s="5664"/>
      <c r="C498" s="2154" t="str">
        <f t="shared" si="59"/>
        <v>-2 a característica: PER</v>
      </c>
      <c r="D498" s="981">
        <f t="shared" si="57"/>
        <v>7</v>
      </c>
      <c r="E498" s="987" t="s">
        <v>7425</v>
      </c>
      <c r="F498" s="2145">
        <v>-1</v>
      </c>
      <c r="G498" s="2145">
        <f>COUNTIF(Principal!$C$35:$J$53,Tablas!E498)</f>
        <v>0</v>
      </c>
      <c r="H498" s="2146">
        <f t="shared" si="58"/>
        <v>0</v>
      </c>
      <c r="I498" s="986">
        <v>1</v>
      </c>
      <c r="J498" s="2150" t="s">
        <v>2892</v>
      </c>
      <c r="N498"/>
    </row>
    <row r="499" spans="1:14" ht="12.75" customHeight="1" x14ac:dyDescent="0.2">
      <c r="A499" s="242">
        <v>499</v>
      </c>
      <c r="B499" s="5664"/>
      <c r="C499" s="2154" t="str">
        <f t="shared" si="59"/>
        <v>-2 a característica: POD</v>
      </c>
      <c r="D499" s="981">
        <f t="shared" si="57"/>
        <v>8</v>
      </c>
      <c r="E499" s="987" t="s">
        <v>7426</v>
      </c>
      <c r="F499" s="2145">
        <v>-1</v>
      </c>
      <c r="G499" s="2145">
        <f>COUNTIF(Principal!$C$35:$J$53,Tablas!E499)</f>
        <v>0</v>
      </c>
      <c r="H499" s="2146">
        <f t="shared" si="58"/>
        <v>0</v>
      </c>
      <c r="I499" s="986">
        <v>1</v>
      </c>
      <c r="J499" s="2150" t="s">
        <v>2892</v>
      </c>
      <c r="N499"/>
    </row>
    <row r="500" spans="1:14" ht="12.75" customHeight="1" x14ac:dyDescent="0.2">
      <c r="A500" s="242">
        <v>500</v>
      </c>
      <c r="B500" s="5664"/>
      <c r="C500" s="2154" t="str">
        <f t="shared" si="59"/>
        <v>-2 a característica: VOL</v>
      </c>
      <c r="D500" s="981">
        <f t="shared" si="57"/>
        <v>31</v>
      </c>
      <c r="E500" s="56" t="s">
        <v>2429</v>
      </c>
      <c r="F500" s="2145">
        <v>-1</v>
      </c>
      <c r="G500" s="2145">
        <f>COUNTIF(Principal!$C$35:$J$53,Tablas!E500)</f>
        <v>0</v>
      </c>
      <c r="H500" s="2146">
        <f t="shared" si="58"/>
        <v>0</v>
      </c>
      <c r="I500" s="986">
        <v>2</v>
      </c>
      <c r="J500" s="2150" t="s">
        <v>2892</v>
      </c>
      <c r="N500"/>
    </row>
    <row r="501" spans="1:14" ht="12.75" customHeight="1" x14ac:dyDescent="0.2">
      <c r="A501" s="242">
        <v>501</v>
      </c>
      <c r="B501" s="5664"/>
      <c r="C501" s="2154" t="str">
        <f t="shared" si="59"/>
        <v>Adicción o vicio grave</v>
      </c>
      <c r="D501" s="981">
        <f t="shared" si="57"/>
        <v>36</v>
      </c>
      <c r="E501" s="56" t="s">
        <v>1926</v>
      </c>
      <c r="F501" s="2145">
        <v>-1</v>
      </c>
      <c r="G501" s="2145">
        <f>COUNTIF(Principal!$C$35:$J$53,Tablas!E501)</f>
        <v>0</v>
      </c>
      <c r="H501" s="2146">
        <f t="shared" si="58"/>
        <v>0</v>
      </c>
      <c r="I501" s="986">
        <v>1</v>
      </c>
      <c r="J501" s="2150" t="s">
        <v>2892</v>
      </c>
      <c r="N501"/>
    </row>
    <row r="502" spans="1:14" ht="12.75" customHeight="1" x14ac:dyDescent="0.2">
      <c r="A502" s="242">
        <v>502</v>
      </c>
      <c r="B502" s="5664"/>
      <c r="C502" s="2154" t="str">
        <f t="shared" si="59"/>
        <v>Alergia grave</v>
      </c>
      <c r="D502" s="981">
        <f t="shared" si="57"/>
        <v>42</v>
      </c>
      <c r="E502" s="56" t="s">
        <v>2430</v>
      </c>
      <c r="F502" s="2145">
        <v>-1</v>
      </c>
      <c r="G502" s="2145">
        <f>COUNTIF(Principal!$C$35:$J$53,Tablas!E502)</f>
        <v>0</v>
      </c>
      <c r="H502" s="2146">
        <f t="shared" si="58"/>
        <v>0</v>
      </c>
      <c r="I502" s="986">
        <v>1</v>
      </c>
      <c r="J502" s="2150" t="s">
        <v>2892</v>
      </c>
      <c r="N502"/>
    </row>
    <row r="503" spans="1:14" ht="12.75" customHeight="1" x14ac:dyDescent="0.2">
      <c r="A503" s="242">
        <v>503</v>
      </c>
      <c r="B503" s="5664"/>
      <c r="C503" s="2154" t="str">
        <f t="shared" si="59"/>
        <v>Aprendizaje lento (1)</v>
      </c>
      <c r="D503" s="981">
        <f t="shared" si="57"/>
        <v>24</v>
      </c>
      <c r="E503" s="56" t="s">
        <v>2431</v>
      </c>
      <c r="F503" s="2145">
        <v>-1</v>
      </c>
      <c r="G503" s="2145">
        <f>COUNTIF(Principal!$C$35:$J$53,Tablas!E503)</f>
        <v>0</v>
      </c>
      <c r="H503" s="2146">
        <f t="shared" si="58"/>
        <v>0</v>
      </c>
      <c r="I503" s="986"/>
      <c r="J503" s="2150" t="s">
        <v>2892</v>
      </c>
      <c r="N503"/>
    </row>
    <row r="504" spans="1:14" ht="12.75" customHeight="1" x14ac:dyDescent="0.2">
      <c r="A504" s="242">
        <v>504</v>
      </c>
      <c r="B504" s="5664"/>
      <c r="C504" s="2154" t="str">
        <f t="shared" si="59"/>
        <v>Aprendizaje lento (2)</v>
      </c>
      <c r="D504" s="981">
        <f t="shared" si="57"/>
        <v>41</v>
      </c>
      <c r="E504" s="56" t="s">
        <v>2432</v>
      </c>
      <c r="F504" s="2145">
        <v>-1</v>
      </c>
      <c r="G504" s="2145">
        <f>COUNTIF(Principal!$C$35:$J$53,Tablas!E504)</f>
        <v>0</v>
      </c>
      <c r="H504" s="2146">
        <f t="shared" si="58"/>
        <v>0</v>
      </c>
      <c r="I504" s="986">
        <v>1</v>
      </c>
      <c r="J504" s="2150" t="s">
        <v>2892</v>
      </c>
      <c r="N504"/>
    </row>
    <row r="505" spans="1:14" ht="12.75" customHeight="1" x14ac:dyDescent="0.2">
      <c r="A505" s="242">
        <v>505</v>
      </c>
      <c r="B505" s="5664"/>
      <c r="C505" s="2154" t="str">
        <f t="shared" si="59"/>
        <v>Arma exclusiva</v>
      </c>
      <c r="D505" s="981">
        <f t="shared" si="57"/>
        <v>40</v>
      </c>
      <c r="E505" s="56" t="s">
        <v>2433</v>
      </c>
      <c r="F505" s="2145">
        <v>-1</v>
      </c>
      <c r="G505" s="2145">
        <f>COUNTIF(Principal!$C$35:$J$53,Tablas!E505)</f>
        <v>0</v>
      </c>
      <c r="H505" s="2146">
        <f t="shared" si="58"/>
        <v>0</v>
      </c>
      <c r="I505" s="986"/>
      <c r="J505" s="2150" t="s">
        <v>2892</v>
      </c>
      <c r="N505"/>
    </row>
    <row r="506" spans="1:14" ht="12.75" customHeight="1" x14ac:dyDescent="0.2">
      <c r="A506" s="242">
        <v>506</v>
      </c>
      <c r="B506" s="5664"/>
      <c r="C506" s="2154" t="str">
        <f t="shared" si="59"/>
        <v>Aspecto desagradable</v>
      </c>
      <c r="D506" s="981">
        <f t="shared" si="57"/>
        <v>23</v>
      </c>
      <c r="E506" s="56" t="s">
        <v>2434</v>
      </c>
      <c r="F506" s="2145">
        <v>-1</v>
      </c>
      <c r="G506" s="2145">
        <f>COUNTIF(Principal!$C$35:$J$53,Tablas!E506)</f>
        <v>0</v>
      </c>
      <c r="H506" s="2146">
        <f t="shared" si="58"/>
        <v>0</v>
      </c>
      <c r="I506" s="986"/>
      <c r="J506" s="2150" t="s">
        <v>2892</v>
      </c>
      <c r="N506"/>
    </row>
    <row r="507" spans="1:14" ht="12.75" customHeight="1" x14ac:dyDescent="0.2">
      <c r="A507" s="242">
        <v>507</v>
      </c>
      <c r="B507" s="5664"/>
      <c r="C507" s="2154" t="str">
        <f t="shared" si="59"/>
        <v>Ciego</v>
      </c>
      <c r="D507" s="981">
        <f t="shared" si="57"/>
        <v>17</v>
      </c>
      <c r="E507" s="56" t="s">
        <v>2435</v>
      </c>
      <c r="F507" s="2145">
        <v>-1</v>
      </c>
      <c r="G507" s="2145">
        <f>COUNTIF(Principal!$C$35:$J$53,Tablas!E507)</f>
        <v>0</v>
      </c>
      <c r="H507" s="2146">
        <f t="shared" si="58"/>
        <v>0</v>
      </c>
      <c r="I507" s="986">
        <v>1</v>
      </c>
      <c r="J507" s="2150" t="s">
        <v>2892</v>
      </c>
      <c r="N507"/>
    </row>
    <row r="508" spans="1:14" ht="12.75" customHeight="1" x14ac:dyDescent="0.2">
      <c r="A508" s="242">
        <v>508</v>
      </c>
      <c r="B508" s="5664"/>
      <c r="C508" s="2154" t="str">
        <f t="shared" si="59"/>
        <v>Cobardía</v>
      </c>
      <c r="D508" s="981">
        <f t="shared" si="57"/>
        <v>14</v>
      </c>
      <c r="E508" s="56" t="s">
        <v>2436</v>
      </c>
      <c r="F508" s="2145">
        <v>-1</v>
      </c>
      <c r="G508" s="2145">
        <f>COUNTIF(Principal!$C$35:$J$53,Tablas!E508)</f>
        <v>0</v>
      </c>
      <c r="H508" s="2146">
        <f t="shared" si="58"/>
        <v>0</v>
      </c>
      <c r="I508" s="986"/>
      <c r="J508" s="2150" t="s">
        <v>2892</v>
      </c>
      <c r="N508"/>
    </row>
    <row r="509" spans="1:14" ht="12.75" customHeight="1" x14ac:dyDescent="0.2">
      <c r="A509" s="242">
        <v>509</v>
      </c>
      <c r="B509" s="5664"/>
      <c r="C509" s="2154" t="str">
        <f t="shared" si="59"/>
        <v>Debilidad física</v>
      </c>
      <c r="D509" s="981">
        <f t="shared" si="57"/>
        <v>27</v>
      </c>
      <c r="E509" s="56" t="s">
        <v>2437</v>
      </c>
      <c r="F509" s="2145">
        <v>-1</v>
      </c>
      <c r="G509" s="2145">
        <f>COUNTIF(Principal!$C$35:$J$53,Tablas!E509)</f>
        <v>0</v>
      </c>
      <c r="H509" s="2146">
        <f t="shared" si="58"/>
        <v>0</v>
      </c>
      <c r="I509" s="986"/>
      <c r="J509" s="2150" t="s">
        <v>2892</v>
      </c>
      <c r="N509"/>
    </row>
    <row r="510" spans="1:14" ht="12.75" customHeight="1" x14ac:dyDescent="0.2">
      <c r="A510" s="242">
        <v>510</v>
      </c>
      <c r="B510" s="5664"/>
      <c r="C510" s="2154" t="str">
        <f t="shared" si="59"/>
        <v>Desafortunado</v>
      </c>
      <c r="D510" s="981">
        <f t="shared" si="57"/>
        <v>21</v>
      </c>
      <c r="E510" s="56" t="s">
        <v>2438</v>
      </c>
      <c r="F510" s="2145">
        <v>-2</v>
      </c>
      <c r="G510" s="2145">
        <f>COUNTIF(Principal!$C$35:$J$53,Tablas!E510)</f>
        <v>0</v>
      </c>
      <c r="H510" s="2146">
        <f t="shared" si="58"/>
        <v>0</v>
      </c>
      <c r="I510" s="986"/>
      <c r="J510" s="2150" t="s">
        <v>2892</v>
      </c>
      <c r="N510"/>
    </row>
    <row r="511" spans="1:14" ht="12.75" customHeight="1" x14ac:dyDescent="0.2">
      <c r="A511" s="242">
        <v>511</v>
      </c>
      <c r="B511" s="5664"/>
      <c r="C511" s="2154" t="str">
        <f t="shared" si="59"/>
        <v>Destino aciago</v>
      </c>
      <c r="D511" s="981">
        <f t="shared" si="57"/>
        <v>10</v>
      </c>
      <c r="E511" s="56" t="s">
        <v>2439</v>
      </c>
      <c r="F511" s="2145">
        <v>-1</v>
      </c>
      <c r="G511" s="2145">
        <f>COUNTIF(Principal!$C$35:$J$53,Tablas!E511)</f>
        <v>0</v>
      </c>
      <c r="H511" s="2146">
        <f t="shared" si="58"/>
        <v>0</v>
      </c>
      <c r="I511" s="986"/>
      <c r="J511" s="2150" t="s">
        <v>2892</v>
      </c>
      <c r="N511"/>
    </row>
    <row r="512" spans="1:14" ht="12.75" customHeight="1" x14ac:dyDescent="0.2">
      <c r="A512" s="242">
        <v>512</v>
      </c>
      <c r="B512" s="5664"/>
      <c r="C512" s="2154" t="str">
        <f t="shared" si="59"/>
        <v>Endeble</v>
      </c>
      <c r="D512" s="981">
        <f t="shared" si="57"/>
        <v>39</v>
      </c>
      <c r="E512" s="56" t="s">
        <v>2440</v>
      </c>
      <c r="F512" s="2145">
        <v>-1</v>
      </c>
      <c r="G512" s="2145">
        <f>COUNTIF(Principal!$C$35:$J$53,Tablas!E512)</f>
        <v>0</v>
      </c>
      <c r="H512" s="2146">
        <f t="shared" si="58"/>
        <v>0</v>
      </c>
      <c r="I512" s="986"/>
      <c r="J512" s="2150" t="s">
        <v>2892</v>
      </c>
      <c r="N512"/>
    </row>
    <row r="513" spans="1:14" ht="12.75" customHeight="1" x14ac:dyDescent="0.2">
      <c r="A513" s="242">
        <v>513</v>
      </c>
      <c r="B513" s="5664"/>
      <c r="C513" s="2154" t="str">
        <f t="shared" si="59"/>
        <v>Enfermedad grave</v>
      </c>
      <c r="D513" s="981">
        <f t="shared" si="57"/>
        <v>25</v>
      </c>
      <c r="E513" s="56" t="s">
        <v>2441</v>
      </c>
      <c r="F513" s="2145">
        <v>-1</v>
      </c>
      <c r="G513" s="2145">
        <f>COUNTIF(Principal!$C$35:$J$53,Tablas!E513)</f>
        <v>0</v>
      </c>
      <c r="H513" s="2146">
        <f t="shared" si="58"/>
        <v>0</v>
      </c>
      <c r="I513" s="986"/>
      <c r="J513" s="2150" t="s">
        <v>2892</v>
      </c>
      <c r="N513"/>
    </row>
    <row r="514" spans="1:14" ht="12.75" customHeight="1" x14ac:dyDescent="0.2">
      <c r="A514" s="242">
        <v>514</v>
      </c>
      <c r="B514" s="5664"/>
      <c r="C514" s="2154" t="str">
        <f t="shared" si="59"/>
        <v>Exhausto</v>
      </c>
      <c r="D514" s="981">
        <f t="shared" si="57"/>
        <v>28</v>
      </c>
      <c r="E514" s="56" t="s">
        <v>2442</v>
      </c>
      <c r="F514" s="2145">
        <v>-1</v>
      </c>
      <c r="G514" s="2145">
        <f>COUNTIF(Principal!$C$35:$J$53,Tablas!E514)</f>
        <v>0</v>
      </c>
      <c r="H514" s="2146">
        <f t="shared" si="58"/>
        <v>0</v>
      </c>
      <c r="I514" s="986"/>
      <c r="J514" s="2150" t="s">
        <v>2892</v>
      </c>
      <c r="N514"/>
    </row>
    <row r="515" spans="1:14" ht="12.75" customHeight="1" x14ac:dyDescent="0.2">
      <c r="A515" s="242">
        <v>515</v>
      </c>
      <c r="B515" s="5664"/>
      <c r="C515" s="2154" t="str">
        <f t="shared" si="59"/>
        <v>Extremidad atrofiada</v>
      </c>
      <c r="D515" s="981">
        <f t="shared" si="57"/>
        <v>18</v>
      </c>
      <c r="E515" s="56" t="s">
        <v>2443</v>
      </c>
      <c r="F515" s="2145">
        <v>-1</v>
      </c>
      <c r="G515" s="2145">
        <f>COUNTIF(Principal!$C$35:$J$53,Tablas!E515)</f>
        <v>0</v>
      </c>
      <c r="H515" s="2146">
        <f t="shared" si="58"/>
        <v>0</v>
      </c>
      <c r="I515" s="986"/>
      <c r="J515" s="2150" t="s">
        <v>2892</v>
      </c>
      <c r="N515"/>
    </row>
    <row r="516" spans="1:14" ht="12.75" customHeight="1" x14ac:dyDescent="0.2">
      <c r="A516" s="242">
        <v>516</v>
      </c>
      <c r="B516" s="5664"/>
      <c r="C516" s="2154" t="str">
        <f t="shared" si="59"/>
        <v>Fácil posesión</v>
      </c>
      <c r="D516" s="981">
        <f t="shared" si="57"/>
        <v>32</v>
      </c>
      <c r="E516" s="56" t="s">
        <v>2444</v>
      </c>
      <c r="F516" s="2145">
        <v>-1</v>
      </c>
      <c r="G516" s="2145">
        <f>COUNTIF(Principal!$C$35:$J$53,Tablas!E516)</f>
        <v>0</v>
      </c>
      <c r="H516" s="2146">
        <f t="shared" si="58"/>
        <v>0</v>
      </c>
      <c r="I516" s="986"/>
      <c r="J516" s="2150" t="s">
        <v>2892</v>
      </c>
      <c r="N516"/>
    </row>
    <row r="517" spans="1:14" ht="12.75" customHeight="1" x14ac:dyDescent="0.2">
      <c r="A517" s="242">
        <v>517</v>
      </c>
      <c r="B517" s="5664"/>
      <c r="C517" s="2154" t="str">
        <f t="shared" si="59"/>
        <v>Fobia grave</v>
      </c>
      <c r="D517" s="981">
        <f t="shared" si="57"/>
        <v>15</v>
      </c>
      <c r="E517" s="56" t="s">
        <v>2445</v>
      </c>
      <c r="F517" s="2145">
        <v>-2</v>
      </c>
      <c r="G517" s="2145">
        <f>COUNTIF(Principal!$C$35:$J$53,Tablas!E517)</f>
        <v>0</v>
      </c>
      <c r="H517" s="2146">
        <f t="shared" si="58"/>
        <v>0</v>
      </c>
      <c r="I517" s="986"/>
      <c r="J517" s="2150" t="s">
        <v>2892</v>
      </c>
      <c r="N517"/>
    </row>
    <row r="518" spans="1:14" ht="12.75" customHeight="1" x14ac:dyDescent="0.2">
      <c r="A518" s="242">
        <v>518</v>
      </c>
      <c r="B518" s="5664"/>
      <c r="C518" s="2154" t="str">
        <f t="shared" si="59"/>
        <v>Insufrible</v>
      </c>
      <c r="D518" s="981">
        <f t="shared" si="57"/>
        <v>38</v>
      </c>
      <c r="E518" s="56" t="s">
        <v>2446</v>
      </c>
      <c r="F518" s="2145">
        <v>-1</v>
      </c>
      <c r="G518" s="2145">
        <f>COUNTIF(Principal!$C$35:$J$53,Tablas!E518)</f>
        <v>0</v>
      </c>
      <c r="H518" s="2146">
        <f t="shared" si="58"/>
        <v>0</v>
      </c>
      <c r="I518" s="986"/>
      <c r="J518" s="2150" t="s">
        <v>2892</v>
      </c>
      <c r="N518"/>
    </row>
    <row r="519" spans="1:14" ht="12.75" customHeight="1" x14ac:dyDescent="0.2">
      <c r="A519" s="242">
        <v>519</v>
      </c>
      <c r="B519" s="5664"/>
      <c r="C519" s="2154" t="str">
        <f t="shared" si="59"/>
        <v>Lenta curación</v>
      </c>
      <c r="D519" s="981">
        <f t="shared" si="57"/>
        <v>13</v>
      </c>
      <c r="E519" s="56" t="s">
        <v>2447</v>
      </c>
      <c r="F519" s="2145">
        <v>-1</v>
      </c>
      <c r="G519" s="2145">
        <f>COUNTIF(Principal!$C$35:$J$53,Tablas!E519)</f>
        <v>0</v>
      </c>
      <c r="H519" s="2146">
        <f t="shared" si="58"/>
        <v>0</v>
      </c>
      <c r="I519" s="986">
        <v>1</v>
      </c>
      <c r="J519" s="2150" t="s">
        <v>2892</v>
      </c>
      <c r="N519"/>
    </row>
    <row r="520" spans="1:14" ht="12.75" customHeight="1" x14ac:dyDescent="0.2">
      <c r="A520" s="242">
        <v>520</v>
      </c>
      <c r="B520" s="5664"/>
      <c r="C520" s="2154" t="str">
        <f t="shared" si="59"/>
        <v>Mala suerte</v>
      </c>
      <c r="D520" s="981">
        <f t="shared" si="57"/>
        <v>34</v>
      </c>
      <c r="E520" s="56" t="s">
        <v>2448</v>
      </c>
      <c r="F520" s="2145">
        <v>-1</v>
      </c>
      <c r="G520" s="2145">
        <f>COUNTIF(Principal!$C$35:$J$53,Tablas!E520)</f>
        <v>0</v>
      </c>
      <c r="H520" s="2146">
        <f t="shared" si="58"/>
        <v>0</v>
      </c>
      <c r="I520" s="986">
        <v>1</v>
      </c>
      <c r="J520" s="2150" t="s">
        <v>2892</v>
      </c>
      <c r="N520"/>
    </row>
    <row r="521" spans="1:14" ht="12.75" customHeight="1" x14ac:dyDescent="0.2">
      <c r="A521" s="242">
        <v>521</v>
      </c>
      <c r="B521" s="5664"/>
      <c r="C521" s="2154" t="str">
        <f t="shared" si="59"/>
        <v>Maldito (1)</v>
      </c>
      <c r="D521" s="981">
        <f t="shared" si="57"/>
        <v>35</v>
      </c>
      <c r="E521" s="56" t="s">
        <v>2449</v>
      </c>
      <c r="F521" s="2145">
        <v>-2</v>
      </c>
      <c r="G521" s="2145">
        <f>COUNTIF(Principal!$C$35:$J$53,Tablas!E521)</f>
        <v>0</v>
      </c>
      <c r="H521" s="2146">
        <f t="shared" si="58"/>
        <v>0</v>
      </c>
      <c r="I521" s="986">
        <v>1</v>
      </c>
      <c r="J521" s="2150" t="s">
        <v>2892</v>
      </c>
      <c r="N521"/>
    </row>
    <row r="522" spans="1:14" ht="12.75" customHeight="1" x14ac:dyDescent="0.2">
      <c r="A522" s="242">
        <v>522</v>
      </c>
      <c r="B522" s="5664"/>
      <c r="C522" s="2154" t="str">
        <f t="shared" si="59"/>
        <v>Maldito (2)</v>
      </c>
      <c r="D522" s="981">
        <f t="shared" si="57"/>
        <v>9</v>
      </c>
      <c r="E522" s="56" t="s">
        <v>2450</v>
      </c>
      <c r="F522" s="2145">
        <v>-1</v>
      </c>
      <c r="G522" s="2145">
        <f>COUNTIF(Principal!$C$35:$J$53,Tablas!E522)</f>
        <v>0</v>
      </c>
      <c r="H522" s="2146">
        <f t="shared" si="58"/>
        <v>0</v>
      </c>
      <c r="I522" s="986"/>
      <c r="J522" s="2150" t="s">
        <v>2892</v>
      </c>
      <c r="N522"/>
    </row>
    <row r="523" spans="1:14" ht="12.75" customHeight="1" x14ac:dyDescent="0.2">
      <c r="A523" s="242">
        <v>523</v>
      </c>
      <c r="B523" s="5664"/>
      <c r="C523" s="2154" t="str">
        <f t="shared" si="59"/>
        <v>Miopía</v>
      </c>
      <c r="D523" s="981">
        <f t="shared" si="57"/>
        <v>11</v>
      </c>
      <c r="E523" s="56" t="s">
        <v>2451</v>
      </c>
      <c r="F523" s="2145">
        <v>-1</v>
      </c>
      <c r="G523" s="2145">
        <f>COUNTIF(Principal!$C$35:$J$53,Tablas!E523)</f>
        <v>0</v>
      </c>
      <c r="H523" s="2146">
        <f t="shared" si="58"/>
        <v>0</v>
      </c>
      <c r="I523" s="986"/>
      <c r="J523" s="2150" t="s">
        <v>2892</v>
      </c>
      <c r="N523"/>
    </row>
    <row r="524" spans="1:14" ht="12.75" customHeight="1" x14ac:dyDescent="0.2">
      <c r="A524" s="242">
        <v>524</v>
      </c>
      <c r="B524" s="5664"/>
      <c r="C524" s="2154" t="str">
        <f t="shared" si="59"/>
        <v>Mudo</v>
      </c>
      <c r="D524" s="981">
        <f t="shared" si="57"/>
        <v>12</v>
      </c>
      <c r="E524" s="56" t="s">
        <v>2452</v>
      </c>
      <c r="F524" s="2145">
        <v>-2</v>
      </c>
      <c r="G524" s="2145">
        <f>COUNTIF(Principal!$C$35:$J$53,Tablas!E524)</f>
        <v>0</v>
      </c>
      <c r="H524" s="2146">
        <f t="shared" si="58"/>
        <v>0</v>
      </c>
      <c r="I524" s="986"/>
      <c r="J524" s="2150" t="s">
        <v>2892</v>
      </c>
      <c r="N524"/>
    </row>
    <row r="525" spans="1:14" ht="12.75" customHeight="1" x14ac:dyDescent="0.2">
      <c r="A525" s="242">
        <v>525</v>
      </c>
      <c r="B525" s="5664"/>
      <c r="C525" s="2154" t="str">
        <f t="shared" ref="C525:C556" si="60">VLOOKUP(A33,$D$491:$E$562,2,0)</f>
        <v>Patoso</v>
      </c>
      <c r="D525" s="981">
        <f t="shared" si="57"/>
        <v>43</v>
      </c>
      <c r="E525" s="56" t="s">
        <v>2453</v>
      </c>
      <c r="F525" s="2145">
        <v>-1</v>
      </c>
      <c r="G525" s="2145">
        <f>COUNTIF(Principal!$C$35:$J$53,Tablas!E525)</f>
        <v>0</v>
      </c>
      <c r="H525" s="2146">
        <f t="shared" si="58"/>
        <v>0</v>
      </c>
      <c r="I525" s="986">
        <v>1</v>
      </c>
      <c r="J525" s="2150" t="s">
        <v>2892</v>
      </c>
      <c r="N525"/>
    </row>
    <row r="526" spans="1:14" ht="12.75" customHeight="1" x14ac:dyDescent="0.2">
      <c r="A526" s="242">
        <v>526</v>
      </c>
      <c r="B526" s="5664"/>
      <c r="C526" s="2154" t="str">
        <f t="shared" si="60"/>
        <v>Reacción lenta (1)</v>
      </c>
      <c r="D526" s="981">
        <f t="shared" si="57"/>
        <v>22</v>
      </c>
      <c r="E526" s="56" t="s">
        <v>2454</v>
      </c>
      <c r="F526" s="2145">
        <v>-1</v>
      </c>
      <c r="G526" s="2145">
        <f>COUNTIF(Principal!$C$35:$J$53,Tablas!E526)</f>
        <v>0</v>
      </c>
      <c r="H526" s="2146">
        <f t="shared" si="58"/>
        <v>0</v>
      </c>
      <c r="I526" s="986">
        <v>1</v>
      </c>
      <c r="J526" s="2150" t="s">
        <v>2892</v>
      </c>
      <c r="N526"/>
    </row>
    <row r="527" spans="1:14" ht="12.75" customHeight="1" x14ac:dyDescent="0.2">
      <c r="A527" s="242">
        <v>527</v>
      </c>
      <c r="B527" s="5664"/>
      <c r="C527" s="2154" t="str">
        <f t="shared" si="60"/>
        <v>Reacción lenta (2)</v>
      </c>
      <c r="D527" s="981">
        <f t="shared" si="57"/>
        <v>-1</v>
      </c>
      <c r="E527" s="56" t="s">
        <v>2502</v>
      </c>
      <c r="F527" s="2145"/>
      <c r="G527" s="2145"/>
      <c r="H527" s="2146"/>
      <c r="I527" s="986"/>
      <c r="J527" s="2150" t="s">
        <v>2892</v>
      </c>
      <c r="N527"/>
    </row>
    <row r="528" spans="1:14" ht="12.75" customHeight="1" x14ac:dyDescent="0.2">
      <c r="A528" s="242">
        <v>528</v>
      </c>
      <c r="B528" s="5664"/>
      <c r="C528" s="2154" t="str">
        <f t="shared" si="60"/>
        <v>Salud enfermiza</v>
      </c>
      <c r="D528" s="981">
        <f t="shared" si="57"/>
        <v>20</v>
      </c>
      <c r="E528" s="56" t="s">
        <v>2503</v>
      </c>
      <c r="F528" s="2145">
        <v>-1</v>
      </c>
      <c r="G528" s="2145">
        <f>COUNTIF(Principal!$C$35:$J$53,Tablas!E528)</f>
        <v>1</v>
      </c>
      <c r="H528" s="2146">
        <f t="shared" ref="H528:H532" si="61">G528*F528</f>
        <v>-1</v>
      </c>
      <c r="I528" s="986"/>
      <c r="J528" s="2150" t="s">
        <v>2892</v>
      </c>
      <c r="N528"/>
    </row>
    <row r="529" spans="1:14" ht="12.75" customHeight="1" x14ac:dyDescent="0.2">
      <c r="A529" s="242">
        <v>529</v>
      </c>
      <c r="B529" s="5664"/>
      <c r="C529" s="2154" t="str">
        <f t="shared" si="60"/>
        <v>Sin bonificador natural</v>
      </c>
      <c r="D529" s="981">
        <f t="shared" si="57"/>
        <v>16</v>
      </c>
      <c r="E529" s="56" t="s">
        <v>2504</v>
      </c>
      <c r="F529" s="2145">
        <v>-1</v>
      </c>
      <c r="G529" s="2145">
        <f>COUNTIF(Principal!$C$35:$J$53,Tablas!E529)</f>
        <v>0</v>
      </c>
      <c r="H529" s="2146">
        <f t="shared" si="61"/>
        <v>0</v>
      </c>
      <c r="I529" s="986"/>
      <c r="J529" s="2150" t="s">
        <v>2892</v>
      </c>
      <c r="N529"/>
    </row>
    <row r="530" spans="1:14" ht="12.75" customHeight="1" x14ac:dyDescent="0.2">
      <c r="A530" s="242">
        <v>530</v>
      </c>
      <c r="B530" s="5664"/>
      <c r="C530" s="2154" t="str">
        <f t="shared" si="60"/>
        <v>Sordo</v>
      </c>
      <c r="D530" s="981">
        <f t="shared" si="57"/>
        <v>33</v>
      </c>
      <c r="E530" s="56" t="s">
        <v>2505</v>
      </c>
      <c r="F530" s="2145">
        <v>-1</v>
      </c>
      <c r="G530" s="2145">
        <f>COUNTIF(Principal!$C$35:$J$53,Tablas!E530)</f>
        <v>0</v>
      </c>
      <c r="H530" s="2146">
        <f t="shared" si="61"/>
        <v>0</v>
      </c>
      <c r="I530" s="986"/>
      <c r="J530" s="2150" t="s">
        <v>2892</v>
      </c>
      <c r="N530"/>
    </row>
    <row r="531" spans="1:14" ht="12.75" customHeight="1" x14ac:dyDescent="0.2">
      <c r="A531" s="242">
        <v>531</v>
      </c>
      <c r="B531" s="5664"/>
      <c r="C531" s="2154" t="str">
        <f t="shared" si="60"/>
        <v>Sueño profundo</v>
      </c>
      <c r="D531" s="981">
        <f t="shared" si="57"/>
        <v>37</v>
      </c>
      <c r="E531" s="56" t="s">
        <v>2506</v>
      </c>
      <c r="F531" s="2145">
        <v>-1</v>
      </c>
      <c r="G531" s="2145">
        <f>COUNTIF(Principal!$C$35:$J$53,Tablas!E531)</f>
        <v>0</v>
      </c>
      <c r="H531" s="2146">
        <f t="shared" si="61"/>
        <v>0</v>
      </c>
      <c r="I531" s="986">
        <v>1</v>
      </c>
      <c r="J531" s="2150" t="s">
        <v>2892</v>
      </c>
      <c r="N531"/>
    </row>
    <row r="532" spans="1:14" ht="12.75" customHeight="1" x14ac:dyDescent="0.2">
      <c r="A532" s="242">
        <v>532</v>
      </c>
      <c r="B532" s="5664"/>
      <c r="C532" s="2154" t="str">
        <f t="shared" si="60"/>
        <v>Vulnerable a frío o calor</v>
      </c>
      <c r="D532" s="981">
        <f t="shared" si="57"/>
        <v>26</v>
      </c>
      <c r="E532" s="56" t="s">
        <v>2507</v>
      </c>
      <c r="F532" s="2145">
        <v>-1</v>
      </c>
      <c r="G532" s="2145">
        <f>COUNTIF(Principal!$C$35:$J$53,Tablas!E532)</f>
        <v>0</v>
      </c>
      <c r="H532" s="2146">
        <f t="shared" si="61"/>
        <v>0</v>
      </c>
      <c r="I532" s="986"/>
      <c r="J532" s="2150" t="s">
        <v>2892</v>
      </c>
      <c r="N532"/>
    </row>
    <row r="533" spans="1:14" ht="12.75" customHeight="1" x14ac:dyDescent="0.2">
      <c r="A533" s="242">
        <v>533</v>
      </c>
      <c r="B533" s="5664"/>
      <c r="C533" s="2154" t="str">
        <f t="shared" si="60"/>
        <v>Vulnerable a la magia</v>
      </c>
      <c r="D533" s="981">
        <f t="shared" si="57"/>
        <v>29</v>
      </c>
      <c r="E533" s="56" t="s">
        <v>2560</v>
      </c>
      <c r="F533" s="2145">
        <v>-1</v>
      </c>
      <c r="G533" s="2145">
        <f>COUNTIF(Principal!$C$35:$J$53,Tablas!E533)</f>
        <v>0</v>
      </c>
      <c r="H533" s="95">
        <f>G533*F533</f>
        <v>0</v>
      </c>
      <c r="I533" s="984"/>
      <c r="J533" s="2150" t="s">
        <v>2892</v>
      </c>
      <c r="N533"/>
    </row>
    <row r="534" spans="1:14" ht="12.75" customHeight="1" x14ac:dyDescent="0.2">
      <c r="A534" s="242">
        <v>534</v>
      </c>
      <c r="B534" s="5664"/>
      <c r="C534" s="2154" t="str">
        <f t="shared" si="60"/>
        <v>Vulnerable a los venenos</v>
      </c>
      <c r="D534" s="981">
        <f t="shared" si="57"/>
        <v>30</v>
      </c>
      <c r="E534" s="56" t="s">
        <v>2561</v>
      </c>
      <c r="F534" s="2145">
        <v>-2</v>
      </c>
      <c r="G534" s="2145">
        <f>COUNTIF(Principal!$C$35:$J$53,Tablas!E534)</f>
        <v>0</v>
      </c>
      <c r="H534" s="95">
        <f>G534*F534</f>
        <v>0</v>
      </c>
      <c r="I534" s="984"/>
      <c r="J534" s="2150" t="s">
        <v>2892</v>
      </c>
      <c r="N534"/>
    </row>
    <row r="535" spans="1:14" ht="12.75" customHeight="1" x14ac:dyDescent="0.2">
      <c r="A535" s="242">
        <v>535</v>
      </c>
      <c r="B535" s="5664"/>
      <c r="C535" s="2154" t="str">
        <f t="shared" si="60"/>
        <v>Vulnerable al dolor</v>
      </c>
      <c r="D535" s="2156">
        <f t="shared" si="57"/>
        <v>19</v>
      </c>
      <c r="E535" s="2157" t="s">
        <v>2508</v>
      </c>
      <c r="F535" s="983">
        <v>-2</v>
      </c>
      <c r="G535" s="983">
        <f>COUNTIF(Principal!$C$35:$J$53,Tablas!E535)</f>
        <v>0</v>
      </c>
      <c r="H535" s="2158">
        <f>G535*F535</f>
        <v>0</v>
      </c>
      <c r="I535" s="2159"/>
      <c r="J535" s="2160" t="s">
        <v>2892</v>
      </c>
      <c r="N535"/>
    </row>
    <row r="536" spans="1:14" ht="12.75" customHeight="1" x14ac:dyDescent="0.2">
      <c r="A536" s="242">
        <v>536</v>
      </c>
      <c r="B536" s="5664"/>
      <c r="C536" s="2154" t="str">
        <f t="shared" si="60"/>
        <v>&gt; DESVENTAJAS TRASFONDO</v>
      </c>
      <c r="D536" s="981">
        <f>IF(Don,COUNTIF($E$536:$E$544,"&lt;="&amp;E536)+MAX($D$491:$D$535),MIN($D$491:D535)-1)</f>
        <v>-2</v>
      </c>
      <c r="E536" s="56" t="s">
        <v>2455</v>
      </c>
      <c r="F536" s="2145"/>
      <c r="G536" s="2145"/>
      <c r="H536" s="2146"/>
      <c r="I536" s="2173"/>
      <c r="J536" s="2168" t="s">
        <v>2309</v>
      </c>
      <c r="N536"/>
    </row>
    <row r="537" spans="1:14" ht="12.75" customHeight="1" x14ac:dyDescent="0.2">
      <c r="A537" s="242">
        <v>537</v>
      </c>
      <c r="B537" s="5664"/>
      <c r="C537" s="2154" t="str">
        <f t="shared" si="60"/>
        <v>Código de conducta</v>
      </c>
      <c r="D537" s="981">
        <f>IF(Don,COUNTIF($E$536:$E$544,"&lt;="&amp;E537)+MAX($D$491:$D$535),MIN($D$491:D536)-1)</f>
        <v>-3</v>
      </c>
      <c r="E537" s="56" t="s">
        <v>2456</v>
      </c>
      <c r="F537" s="2145">
        <v>-1</v>
      </c>
      <c r="G537" s="2145">
        <f>COUNTIF(Principal!$C$35:$J$53,Tablas!E537)</f>
        <v>0</v>
      </c>
      <c r="H537" s="2146">
        <f t="shared" ref="H537:H544" si="62">G537*F537</f>
        <v>0</v>
      </c>
      <c r="I537" s="2174"/>
      <c r="J537" s="2168" t="s">
        <v>2309</v>
      </c>
      <c r="N537"/>
    </row>
    <row r="538" spans="1:14" ht="12.75" customHeight="1" x14ac:dyDescent="0.2">
      <c r="A538" s="242">
        <v>538</v>
      </c>
      <c r="B538" s="5664"/>
      <c r="C538" s="2154" t="str">
        <f t="shared" si="60"/>
        <v>Deudas</v>
      </c>
      <c r="D538" s="981">
        <f>IF(Don,COUNTIF($E$536:$E$544,"&lt;="&amp;E538)+MAX($D$491:$D$535),MIN($D$491:D537)-1)</f>
        <v>-4</v>
      </c>
      <c r="E538" s="56" t="s">
        <v>2457</v>
      </c>
      <c r="F538" s="2145">
        <v>-1</v>
      </c>
      <c r="G538" s="2145">
        <f>COUNTIF(Principal!$C$35:$J$53,Tablas!E538)</f>
        <v>0</v>
      </c>
      <c r="H538" s="2146">
        <f t="shared" si="62"/>
        <v>0</v>
      </c>
      <c r="I538" s="2174"/>
      <c r="J538" s="2168" t="s">
        <v>2309</v>
      </c>
      <c r="N538"/>
    </row>
    <row r="539" spans="1:14" ht="12.75" customHeight="1" x14ac:dyDescent="0.2">
      <c r="A539" s="242">
        <v>539</v>
      </c>
      <c r="B539" s="5664"/>
      <c r="C539" s="2154" t="str">
        <f t="shared" si="60"/>
        <v>Enemigo poderoso (1)</v>
      </c>
      <c r="D539" s="981">
        <f>IF(Don,COUNTIF($E$536:$E$544,"&lt;="&amp;E539)+MAX($D$491:$D$535),MIN($D$491:D538)-1)</f>
        <v>-5</v>
      </c>
      <c r="E539" s="56" t="s">
        <v>2458</v>
      </c>
      <c r="F539" s="2145">
        <v>-1</v>
      </c>
      <c r="G539" s="2145">
        <f>COUNTIF(Principal!$C$35:$J$53,Tablas!E539)</f>
        <v>0</v>
      </c>
      <c r="H539" s="2146">
        <f t="shared" si="62"/>
        <v>0</v>
      </c>
      <c r="I539" s="2174"/>
      <c r="J539" s="2168" t="s">
        <v>2309</v>
      </c>
      <c r="N539"/>
    </row>
    <row r="540" spans="1:14" ht="12.75" customHeight="1" x14ac:dyDescent="0.2">
      <c r="A540" s="242">
        <v>540</v>
      </c>
      <c r="B540" s="5664"/>
      <c r="C540" s="2154" t="str">
        <f t="shared" si="60"/>
        <v>Enemigo poderoso (2)</v>
      </c>
      <c r="D540" s="981">
        <f>IF(Don,COUNTIF($E$536:$E$544,"&lt;="&amp;E540)+MAX($D$491:$D$535),MIN($D$491:D539)-1)</f>
        <v>-6</v>
      </c>
      <c r="E540" s="56" t="s">
        <v>2459</v>
      </c>
      <c r="F540" s="2145">
        <v>-1</v>
      </c>
      <c r="G540" s="2145">
        <f>COUNTIF(Principal!$C$35:$J$53,Tablas!E540)</f>
        <v>0</v>
      </c>
      <c r="H540" s="2146">
        <f t="shared" si="62"/>
        <v>0</v>
      </c>
      <c r="I540" s="2174"/>
      <c r="J540" s="2168" t="s">
        <v>2309</v>
      </c>
      <c r="N540"/>
    </row>
    <row r="541" spans="1:14" ht="12.75" customHeight="1" x14ac:dyDescent="0.2">
      <c r="A541" s="242">
        <v>541</v>
      </c>
      <c r="B541" s="5664"/>
      <c r="C541" s="2154" t="str">
        <f t="shared" si="60"/>
        <v>Novato</v>
      </c>
      <c r="D541" s="981">
        <f>IF(Don,COUNTIF($E$536:$E$544,"&lt;="&amp;E541)+MAX($D$491:$D$535),MIN($D$491:D540)-1)</f>
        <v>-7</v>
      </c>
      <c r="E541" s="56" t="s">
        <v>2460</v>
      </c>
      <c r="F541" s="2145">
        <v>-1</v>
      </c>
      <c r="G541" s="2145">
        <f>COUNTIF(Principal!$C$35:$J$53,Tablas!E541)</f>
        <v>0</v>
      </c>
      <c r="H541" s="2146">
        <f t="shared" si="62"/>
        <v>0</v>
      </c>
      <c r="I541" s="2174">
        <v>1</v>
      </c>
      <c r="J541" s="2168" t="s">
        <v>2309</v>
      </c>
      <c r="N541"/>
    </row>
    <row r="542" spans="1:14" ht="12.75" customHeight="1" x14ac:dyDescent="0.2">
      <c r="A542" s="242">
        <v>542</v>
      </c>
      <c r="B542" s="5664"/>
      <c r="C542" s="2154" t="str">
        <f t="shared" si="60"/>
        <v>Paria</v>
      </c>
      <c r="D542" s="981">
        <f>IF(Don,COUNTIF($E$536:$E$544,"&lt;="&amp;E542)+MAX($D$491:$D$535),MIN($D$491:D541)-1)</f>
        <v>-8</v>
      </c>
      <c r="E542" s="56" t="s">
        <v>2461</v>
      </c>
      <c r="F542" s="2145">
        <v>-2</v>
      </c>
      <c r="G542" s="2145">
        <f>COUNTIF(Principal!$C$35:$J$53,Tablas!E542)</f>
        <v>0</v>
      </c>
      <c r="H542" s="2146">
        <f t="shared" si="62"/>
        <v>0</v>
      </c>
      <c r="I542" s="2174">
        <v>1</v>
      </c>
      <c r="J542" s="2168" t="s">
        <v>2309</v>
      </c>
      <c r="N542"/>
    </row>
    <row r="543" spans="1:14" ht="12.75" customHeight="1" x14ac:dyDescent="0.2">
      <c r="A543" s="242">
        <v>543</v>
      </c>
      <c r="B543" s="5664"/>
      <c r="C543" s="2154" t="str">
        <f t="shared" si="60"/>
        <v>Secreto inconfesable</v>
      </c>
      <c r="D543" s="981">
        <f>IF(Don,COUNTIF($E$536:$E$544,"&lt;="&amp;E543)+MAX($D$491:$D$535),MIN($D$491:D542)-1)</f>
        <v>-9</v>
      </c>
      <c r="E543" s="56" t="s">
        <v>2462</v>
      </c>
      <c r="F543" s="2145">
        <v>-1</v>
      </c>
      <c r="G543" s="2145">
        <f>COUNTIF(Principal!$C$35:$J$53,Tablas!E543)</f>
        <v>0</v>
      </c>
      <c r="H543" s="2146">
        <f t="shared" si="62"/>
        <v>0</v>
      </c>
      <c r="I543" s="2174">
        <v>2</v>
      </c>
      <c r="J543" s="2168" t="s">
        <v>2309</v>
      </c>
      <c r="N543"/>
    </row>
    <row r="544" spans="1:14" ht="12.75" customHeight="1" x14ac:dyDescent="0.2">
      <c r="A544" s="242">
        <v>544</v>
      </c>
      <c r="B544" s="5664"/>
      <c r="C544" s="2154" t="str">
        <f t="shared" si="60"/>
        <v>&gt; DESVENTAJAS PERSONALIZADAS</v>
      </c>
      <c r="D544" s="2156">
        <f>IF(Don,COUNTIF($E$536:$E$544,"&lt;="&amp;E544)+MAX($D$491:$D$535),MIN($D$491:D543)-1)</f>
        <v>-10</v>
      </c>
      <c r="E544" s="56" t="s">
        <v>2463</v>
      </c>
      <c r="F544" s="2145">
        <v>-2</v>
      </c>
      <c r="G544" s="2145">
        <f>COUNTIF(Principal!$C$35:$J$53,Tablas!E544)</f>
        <v>0</v>
      </c>
      <c r="H544" s="2146">
        <f t="shared" si="62"/>
        <v>0</v>
      </c>
      <c r="I544" s="2175"/>
      <c r="J544" s="2168" t="s">
        <v>2309</v>
      </c>
      <c r="N544"/>
    </row>
    <row r="545" spans="1:14" ht="12.75" customHeight="1" x14ac:dyDescent="0.2">
      <c r="A545" s="242">
        <v>545</v>
      </c>
      <c r="B545" s="5664"/>
      <c r="C545" s="2154" t="str">
        <f t="shared" si="60"/>
        <v>Desventaja Personalizada #1</v>
      </c>
      <c r="D545" s="981">
        <f>IF(Psíquico,COUNTIF($E$545:$E$549,"&lt;="&amp;E545)+MAX($D$491:$D$544),MIN($D$491:D544)-1)</f>
        <v>-11</v>
      </c>
      <c r="E545" s="2155" t="s">
        <v>2464</v>
      </c>
      <c r="F545" s="833"/>
      <c r="G545" s="833"/>
      <c r="H545" s="985"/>
      <c r="I545" s="2173"/>
      <c r="J545" s="2180" t="s">
        <v>6740</v>
      </c>
      <c r="N545"/>
    </row>
    <row r="546" spans="1:14" ht="12.75" customHeight="1" x14ac:dyDescent="0.2">
      <c r="A546" s="242">
        <v>546</v>
      </c>
      <c r="B546" s="5664"/>
      <c r="C546" s="2154" t="str">
        <f t="shared" si="60"/>
        <v>Desventaja Personalizada #2</v>
      </c>
      <c r="D546" s="981">
        <f>IF(Psíquico,COUNTIF($E$545:$E$549,"&lt;="&amp;E546)+MAX($D$491:$D$544),MIN($D$491:D545)-1)</f>
        <v>-12</v>
      </c>
      <c r="E546" s="56" t="s">
        <v>2465</v>
      </c>
      <c r="F546" s="2145">
        <v>-1</v>
      </c>
      <c r="G546" s="2145">
        <f>COUNTIF(Principal!$C$35:$J$53,Tablas!E546)</f>
        <v>0</v>
      </c>
      <c r="H546" s="2146">
        <f>G546*F546</f>
        <v>0</v>
      </c>
      <c r="I546" s="2174">
        <v>1</v>
      </c>
      <c r="J546" s="2181" t="s">
        <v>6740</v>
      </c>
      <c r="N546"/>
    </row>
    <row r="547" spans="1:14" ht="12.75" customHeight="1" x14ac:dyDescent="0.2">
      <c r="A547" s="242">
        <v>547</v>
      </c>
      <c r="B547" s="5664"/>
      <c r="C547" s="2154" t="str">
        <f t="shared" si="60"/>
        <v>Desventaja Personalizada #3</v>
      </c>
      <c r="D547" s="981">
        <f>IF(Psíquico,COUNTIF($E$545:$E$549,"&lt;="&amp;E547)+MAX($D$491:$D$544),MIN($D$491:D546)-1)</f>
        <v>-13</v>
      </c>
      <c r="E547" s="56" t="s">
        <v>2466</v>
      </c>
      <c r="F547" s="2145">
        <v>-1</v>
      </c>
      <c r="G547" s="2145">
        <f>COUNTIF(Principal!$C$35:$J$53,Tablas!E547)</f>
        <v>0</v>
      </c>
      <c r="H547" s="2146">
        <f>G547*F547</f>
        <v>0</v>
      </c>
      <c r="I547" s="2174"/>
      <c r="J547" s="2181" t="s">
        <v>6740</v>
      </c>
      <c r="N547"/>
    </row>
    <row r="548" spans="1:14" ht="12.75" customHeight="1" x14ac:dyDescent="0.2">
      <c r="A548" s="242">
        <v>548</v>
      </c>
      <c r="B548" s="5664"/>
      <c r="C548" s="2154" t="str">
        <f t="shared" si="60"/>
        <v>Desventaja Personalizada #4</v>
      </c>
      <c r="D548" s="981">
        <f>IF(Psíquico,COUNTIF($E$545:$E$549,"&lt;="&amp;E548)+MAX($D$491:$D$544),MIN($D$491:D547)-1)</f>
        <v>-14</v>
      </c>
      <c r="E548" s="56" t="s">
        <v>2467</v>
      </c>
      <c r="F548" s="2145">
        <v>-1</v>
      </c>
      <c r="G548" s="2145">
        <f>COUNTIF(Principal!$C$35:$J$53,Tablas!E548)</f>
        <v>0</v>
      </c>
      <c r="H548" s="2146">
        <f>G548*F548</f>
        <v>0</v>
      </c>
      <c r="I548" s="2174"/>
      <c r="J548" s="2181" t="s">
        <v>6740</v>
      </c>
      <c r="N548"/>
    </row>
    <row r="549" spans="1:14" ht="12.75" customHeight="1" x14ac:dyDescent="0.2">
      <c r="A549" s="242">
        <v>549</v>
      </c>
      <c r="B549" s="5664"/>
      <c r="C549" s="2154" t="e">
        <f t="shared" si="60"/>
        <v>#N/A</v>
      </c>
      <c r="D549" s="2156">
        <f>IF(Psíquico,COUNTIF($E$545:$E$549,"&lt;="&amp;E549)+MAX($D$491:$D$544),MIN($D$491:D548)-1)</f>
        <v>-15</v>
      </c>
      <c r="E549" s="56" t="s">
        <v>2468</v>
      </c>
      <c r="F549" s="2145">
        <v>-2</v>
      </c>
      <c r="G549" s="2145">
        <f>COUNTIF(Principal!$C$35:$J$53,Tablas!E549)</f>
        <v>0</v>
      </c>
      <c r="H549" s="2146">
        <f>G549*F549</f>
        <v>0</v>
      </c>
      <c r="I549" s="2175"/>
      <c r="J549" s="2182" t="s">
        <v>6740</v>
      </c>
      <c r="N549"/>
    </row>
    <row r="550" spans="1:14" ht="12.75" customHeight="1" x14ac:dyDescent="0.2">
      <c r="A550" s="242">
        <v>550</v>
      </c>
      <c r="B550" s="5664"/>
      <c r="C550" s="2154" t="e">
        <f t="shared" si="60"/>
        <v>#N/A</v>
      </c>
      <c r="D550" s="981">
        <f>COUNTIF($E$550:$E$557,"&lt;="&amp;E550)+MAX($D$491:$D$549)</f>
        <v>44</v>
      </c>
      <c r="E550" s="2155" t="s">
        <v>2558</v>
      </c>
      <c r="F550" s="835"/>
      <c r="G550" s="833"/>
      <c r="H550" s="2165"/>
      <c r="I550" s="2176"/>
      <c r="J550" s="2183" t="s">
        <v>6741</v>
      </c>
      <c r="N550"/>
    </row>
    <row r="551" spans="1:14" ht="12.75" customHeight="1" x14ac:dyDescent="0.2">
      <c r="A551" s="242">
        <v>551</v>
      </c>
      <c r="B551" s="5664"/>
      <c r="C551" s="2154" t="e">
        <f t="shared" si="60"/>
        <v>#N/A</v>
      </c>
      <c r="D551" s="981">
        <f t="shared" ref="D551:D557" si="63">COUNTIF($E$550:$E$557,"&lt;="&amp;E551)+MAX($D$491:$D$549)</f>
        <v>49</v>
      </c>
      <c r="E551" s="56" t="s">
        <v>2559</v>
      </c>
      <c r="F551" s="2145">
        <v>-1</v>
      </c>
      <c r="G551" s="2145">
        <f>COUNTIF(Principal!$C$35:$J$53,Tablas!E551)</f>
        <v>0</v>
      </c>
      <c r="H551" s="95">
        <f t="shared" ref="H551:H557" si="64">G551*F551</f>
        <v>0</v>
      </c>
      <c r="I551" s="2177"/>
      <c r="J551" s="2182" t="s">
        <v>6741</v>
      </c>
      <c r="N551"/>
    </row>
    <row r="552" spans="1:14" ht="12.75" customHeight="1" x14ac:dyDescent="0.2">
      <c r="A552" s="242">
        <v>552</v>
      </c>
      <c r="B552" s="5664"/>
      <c r="C552" s="2154" t="e">
        <f t="shared" si="60"/>
        <v>#N/A</v>
      </c>
      <c r="D552" s="981">
        <f t="shared" si="63"/>
        <v>50</v>
      </c>
      <c r="E552" s="56" t="s">
        <v>2562</v>
      </c>
      <c r="F552" s="2145">
        <v>-1</v>
      </c>
      <c r="G552" s="2145">
        <f>COUNTIF(Principal!$C$35:$J$53,Tablas!E552)</f>
        <v>0</v>
      </c>
      <c r="H552" s="95">
        <f t="shared" si="64"/>
        <v>0</v>
      </c>
      <c r="I552" s="2177"/>
      <c r="J552" s="2182" t="s">
        <v>6741</v>
      </c>
      <c r="N552"/>
    </row>
    <row r="553" spans="1:14" ht="12.75" customHeight="1" x14ac:dyDescent="0.2">
      <c r="A553" s="242">
        <v>553</v>
      </c>
      <c r="B553" s="5664"/>
      <c r="C553" s="2154" t="e">
        <f t="shared" si="60"/>
        <v>#N/A</v>
      </c>
      <c r="D553" s="981">
        <f t="shared" si="63"/>
        <v>47</v>
      </c>
      <c r="E553" s="56" t="s">
        <v>2563</v>
      </c>
      <c r="F553" s="2145">
        <v>-1</v>
      </c>
      <c r="G553" s="2145">
        <f>COUNTIF(Principal!$C$35:$J$53,Tablas!E553)</f>
        <v>0</v>
      </c>
      <c r="H553" s="95">
        <f t="shared" si="64"/>
        <v>0</v>
      </c>
      <c r="I553" s="2178"/>
      <c r="J553" s="2182" t="s">
        <v>6741</v>
      </c>
      <c r="N553"/>
    </row>
    <row r="554" spans="1:14" ht="12.75" customHeight="1" x14ac:dyDescent="0.2">
      <c r="A554" s="242">
        <v>554</v>
      </c>
      <c r="B554" s="5664"/>
      <c r="C554" s="2154" t="e">
        <f t="shared" si="60"/>
        <v>#N/A</v>
      </c>
      <c r="D554" s="981">
        <f t="shared" si="63"/>
        <v>48</v>
      </c>
      <c r="E554" s="56" t="s">
        <v>2564</v>
      </c>
      <c r="F554" s="2145">
        <v>-2</v>
      </c>
      <c r="G554" s="2145">
        <f>COUNTIF(Principal!$C$35:$J$53,Tablas!E554)</f>
        <v>0</v>
      </c>
      <c r="H554" s="95">
        <f t="shared" si="64"/>
        <v>0</v>
      </c>
      <c r="I554" s="2178"/>
      <c r="J554" s="2182" t="s">
        <v>6741</v>
      </c>
      <c r="N554"/>
    </row>
    <row r="555" spans="1:14" ht="12.75" customHeight="1" x14ac:dyDescent="0.2">
      <c r="A555" s="242">
        <v>555</v>
      </c>
      <c r="B555" s="5664"/>
      <c r="C555" s="2154" t="e">
        <f t="shared" si="60"/>
        <v>#N/A</v>
      </c>
      <c r="D555" s="981">
        <f t="shared" si="63"/>
        <v>46</v>
      </c>
      <c r="E555" s="56" t="s">
        <v>2565</v>
      </c>
      <c r="F555" s="2145">
        <v>-1</v>
      </c>
      <c r="G555" s="2145">
        <f>COUNTIF(Principal!$C$35:$J$53,Tablas!E555)</f>
        <v>0</v>
      </c>
      <c r="H555" s="95">
        <f t="shared" si="64"/>
        <v>0</v>
      </c>
      <c r="I555" s="2178"/>
      <c r="J555" s="2182" t="s">
        <v>6741</v>
      </c>
      <c r="N555"/>
    </row>
    <row r="556" spans="1:14" ht="12.75" customHeight="1" x14ac:dyDescent="0.2">
      <c r="A556" s="242">
        <v>556</v>
      </c>
      <c r="B556" s="5664"/>
      <c r="C556" s="2154" t="e">
        <f t="shared" si="60"/>
        <v>#N/A</v>
      </c>
      <c r="D556" s="981">
        <f t="shared" si="63"/>
        <v>45</v>
      </c>
      <c r="E556" s="56" t="s">
        <v>2566</v>
      </c>
      <c r="F556" s="2145">
        <v>-1</v>
      </c>
      <c r="G556" s="2145">
        <f>COUNTIF(Principal!$C$35:$J$53,Tablas!E556)</f>
        <v>0</v>
      </c>
      <c r="H556" s="95">
        <f t="shared" si="64"/>
        <v>0</v>
      </c>
      <c r="I556" s="2178"/>
      <c r="J556" s="2182" t="s">
        <v>6741</v>
      </c>
      <c r="N556"/>
    </row>
    <row r="557" spans="1:14" ht="12.75" customHeight="1" x14ac:dyDescent="0.2">
      <c r="A557" s="242">
        <v>557</v>
      </c>
      <c r="B557" s="5664"/>
      <c r="C557" s="2154" t="e">
        <f t="shared" ref="C557:C562" si="65">VLOOKUP(A65,$D$491:$E$562,2,0)</f>
        <v>#N/A</v>
      </c>
      <c r="D557" s="981">
        <f t="shared" si="63"/>
        <v>51</v>
      </c>
      <c r="E557" s="56" t="s">
        <v>2567</v>
      </c>
      <c r="F557" s="2145">
        <v>-1</v>
      </c>
      <c r="G557" s="2145">
        <f>COUNTIF(Principal!$C$35:$J$53,Tablas!E557)</f>
        <v>0</v>
      </c>
      <c r="H557" s="95">
        <f t="shared" si="64"/>
        <v>0</v>
      </c>
      <c r="I557" s="2179"/>
      <c r="J557" s="2182" t="s">
        <v>6741</v>
      </c>
      <c r="K557" s="2696"/>
      <c r="N557"/>
    </row>
    <row r="558" spans="1:14" ht="12.75" customHeight="1" x14ac:dyDescent="0.2">
      <c r="A558" s="242">
        <v>558</v>
      </c>
      <c r="B558" s="5664"/>
      <c r="C558" s="2154" t="e">
        <f t="shared" si="65"/>
        <v>#N/A</v>
      </c>
      <c r="D558" s="2185">
        <f>MAX($D$491:$D$557)+1</f>
        <v>52</v>
      </c>
      <c r="E558" s="2147" t="s">
        <v>9078</v>
      </c>
      <c r="F558" s="2166"/>
      <c r="G558" s="2167"/>
      <c r="H558" s="2166"/>
      <c r="I558" s="2167"/>
      <c r="J558" s="2183" t="s">
        <v>2892</v>
      </c>
      <c r="K558" s="2696"/>
      <c r="N558"/>
    </row>
    <row r="559" spans="1:14" ht="12.75" customHeight="1" x14ac:dyDescent="0.2">
      <c r="A559" s="242">
        <v>559</v>
      </c>
      <c r="B559" s="5664"/>
      <c r="C559" s="2154" t="e">
        <f t="shared" si="65"/>
        <v>#N/A</v>
      </c>
      <c r="D559" s="981">
        <f>IF(LEN(E559)&gt;0,D558+1,MIN($D$491:D558)-1)</f>
        <v>53</v>
      </c>
      <c r="E559" s="2139" t="str">
        <f>IF(Personalización!$C11="","Desventaja Personalizada #"&amp;A1,Personalización!$C11)</f>
        <v>Desventaja Personalizada #1</v>
      </c>
      <c r="F559" s="95">
        <f>IF(Personalización!G11&lt;=0,Personalización!G11,0)</f>
        <v>0</v>
      </c>
      <c r="G559" s="2145">
        <f>COUNTIF(Principal!$C$51:$J$53,Tablas!E559)</f>
        <v>0</v>
      </c>
      <c r="H559" s="95">
        <f>G559*F559</f>
        <v>0</v>
      </c>
      <c r="I559" s="1006"/>
      <c r="J559" s="2182" t="s">
        <v>2892</v>
      </c>
      <c r="K559" s="2696"/>
      <c r="N559"/>
    </row>
    <row r="560" spans="1:14" ht="12.75" customHeight="1" x14ac:dyDescent="0.2">
      <c r="A560" s="242">
        <v>560</v>
      </c>
      <c r="B560" s="5664"/>
      <c r="C560" s="2154" t="e">
        <f t="shared" si="65"/>
        <v>#N/A</v>
      </c>
      <c r="D560" s="279">
        <f>IF(LEN(E560)&gt;0,D559+1,MIN($D$491:D559)-1)</f>
        <v>54</v>
      </c>
      <c r="E560" s="2139"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2" t="s">
        <v>2892</v>
      </c>
      <c r="K560" s="2696"/>
      <c r="N560"/>
    </row>
    <row r="561" spans="1:73" ht="12.75" customHeight="1" x14ac:dyDescent="0.2">
      <c r="A561" s="242">
        <v>561</v>
      </c>
      <c r="B561" s="5664"/>
      <c r="C561" s="2154" t="e">
        <f t="shared" si="65"/>
        <v>#N/A</v>
      </c>
      <c r="D561" s="279">
        <f>IF(LEN(E561)&gt;0,D560+1,MIN($D$491:D560)-1)</f>
        <v>55</v>
      </c>
      <c r="E561" s="2139"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2" t="s">
        <v>2892</v>
      </c>
      <c r="K561" s="2696"/>
      <c r="N561"/>
    </row>
    <row r="562" spans="1:73" ht="12.75" customHeight="1" thickBot="1" x14ac:dyDescent="0.25">
      <c r="A562" s="242">
        <v>562</v>
      </c>
      <c r="B562" s="5664"/>
      <c r="C562" s="2169" t="e">
        <f t="shared" si="65"/>
        <v>#N/A</v>
      </c>
      <c r="D562" s="2186">
        <f>IF(LEN(E562)&gt;0,D561+1,MIN($D$491:D561)-1)</f>
        <v>56</v>
      </c>
      <c r="E562" s="2170" t="str">
        <f>IF(Personalización!$C14="","Desventaja Personalizada #"&amp;A4,Personalización!$C14)</f>
        <v>Desventaja Personalizada #4</v>
      </c>
      <c r="F562" s="2171">
        <f>IF(Personalización!G14&lt;=0,Personalización!G14,0)</f>
        <v>0</v>
      </c>
      <c r="G562" s="2172">
        <f>COUNTIF(Principal!$C$51:$J$53,Tablas!E562)</f>
        <v>0</v>
      </c>
      <c r="H562" s="2171">
        <f t="shared" si="66"/>
        <v>0</v>
      </c>
      <c r="I562" s="2172"/>
      <c r="J562" s="2184" t="s">
        <v>2892</v>
      </c>
      <c r="K562" s="2696"/>
      <c r="N562"/>
    </row>
    <row r="563" spans="1:73" ht="12.75" customHeight="1" x14ac:dyDescent="0.2">
      <c r="A563" s="242">
        <v>563</v>
      </c>
      <c r="B563" s="5664"/>
      <c r="H563"/>
      <c r="I563" s="624"/>
      <c r="N563"/>
      <c r="O563" s="624"/>
    </row>
    <row r="564" spans="1:73" ht="12.75" customHeight="1" x14ac:dyDescent="0.2">
      <c r="A564" s="242">
        <v>564</v>
      </c>
      <c r="B564" s="5664"/>
      <c r="H564"/>
      <c r="I564" s="624"/>
      <c r="N564"/>
      <c r="O564" s="624"/>
    </row>
    <row r="565" spans="1:73" ht="12.75" customHeight="1" x14ac:dyDescent="0.2">
      <c r="A565" s="242">
        <v>565</v>
      </c>
      <c r="B565" s="5664"/>
      <c r="H565"/>
      <c r="I565" s="624"/>
      <c r="N565"/>
      <c r="O565" s="624"/>
    </row>
    <row r="566" spans="1:73" ht="12.75" customHeight="1" x14ac:dyDescent="0.2">
      <c r="A566" s="242">
        <v>566</v>
      </c>
      <c r="B566" s="5664"/>
      <c r="H566"/>
      <c r="I566" s="624"/>
      <c r="N566"/>
      <c r="O566" s="624"/>
    </row>
    <row r="567" spans="1:73" ht="12.75" customHeight="1" x14ac:dyDescent="0.2">
      <c r="A567" s="242">
        <v>567</v>
      </c>
      <c r="B567" s="5664"/>
      <c r="H567"/>
      <c r="I567" s="624"/>
      <c r="N567"/>
      <c r="O567" s="624"/>
    </row>
    <row r="568" spans="1:73" ht="12.75" customHeight="1" x14ac:dyDescent="0.2">
      <c r="A568" s="242">
        <v>568</v>
      </c>
      <c r="B568" s="5664"/>
      <c r="C568" s="5534" t="s">
        <v>7578</v>
      </c>
      <c r="D568" s="5534"/>
      <c r="E568" s="5534"/>
      <c r="F568" s="5534"/>
      <c r="G568" s="5534"/>
      <c r="H568" s="5534"/>
      <c r="I568" s="5534"/>
      <c r="J568" s="5534"/>
      <c r="K568" s="5534"/>
      <c r="L568" s="5534"/>
      <c r="M568" s="5534"/>
      <c r="N568" s="5534"/>
      <c r="O568" s="5534"/>
      <c r="P568" s="5534"/>
      <c r="Q568" s="5534"/>
      <c r="R568" s="5534"/>
      <c r="S568" s="5534"/>
      <c r="T568" s="5534"/>
      <c r="U568" s="5534"/>
      <c r="V568" s="5534"/>
      <c r="W568" s="5534"/>
      <c r="X568" s="5534"/>
      <c r="Y568" s="5534"/>
      <c r="Z568" s="5534"/>
      <c r="AA568" s="5534"/>
      <c r="AB568" s="5534"/>
      <c r="AC568" s="5534"/>
      <c r="AD568" s="5534"/>
      <c r="AE568" s="5534"/>
      <c r="AF568" s="5534"/>
      <c r="AG568" s="5534"/>
      <c r="AH568" s="5534"/>
      <c r="AI568" s="5534"/>
      <c r="AJ568" s="5534"/>
      <c r="AK568" s="5534"/>
      <c r="AL568" s="5534"/>
      <c r="AM568" s="5534"/>
      <c r="AN568" s="5534"/>
      <c r="AO568" s="5534"/>
      <c r="AP568" s="5534"/>
      <c r="AQ568" s="5534"/>
      <c r="AR568" s="5534"/>
      <c r="AS568" s="5534"/>
      <c r="AT568" s="5534"/>
      <c r="AU568" s="5534"/>
      <c r="AV568" s="5534"/>
      <c r="AW568" s="5534"/>
      <c r="AX568" s="5534"/>
      <c r="AY568" s="5534"/>
      <c r="AZ568" s="5534"/>
      <c r="BA568" s="5534"/>
      <c r="BB568" s="5534"/>
      <c r="BC568" s="5534"/>
      <c r="BD568" s="5534"/>
      <c r="BE568" s="5534"/>
      <c r="BF568" s="5534"/>
      <c r="BG568" s="5534"/>
      <c r="BH568" s="5534"/>
      <c r="BI568" s="5534"/>
      <c r="BJ568" s="5534"/>
      <c r="BK568" s="5534"/>
      <c r="BL568" s="5534"/>
      <c r="BM568" s="5534"/>
      <c r="BN568" s="5534"/>
      <c r="BO568" s="5534"/>
      <c r="BP568" s="5534"/>
      <c r="BQ568" s="5534"/>
      <c r="BR568" s="5534"/>
      <c r="BS568" s="5534"/>
      <c r="BT568" s="5534"/>
      <c r="BU568" s="5534"/>
    </row>
    <row r="569" spans="1:73" ht="12.75" customHeight="1" x14ac:dyDescent="0.2">
      <c r="A569" s="242">
        <v>569</v>
      </c>
      <c r="B569" s="5664"/>
      <c r="C569" s="5534"/>
      <c r="D569" s="5534"/>
      <c r="E569" s="5534"/>
      <c r="F569" s="5534"/>
      <c r="G569" s="5534"/>
      <c r="H569" s="5534"/>
      <c r="I569" s="5534"/>
      <c r="J569" s="5534"/>
      <c r="K569" s="5534"/>
      <c r="L569" s="5534"/>
      <c r="M569" s="5534"/>
      <c r="N569" s="5534"/>
      <c r="O569" s="5534"/>
      <c r="P569" s="5534"/>
      <c r="Q569" s="5534"/>
      <c r="R569" s="5534"/>
      <c r="S569" s="5534"/>
      <c r="T569" s="5534"/>
      <c r="U569" s="5534"/>
      <c r="V569" s="5534"/>
      <c r="W569" s="5534"/>
      <c r="X569" s="5534"/>
      <c r="Y569" s="5534"/>
      <c r="Z569" s="5534"/>
      <c r="AA569" s="5534"/>
      <c r="AB569" s="5534"/>
      <c r="AC569" s="5534"/>
      <c r="AD569" s="5534"/>
      <c r="AE569" s="5534"/>
      <c r="AF569" s="5534"/>
      <c r="AG569" s="5534"/>
      <c r="AH569" s="5534"/>
      <c r="AI569" s="5534"/>
      <c r="AJ569" s="5534"/>
      <c r="AK569" s="5534"/>
      <c r="AL569" s="5534"/>
      <c r="AM569" s="5534"/>
      <c r="AN569" s="5534"/>
      <c r="AO569" s="5534"/>
      <c r="AP569" s="5534"/>
      <c r="AQ569" s="5534"/>
      <c r="AR569" s="5534"/>
      <c r="AS569" s="5534"/>
      <c r="AT569" s="5534"/>
      <c r="AU569" s="5534"/>
      <c r="AV569" s="5534"/>
      <c r="AW569" s="5534"/>
      <c r="AX569" s="5534"/>
      <c r="AY569" s="5534"/>
      <c r="AZ569" s="5534"/>
      <c r="BA569" s="5534"/>
      <c r="BB569" s="5534"/>
      <c r="BC569" s="5534"/>
      <c r="BD569" s="5534"/>
      <c r="BE569" s="5534"/>
      <c r="BF569" s="5534"/>
      <c r="BG569" s="5534"/>
      <c r="BH569" s="5534"/>
      <c r="BI569" s="5534"/>
      <c r="BJ569" s="5534"/>
      <c r="BK569" s="5534"/>
      <c r="BL569" s="5534"/>
      <c r="BM569" s="5534"/>
      <c r="BN569" s="5534"/>
      <c r="BO569" s="5534"/>
      <c r="BP569" s="5534"/>
      <c r="BQ569" s="5534"/>
      <c r="BR569" s="5534"/>
      <c r="BS569" s="5534"/>
      <c r="BT569" s="5534"/>
      <c r="BU569" s="5534"/>
    </row>
    <row r="570" spans="1:73" ht="12.75" customHeight="1" x14ac:dyDescent="0.2">
      <c r="A570" s="242">
        <v>570</v>
      </c>
      <c r="B570" s="5664"/>
      <c r="C570" s="5534"/>
      <c r="D570" s="5534"/>
      <c r="E570" s="5534"/>
      <c r="F570" s="5534"/>
      <c r="G570" s="5534"/>
      <c r="H570" s="5534"/>
      <c r="I570" s="5534"/>
      <c r="J570" s="5534"/>
      <c r="K570" s="5534"/>
      <c r="L570" s="5534"/>
      <c r="M570" s="5534"/>
      <c r="N570" s="5534"/>
      <c r="O570" s="5534"/>
      <c r="P570" s="5534"/>
      <c r="Q570" s="5534"/>
      <c r="R570" s="5534"/>
      <c r="S570" s="5534"/>
      <c r="T570" s="5534"/>
      <c r="U570" s="5534"/>
      <c r="V570" s="5534"/>
      <c r="W570" s="5534"/>
      <c r="X570" s="5534"/>
      <c r="Y570" s="5534"/>
      <c r="Z570" s="5534"/>
      <c r="AA570" s="5534"/>
      <c r="AB570" s="5534"/>
      <c r="AC570" s="5534"/>
      <c r="AD570" s="5534"/>
      <c r="AE570" s="5534"/>
      <c r="AF570" s="5534"/>
      <c r="AG570" s="5534"/>
      <c r="AH570" s="5534"/>
      <c r="AI570" s="5534"/>
      <c r="AJ570" s="5534"/>
      <c r="AK570" s="5534"/>
      <c r="AL570" s="5534"/>
      <c r="AM570" s="5534"/>
      <c r="AN570" s="5534"/>
      <c r="AO570" s="5534"/>
      <c r="AP570" s="5534"/>
      <c r="AQ570" s="5534"/>
      <c r="AR570" s="5534"/>
      <c r="AS570" s="5534"/>
      <c r="AT570" s="5534"/>
      <c r="AU570" s="5534"/>
      <c r="AV570" s="5534"/>
      <c r="AW570" s="5534"/>
      <c r="AX570" s="5534"/>
      <c r="AY570" s="5534"/>
      <c r="AZ570" s="5534"/>
      <c r="BA570" s="5534"/>
      <c r="BB570" s="5534"/>
      <c r="BC570" s="5534"/>
      <c r="BD570" s="5534"/>
      <c r="BE570" s="5534"/>
      <c r="BF570" s="5534"/>
      <c r="BG570" s="5534"/>
      <c r="BH570" s="5534"/>
      <c r="BI570" s="5534"/>
      <c r="BJ570" s="5534"/>
      <c r="BK570" s="5534"/>
      <c r="BL570" s="5534"/>
      <c r="BM570" s="5534"/>
      <c r="BN570" s="5534"/>
      <c r="BO570" s="5534"/>
      <c r="BP570" s="5534"/>
      <c r="BQ570" s="5534"/>
      <c r="BR570" s="5534"/>
      <c r="BS570" s="5534"/>
      <c r="BT570" s="5534"/>
      <c r="BU570" s="5534"/>
    </row>
    <row r="571" spans="1:73" ht="12.75" customHeight="1" thickBot="1" x14ac:dyDescent="0.25">
      <c r="A571" s="242">
        <v>571</v>
      </c>
      <c r="B571" s="5664"/>
      <c r="H571"/>
      <c r="I571" s="624"/>
      <c r="N571"/>
      <c r="O571" s="624"/>
      <c r="AL571"/>
    </row>
    <row r="572" spans="1:73" ht="12.75" customHeight="1" thickBot="1" x14ac:dyDescent="0.25">
      <c r="A572" s="242">
        <v>572</v>
      </c>
      <c r="B572" s="5664"/>
      <c r="C572" s="5646" t="s">
        <v>1162</v>
      </c>
      <c r="D572" s="5647"/>
      <c r="E572" s="5647"/>
      <c r="F572" s="5647"/>
      <c r="G572" s="5647"/>
      <c r="H572" s="5647"/>
      <c r="I572" s="5647"/>
      <c r="J572" s="5647"/>
      <c r="K572" s="5647"/>
      <c r="L572" s="5647"/>
      <c r="M572" s="5647"/>
      <c r="N572" s="5647"/>
      <c r="O572" s="5647"/>
      <c r="P572" s="5647"/>
      <c r="Q572" s="5647"/>
      <c r="R572" s="5648"/>
      <c r="T572" s="5708" t="s">
        <v>1214</v>
      </c>
      <c r="U572" s="5708"/>
      <c r="X572" s="5576" t="s">
        <v>2596</v>
      </c>
      <c r="Y572" s="5577"/>
      <c r="Z572" s="5577"/>
      <c r="AA572" s="5578"/>
      <c r="AC572" s="5703" t="s">
        <v>1156</v>
      </c>
      <c r="AG572" s="5576" t="s">
        <v>8884</v>
      </c>
      <c r="AH572" s="5577"/>
      <c r="AI572" s="5577"/>
      <c r="AJ572" s="5577"/>
      <c r="AK572" s="5578"/>
      <c r="AL572"/>
    </row>
    <row r="573" spans="1:73" ht="12.75" customHeight="1" thickBot="1" x14ac:dyDescent="0.25">
      <c r="A573" s="242">
        <v>573</v>
      </c>
      <c r="B573" s="5664"/>
      <c r="C573" s="5649"/>
      <c r="D573" s="5650"/>
      <c r="E573" s="5650"/>
      <c r="F573" s="5650"/>
      <c r="G573" s="5650"/>
      <c r="H573" s="5650"/>
      <c r="I573" s="5650"/>
      <c r="J573" s="5650"/>
      <c r="K573" s="5650"/>
      <c r="L573" s="5650"/>
      <c r="M573" s="5650"/>
      <c r="N573" s="5650"/>
      <c r="O573" s="5650"/>
      <c r="P573" s="5650"/>
      <c r="Q573" s="5650"/>
      <c r="R573" s="5651"/>
      <c r="T573" s="182" t="s">
        <v>2134</v>
      </c>
      <c r="U573" s="184" t="s">
        <v>1215</v>
      </c>
      <c r="X573" s="5579"/>
      <c r="Y573" s="4400"/>
      <c r="Z573" s="4400"/>
      <c r="AA573" s="5580"/>
      <c r="AC573" s="5703"/>
      <c r="AE573" s="1571" t="s">
        <v>2134</v>
      </c>
      <c r="AF573" s="1566"/>
      <c r="AG573" s="5579"/>
      <c r="AH573" s="4400"/>
      <c r="AI573" s="4400"/>
      <c r="AJ573" s="4400"/>
      <c r="AK573" s="5580"/>
      <c r="AL573"/>
    </row>
    <row r="574" spans="1:73" ht="12.75" customHeight="1" thickBot="1" x14ac:dyDescent="0.25">
      <c r="A574" s="242">
        <v>574</v>
      </c>
      <c r="B574" s="5664"/>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2597</v>
      </c>
      <c r="Y574" s="671" t="s">
        <v>1498</v>
      </c>
      <c r="Z574" s="687" t="s">
        <v>1558</v>
      </c>
      <c r="AA574" s="693" t="s">
        <v>2289</v>
      </c>
      <c r="AC574" s="1407" t="s">
        <v>1984</v>
      </c>
      <c r="AE574" s="1407" t="s">
        <v>8953</v>
      </c>
      <c r="AF574" s="1566"/>
      <c r="AG574" s="1041" t="s">
        <v>8874</v>
      </c>
      <c r="AH574" s="687" t="s">
        <v>8885</v>
      </c>
      <c r="AI574" s="687" t="s">
        <v>8888</v>
      </c>
      <c r="AJ574" s="687" t="s">
        <v>8886</v>
      </c>
      <c r="AK574" s="693" t="s">
        <v>8887</v>
      </c>
      <c r="AL574"/>
    </row>
    <row r="575" spans="1:73" ht="12.75" customHeight="1" thickBot="1" x14ac:dyDescent="0.25">
      <c r="A575" s="242">
        <v>575</v>
      </c>
      <c r="B575" s="5664"/>
      <c r="C575" s="812"/>
      <c r="D575" s="181" t="s">
        <v>1557</v>
      </c>
      <c r="E575" s="181" t="s">
        <v>1843</v>
      </c>
      <c r="F575" s="181" t="s">
        <v>1408</v>
      </c>
      <c r="G575" s="181" t="s">
        <v>1163</v>
      </c>
      <c r="H575" s="181" t="s">
        <v>1976</v>
      </c>
      <c r="I575" s="670" t="s">
        <v>2135</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2598</v>
      </c>
      <c r="Y575" s="56">
        <v>10</v>
      </c>
      <c r="Z575" s="87" t="s">
        <v>2599</v>
      </c>
      <c r="AA575" s="626"/>
      <c r="AC575" s="1407" t="s">
        <v>1157</v>
      </c>
      <c r="AE575" s="1407" t="s">
        <v>8954</v>
      </c>
      <c r="AG575" s="629" t="s">
        <v>1607</v>
      </c>
      <c r="AH575" s="241" t="s">
        <v>1737</v>
      </c>
      <c r="AI575" s="241">
        <v>40</v>
      </c>
      <c r="AJ575" s="241">
        <v>2</v>
      </c>
      <c r="AK575" s="945">
        <v>0</v>
      </c>
      <c r="AL575"/>
    </row>
    <row r="576" spans="1:73" ht="12.75" customHeight="1" thickBot="1" x14ac:dyDescent="0.25">
      <c r="A576" s="242">
        <v>576</v>
      </c>
      <c r="B576" s="5664"/>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2600</v>
      </c>
      <c r="Y576" s="56">
        <v>15</v>
      </c>
      <c r="Z576" s="87" t="s">
        <v>2601</v>
      </c>
      <c r="AA576" s="626"/>
      <c r="AC576" s="116" t="s">
        <v>1158</v>
      </c>
      <c r="AG576" s="629" t="s">
        <v>8875</v>
      </c>
      <c r="AH576" s="241" t="s">
        <v>1740</v>
      </c>
      <c r="AI576" s="241">
        <v>60</v>
      </c>
      <c r="AJ576" s="241">
        <v>2</v>
      </c>
      <c r="AK576" s="945">
        <v>1</v>
      </c>
      <c r="AL576"/>
    </row>
    <row r="577" spans="1:38" ht="12.75" customHeight="1" thickBot="1" x14ac:dyDescent="0.25">
      <c r="A577" s="242">
        <v>577</v>
      </c>
      <c r="B577" s="5664"/>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2602</v>
      </c>
      <c r="Y577" s="56">
        <v>20</v>
      </c>
      <c r="Z577" s="87" t="s">
        <v>2603</v>
      </c>
      <c r="AA577" s="626"/>
      <c r="AG577" s="629" t="s">
        <v>8899</v>
      </c>
      <c r="AH577" s="241" t="s">
        <v>6394</v>
      </c>
      <c r="AI577" s="241">
        <v>80</v>
      </c>
      <c r="AJ577" s="241">
        <v>3</v>
      </c>
      <c r="AK577" s="945">
        <v>1</v>
      </c>
      <c r="AL577"/>
    </row>
    <row r="578" spans="1:38" ht="12.75" customHeight="1" thickBot="1" x14ac:dyDescent="0.25">
      <c r="A578" s="242">
        <v>578</v>
      </c>
      <c r="B578" s="5664"/>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2604</v>
      </c>
      <c r="Y578" s="56">
        <v>50</v>
      </c>
      <c r="Z578" s="87" t="s">
        <v>2605</v>
      </c>
      <c r="AA578" s="626"/>
      <c r="AC578" s="1408" t="s">
        <v>1336</v>
      </c>
      <c r="AG578" s="629" t="s">
        <v>8876</v>
      </c>
      <c r="AH578" s="241" t="s">
        <v>1744</v>
      </c>
      <c r="AI578" s="241">
        <v>100</v>
      </c>
      <c r="AJ578" s="241">
        <v>3</v>
      </c>
      <c r="AK578" s="945">
        <v>2</v>
      </c>
      <c r="AL578"/>
    </row>
    <row r="579" spans="1:38" ht="12.75" customHeight="1" thickBot="1" x14ac:dyDescent="0.25">
      <c r="A579" s="242">
        <v>579</v>
      </c>
      <c r="B579" s="5664"/>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2606</v>
      </c>
      <c r="Y579" s="56">
        <v>50</v>
      </c>
      <c r="Z579" s="87" t="s">
        <v>2607</v>
      </c>
      <c r="AA579" s="626"/>
      <c r="AC579" s="1409" t="s">
        <v>1159</v>
      </c>
      <c r="AG579" s="629" t="s">
        <v>8877</v>
      </c>
      <c r="AH579" s="241" t="s">
        <v>6395</v>
      </c>
      <c r="AI579" s="241">
        <v>140</v>
      </c>
      <c r="AJ579" s="241">
        <v>4</v>
      </c>
      <c r="AK579" s="945">
        <v>3</v>
      </c>
      <c r="AL579"/>
    </row>
    <row r="580" spans="1:38" ht="12.75" customHeight="1" thickBot="1" x14ac:dyDescent="0.25">
      <c r="A580" s="242">
        <v>580</v>
      </c>
      <c r="B580" s="5664"/>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690" t="s">
        <v>7346</v>
      </c>
      <c r="U580" s="5691"/>
      <c r="V580" s="5692"/>
      <c r="X580" s="1054" t="s">
        <v>2608</v>
      </c>
      <c r="Y580" s="686">
        <v>50</v>
      </c>
      <c r="Z580" s="1042" t="s">
        <v>2609</v>
      </c>
      <c r="AA580" s="628"/>
      <c r="AC580" s="1407" t="s">
        <v>1160</v>
      </c>
      <c r="AG580" s="629" t="s">
        <v>8878</v>
      </c>
      <c r="AH580" s="241" t="s">
        <v>1747</v>
      </c>
      <c r="AI580" s="241">
        <v>180</v>
      </c>
      <c r="AJ580" s="241">
        <v>4</v>
      </c>
      <c r="AK580" s="945">
        <v>4</v>
      </c>
      <c r="AL580"/>
    </row>
    <row r="581" spans="1:38" ht="12.75" customHeight="1" x14ac:dyDescent="0.2">
      <c r="A581" s="242">
        <v>581</v>
      </c>
      <c r="B581" s="5664"/>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693" t="s">
        <v>1535</v>
      </c>
      <c r="U581" s="5694"/>
      <c r="V581" s="954" t="s">
        <v>2289</v>
      </c>
      <c r="X581" s="5673" t="str">
        <f>X580</f>
        <v>Tabla de armas arquetípicas</v>
      </c>
      <c r="Y581" s="5674"/>
      <c r="Z581" s="5674"/>
      <c r="AA581" s="5675"/>
      <c r="AC581" s="1407" t="s">
        <v>1161</v>
      </c>
      <c r="AG581" s="629" t="s">
        <v>8879</v>
      </c>
      <c r="AH581" s="241" t="s">
        <v>1749</v>
      </c>
      <c r="AI581" s="241">
        <v>240</v>
      </c>
      <c r="AJ581" s="241">
        <v>5</v>
      </c>
      <c r="AK581" s="945">
        <v>5</v>
      </c>
      <c r="AL581"/>
    </row>
    <row r="582" spans="1:38" ht="12.75" customHeight="1" thickBot="1" x14ac:dyDescent="0.25">
      <c r="A582" s="242">
        <v>582</v>
      </c>
      <c r="B582" s="5664"/>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644" t="s">
        <v>1646</v>
      </c>
      <c r="U582" s="5645"/>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8880</v>
      </c>
      <c r="AH582" s="1194" t="s">
        <v>1692</v>
      </c>
      <c r="AI582" s="1194">
        <v>280</v>
      </c>
      <c r="AJ582" s="1194">
        <v>6</v>
      </c>
      <c r="AK582" s="1551">
        <v>6</v>
      </c>
      <c r="AL582"/>
    </row>
    <row r="583" spans="1:38" ht="12.75" customHeight="1" thickBot="1" x14ac:dyDescent="0.25">
      <c r="A583" s="242">
        <v>583</v>
      </c>
      <c r="B583" s="5664"/>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644" t="s">
        <v>1649</v>
      </c>
      <c r="U583" s="5645"/>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664"/>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644" t="s">
        <v>2168</v>
      </c>
      <c r="U584" s="5645"/>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862" t="s">
        <v>8799</v>
      </c>
      <c r="AD584" s="5863"/>
      <c r="AE584" s="5863"/>
      <c r="AF584" s="5864"/>
    </row>
    <row r="585" spans="1:38" ht="12.75" customHeight="1" thickBot="1" x14ac:dyDescent="0.25">
      <c r="A585" s="242">
        <v>585</v>
      </c>
      <c r="B585" s="5664"/>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644" t="s">
        <v>7347</v>
      </c>
      <c r="U585" s="5645"/>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8800</v>
      </c>
      <c r="AF585" s="1494" t="s">
        <v>8801</v>
      </c>
    </row>
    <row r="586" spans="1:38" ht="12.75" customHeight="1" x14ac:dyDescent="0.2">
      <c r="A586" s="242">
        <v>586</v>
      </c>
      <c r="B586" s="5664"/>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644" t="s">
        <v>7348</v>
      </c>
      <c r="U586" s="5645"/>
      <c r="V586" s="956">
        <f>IF($P$256&gt;0,MIN(COUNTIF(Personalización!$V$83:$X$86,Tablas!$T586),1),0)</f>
        <v>0</v>
      </c>
      <c r="X586" s="1003" t="s">
        <v>2610</v>
      </c>
      <c r="Y586" s="241"/>
      <c r="Z586" s="241" t="s">
        <v>8929</v>
      </c>
      <c r="AA586" s="988">
        <f>COUNTIF(PDs!$Y$40:$AA$45,Tablas!X586)</f>
        <v>0</v>
      </c>
      <c r="AC586" s="1495" t="s">
        <v>8807</v>
      </c>
      <c r="AD586" s="857">
        <v>0</v>
      </c>
      <c r="AE586" s="857">
        <v>0</v>
      </c>
      <c r="AF586" s="1430">
        <v>0</v>
      </c>
    </row>
    <row r="587" spans="1:38" ht="12.75" customHeight="1" x14ac:dyDescent="0.2">
      <c r="A587" s="242">
        <v>587</v>
      </c>
      <c r="B587" s="5664"/>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644" t="s">
        <v>7349</v>
      </c>
      <c r="U587" s="5645"/>
      <c r="V587" s="956">
        <f>IF($P$256&gt;0,MIN(COUNTIF(Personalización!$V$83:$X$86,Tablas!$T587),2),0)</f>
        <v>0</v>
      </c>
      <c r="X587" s="1003" t="s">
        <v>2611</v>
      </c>
      <c r="Y587" s="241"/>
      <c r="Z587" s="241" t="s">
        <v>8946</v>
      </c>
      <c r="AA587" s="988">
        <f>COUNTIF(PDs!$Y$40:$AA$45,Tablas!X587)</f>
        <v>0</v>
      </c>
      <c r="AC587" s="1495" t="s">
        <v>8803</v>
      </c>
      <c r="AD587" s="857">
        <v>10</v>
      </c>
      <c r="AE587" s="857">
        <v>-10</v>
      </c>
      <c r="AF587" s="1430">
        <v>0</v>
      </c>
    </row>
    <row r="588" spans="1:38" ht="12.75" customHeight="1" x14ac:dyDescent="0.2">
      <c r="A588" s="242">
        <v>588</v>
      </c>
      <c r="B588" s="5664"/>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644" t="s">
        <v>7350</v>
      </c>
      <c r="U588" s="5645"/>
      <c r="V588" s="956">
        <f>IF($P$256&gt;0,MIN(COUNTIF(Personalización!$V$83:$X$86,Tablas!$T588),1),0)</f>
        <v>0</v>
      </c>
      <c r="X588" s="1003" t="s">
        <v>2612</v>
      </c>
      <c r="Y588" s="241"/>
      <c r="Z588" s="241" t="s">
        <v>2613</v>
      </c>
      <c r="AA588" s="988">
        <f>COUNTIF(PDs!$Y$40:$AA$45,Tablas!X588)</f>
        <v>0</v>
      </c>
      <c r="AC588" s="1495" t="s">
        <v>8804</v>
      </c>
      <c r="AD588" s="857">
        <v>10</v>
      </c>
      <c r="AE588" s="857">
        <v>0</v>
      </c>
      <c r="AF588" s="1430">
        <v>-5</v>
      </c>
    </row>
    <row r="589" spans="1:38" ht="12.75" customHeight="1" x14ac:dyDescent="0.2">
      <c r="A589" s="242">
        <v>589</v>
      </c>
      <c r="B589" s="5664"/>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644" t="s">
        <v>7351</v>
      </c>
      <c r="U589" s="5645"/>
      <c r="V589" s="956">
        <f>IF($P$256&gt;0,MIN(COUNTIF(Personalización!$V$83:$X$86,Tablas!$T589),1),0)</f>
        <v>0</v>
      </c>
      <c r="X589" s="1003" t="s">
        <v>2614</v>
      </c>
      <c r="Y589" s="241"/>
      <c r="Z589" s="241" t="s">
        <v>2615</v>
      </c>
      <c r="AA589" s="988">
        <f>COUNTIF(PDs!$Y$40:$AA$45,Tablas!X589)</f>
        <v>0</v>
      </c>
      <c r="AC589" s="1495" t="s">
        <v>8802</v>
      </c>
      <c r="AD589" s="857">
        <v>20</v>
      </c>
      <c r="AE589" s="857">
        <v>-20</v>
      </c>
      <c r="AF589" s="1430">
        <v>0</v>
      </c>
    </row>
    <row r="590" spans="1:38" ht="12.75" customHeight="1" thickBot="1" x14ac:dyDescent="0.25">
      <c r="A590" s="242">
        <v>590</v>
      </c>
      <c r="B590" s="5664"/>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656" t="s">
        <v>7352</v>
      </c>
      <c r="U590" s="5657"/>
      <c r="V590" s="959">
        <f>IF($P$256&gt;0,MIN(COUNTIF(Personalización!$V$83:$X$86,Tablas!$T590),1),0)</f>
        <v>0</v>
      </c>
      <c r="X590" s="1003" t="s">
        <v>2616</v>
      </c>
      <c r="Y590" s="241"/>
      <c r="Z590" s="241" t="s">
        <v>8697</v>
      </c>
      <c r="AA590" s="988">
        <f>COUNTIF(PDs!$Y$40:$AA$45,Tablas!X590)</f>
        <v>0</v>
      </c>
      <c r="AC590" s="1496" t="s">
        <v>8805</v>
      </c>
      <c r="AD590" s="1396">
        <v>20</v>
      </c>
      <c r="AE590" s="1396">
        <v>0</v>
      </c>
      <c r="AF590" s="1435">
        <v>-10</v>
      </c>
    </row>
    <row r="591" spans="1:38" ht="12.75" customHeight="1" thickBot="1" x14ac:dyDescent="0.25">
      <c r="A591" s="242">
        <v>591</v>
      </c>
      <c r="B591" s="5664"/>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2617</v>
      </c>
      <c r="Y591" s="241"/>
      <c r="Z591" s="241" t="s">
        <v>2618</v>
      </c>
      <c r="AA591" s="988">
        <f>COUNTIF(PDs!$Y$40:$AA$45,Tablas!X591)</f>
        <v>0</v>
      </c>
    </row>
    <row r="592" spans="1:38" ht="12.75" customHeight="1" thickBot="1" x14ac:dyDescent="0.25">
      <c r="A592" s="242">
        <v>592</v>
      </c>
      <c r="B592" s="5664"/>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690" t="s">
        <v>7354</v>
      </c>
      <c r="U592" s="5691"/>
      <c r="V592" s="5692"/>
      <c r="X592" s="1003" t="s">
        <v>2095</v>
      </c>
      <c r="Y592" s="241"/>
      <c r="Z592" s="241" t="s">
        <v>2619</v>
      </c>
      <c r="AA592" s="988">
        <f>COUNTIF(PDs!$Y$40:$AA$45,Tablas!X592)</f>
        <v>0</v>
      </c>
      <c r="AC592" s="5642" t="s">
        <v>1190</v>
      </c>
    </row>
    <row r="593" spans="1:29" ht="12.75" customHeight="1" x14ac:dyDescent="0.2">
      <c r="A593" s="242">
        <v>593</v>
      </c>
      <c r="B593" s="5664"/>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658" t="s">
        <v>6587</v>
      </c>
      <c r="U593" s="5659"/>
      <c r="V593" s="956">
        <f>COUNTIF(Combate!$AB$55:$AG$64,$E$990)*COUNTIF(Personalización!$AD$84:$AF$86,Tablas!$T593)</f>
        <v>0</v>
      </c>
      <c r="X593" s="1003" t="s">
        <v>2620</v>
      </c>
      <c r="Y593" s="241"/>
      <c r="Z593" s="241" t="s">
        <v>2621</v>
      </c>
      <c r="AA593" s="988">
        <f>COUNTIF(PDs!$Y$40:$AA$45,Tablas!X593)</f>
        <v>0</v>
      </c>
      <c r="AC593" s="5643"/>
    </row>
    <row r="594" spans="1:29" ht="12.75" customHeight="1" x14ac:dyDescent="0.2">
      <c r="A594" s="242">
        <v>594</v>
      </c>
      <c r="B594" s="5664"/>
      <c r="C594" s="542"/>
      <c r="D594" s="89" t="s">
        <v>1941</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658" t="s">
        <v>7356</v>
      </c>
      <c r="U594" s="5659"/>
      <c r="V594" s="956">
        <f>COUNTIF(Combate!$AB$55:$AG$64,$E$990)*COUNTIF(Personalización!$AD$84:$AF$86,Tablas!$T594)</f>
        <v>0</v>
      </c>
      <c r="X594" s="1003" t="s">
        <v>2622</v>
      </c>
      <c r="Y594" s="241"/>
      <c r="Z594" s="241" t="s">
        <v>2623</v>
      </c>
      <c r="AA594" s="988">
        <f>COUNTIF(PDs!$Y$40:$AA$45,Tablas!X594)</f>
        <v>0</v>
      </c>
      <c r="AC594" s="798">
        <v>-10</v>
      </c>
    </row>
    <row r="595" spans="1:29" ht="12.75" customHeight="1" x14ac:dyDescent="0.2">
      <c r="A595" s="242">
        <v>595</v>
      </c>
      <c r="B595" s="5664"/>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658" t="s">
        <v>134</v>
      </c>
      <c r="U595" s="5659"/>
      <c r="V595" s="956">
        <f>COUNTIF(Combate!$AB$55:$AG$64,$E$990)*COUNTIF(Personalización!$AD$84:$AF$86,Tablas!$T595)</f>
        <v>0</v>
      </c>
      <c r="X595" s="1003" t="s">
        <v>2624</v>
      </c>
      <c r="Y595" s="241"/>
      <c r="Z595" s="241" t="s">
        <v>10271</v>
      </c>
      <c r="AA595" s="988">
        <f>COUNTIF(PDs!$Y$40:$AA$45,Tablas!X595)</f>
        <v>1</v>
      </c>
      <c r="AC595" s="798">
        <v>-5</v>
      </c>
    </row>
    <row r="596" spans="1:29" ht="12.75" customHeight="1" x14ac:dyDescent="0.2">
      <c r="A596" s="242">
        <v>596</v>
      </c>
      <c r="B596" s="5664"/>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658" t="s">
        <v>7359</v>
      </c>
      <c r="U596" s="5659"/>
      <c r="V596" s="956">
        <f>COUNTIF(Combate!$AB$55:$AG$64,$E$990)*COUNTIF(Personalización!$AD$84:$AF$86,Tablas!$T596)</f>
        <v>0</v>
      </c>
      <c r="X596" s="1003" t="s">
        <v>2625</v>
      </c>
      <c r="Y596" s="241"/>
      <c r="Z596" s="241" t="s">
        <v>2626</v>
      </c>
      <c r="AA596" s="988">
        <f>COUNTIF(PDs!$Y$40:$AA$45,Tablas!X596)</f>
        <v>0</v>
      </c>
      <c r="AC596" s="798">
        <v>0</v>
      </c>
    </row>
    <row r="597" spans="1:29" ht="12.75" customHeight="1" thickBot="1" x14ac:dyDescent="0.25">
      <c r="A597" s="242">
        <v>597</v>
      </c>
      <c r="B597" s="5664"/>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658" t="s">
        <v>7361</v>
      </c>
      <c r="U597" s="5659"/>
      <c r="V597" s="956">
        <f>COUNTIF(Combate!$AB$55:$AG$64,$E$990)*COUNTIF(Personalización!$AD$84:$AF$86,Tablas!$T597)</f>
        <v>0</v>
      </c>
      <c r="X597" s="1004" t="s">
        <v>2627</v>
      </c>
      <c r="Y597" s="1005"/>
      <c r="Z597" s="1005" t="s">
        <v>2628</v>
      </c>
      <c r="AA597" s="1177">
        <f>COUNTIF(PDs!$Y$40:$AA$45,Tablas!X597)</f>
        <v>0</v>
      </c>
      <c r="AC597" s="798">
        <v>5</v>
      </c>
    </row>
    <row r="598" spans="1:29" ht="12.75" customHeight="1" thickBot="1" x14ac:dyDescent="0.25">
      <c r="A598" s="242">
        <v>598</v>
      </c>
      <c r="B598" s="5664"/>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639" t="s">
        <v>7363</v>
      </c>
      <c r="U598" s="5640"/>
      <c r="V598" s="959">
        <f>COUNTIF(Combate!$AB$55:$AG$64,$E$990)*COUNTIF(Personalización!$AD$84:$AF$86,Tablas!$T598)</f>
        <v>0</v>
      </c>
      <c r="X598" s="5673" t="str">
        <f>X578</f>
        <v>Tabla de tipología</v>
      </c>
      <c r="Y598" s="5674"/>
      <c r="Z598" s="5674"/>
      <c r="AA598" s="5675"/>
      <c r="AC598" s="798">
        <v>10</v>
      </c>
    </row>
    <row r="599" spans="1:29" ht="12.75" customHeight="1" thickBot="1" x14ac:dyDescent="0.25">
      <c r="A599" s="242">
        <v>599</v>
      </c>
      <c r="B599" s="5664"/>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664"/>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690" t="s">
        <v>7353</v>
      </c>
      <c r="U600" s="5692"/>
      <c r="X600" s="1003" t="s">
        <v>2145</v>
      </c>
      <c r="Y600" s="241"/>
      <c r="Z600" s="241" t="s">
        <v>8551</v>
      </c>
      <c r="AA600" s="988">
        <f>COUNTIF(PDs!$Y$40:$AA$45,Tablas!X600)</f>
        <v>0</v>
      </c>
      <c r="AC600" s="798">
        <v>20</v>
      </c>
    </row>
    <row r="601" spans="1:29" ht="12.75" customHeight="1" x14ac:dyDescent="0.2">
      <c r="A601" s="242">
        <v>601</v>
      </c>
      <c r="B601" s="5664"/>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7347</v>
      </c>
      <c r="U601" s="956">
        <f>COUNTIF(Combate!$AB$55:$AG$64,$E$984)*COUNTIF(Personalización!$AH$83:$AJ$85,Tablas!$T601)</f>
        <v>0</v>
      </c>
      <c r="X601" s="1003" t="s">
        <v>2157</v>
      </c>
      <c r="Y601" s="241"/>
      <c r="Z601" s="241" t="s">
        <v>8552</v>
      </c>
      <c r="AA601" s="988">
        <f>COUNTIF(PDs!$Y$40:$AA$45,Tablas!X601)</f>
        <v>0</v>
      </c>
      <c r="AC601" s="798">
        <v>25</v>
      </c>
    </row>
    <row r="602" spans="1:29" ht="12.75" customHeight="1" x14ac:dyDescent="0.2">
      <c r="A602" s="242">
        <v>602</v>
      </c>
      <c r="B602" s="5664"/>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7355</v>
      </c>
      <c r="U602" s="956">
        <f>COUNTIF(Combate!$AB$55:$AG$64,$E$984)*COUNTIF(Personalización!$AH$83:$AJ$85,Tablas!$T602)</f>
        <v>0</v>
      </c>
      <c r="X602" s="1003" t="s">
        <v>2154</v>
      </c>
      <c r="Y602" s="241"/>
      <c r="Z602" s="241" t="s">
        <v>8553</v>
      </c>
      <c r="AA602" s="988">
        <f>COUNTIF(PDs!$Y$40:$AA$45,Tablas!X602)</f>
        <v>0</v>
      </c>
      <c r="AC602" s="798">
        <v>30</v>
      </c>
    </row>
    <row r="603" spans="1:29" ht="12.75" customHeight="1" x14ac:dyDescent="0.2">
      <c r="A603" s="242">
        <v>603</v>
      </c>
      <c r="B603" s="5664"/>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7357</v>
      </c>
      <c r="U603" s="956">
        <f>COUNTIF(Combate!$AB$55:$AG$64,$E$984)*COUNTIF(Personalización!$AH$83:$AJ$85,Tablas!$T603)</f>
        <v>0</v>
      </c>
      <c r="X603" s="1003" t="s">
        <v>2203</v>
      </c>
      <c r="Y603" s="241"/>
      <c r="Z603" s="241" t="s">
        <v>8554</v>
      </c>
      <c r="AA603" s="988">
        <f>COUNTIF(PDs!$Y$40:$AA$45,Tablas!X603)</f>
        <v>0</v>
      </c>
      <c r="AC603" s="798">
        <v>35</v>
      </c>
    </row>
    <row r="604" spans="1:29" ht="12.75" customHeight="1" x14ac:dyDescent="0.2">
      <c r="A604" s="242">
        <v>604</v>
      </c>
      <c r="B604" s="5664"/>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7358</v>
      </c>
      <c r="U604" s="956">
        <f>COUNTIF(Combate!$AB$55:$AG$64,$E$984)*COUNTIF(Personalización!$AH$83:$AJ$85,Tablas!$T604)</f>
        <v>0</v>
      </c>
      <c r="X604" s="1003" t="s">
        <v>2159</v>
      </c>
      <c r="Y604" s="241"/>
      <c r="Z604" s="241" t="s">
        <v>8555</v>
      </c>
      <c r="AA604" s="988">
        <f>COUNTIF(PDs!$Y$40:$AA$45,Tablas!X604)</f>
        <v>0</v>
      </c>
      <c r="AC604" s="798">
        <v>40</v>
      </c>
    </row>
    <row r="605" spans="1:29" ht="12.75" customHeight="1" x14ac:dyDescent="0.2">
      <c r="A605" s="242">
        <v>605</v>
      </c>
      <c r="B605" s="5664"/>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7360</v>
      </c>
      <c r="U605" s="956">
        <f>COUNTIF(Combate!$AB$55:$AG$64,$E$984)*COUNTIF(Personalización!$AH$83:$AJ$85,Tablas!$T605)</f>
        <v>0</v>
      </c>
      <c r="X605" s="1003" t="s">
        <v>2179</v>
      </c>
      <c r="Y605" s="241"/>
      <c r="Z605" s="241" t="s">
        <v>8556</v>
      </c>
      <c r="AA605" s="988">
        <f>COUNTIF(PDs!$Y$40:$AA$45,Tablas!X605)</f>
        <v>0</v>
      </c>
      <c r="AC605" s="798">
        <v>45</v>
      </c>
    </row>
    <row r="606" spans="1:29" ht="12.75" customHeight="1" thickBot="1" x14ac:dyDescent="0.25">
      <c r="A606" s="242">
        <v>606</v>
      </c>
      <c r="B606" s="5664"/>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7362</v>
      </c>
      <c r="U606" s="959">
        <f>COUNTIF(Combate!$AB$55:$AG$64,$E$984)*COUNTIF(Personalización!$AH$83:$AJ$85,Tablas!$T606)</f>
        <v>0</v>
      </c>
      <c r="X606" s="1003" t="s">
        <v>2146</v>
      </c>
      <c r="Y606" s="241"/>
      <c r="Z606" s="241" t="s">
        <v>8557</v>
      </c>
      <c r="AA606" s="988">
        <f>COUNTIF(PDs!$Y$40:$AA$45,Tablas!X606)</f>
        <v>0</v>
      </c>
      <c r="AC606" s="799">
        <v>50</v>
      </c>
    </row>
    <row r="607" spans="1:29" ht="12.75" customHeight="1" x14ac:dyDescent="0.2">
      <c r="A607" s="242">
        <v>607</v>
      </c>
      <c r="B607" s="5664"/>
      <c r="C607" s="5654" t="s">
        <v>7579</v>
      </c>
      <c r="D607" s="5655"/>
      <c r="E607" s="5655"/>
      <c r="F607" s="5655"/>
      <c r="G607" s="5655"/>
      <c r="H607" s="5655"/>
      <c r="I607" s="624"/>
      <c r="N607"/>
      <c r="O607" s="624"/>
      <c r="X607" s="1003" t="s">
        <v>2175</v>
      </c>
      <c r="Y607" s="241"/>
      <c r="Z607" s="241" t="s">
        <v>8558</v>
      </c>
      <c r="AA607" s="988">
        <f>COUNTIF(PDs!$Y$40:$AA$45,Tablas!X607)</f>
        <v>0</v>
      </c>
      <c r="AC607" s="242"/>
    </row>
    <row r="608" spans="1:29" ht="12.75" customHeight="1" thickBot="1" x14ac:dyDescent="0.25">
      <c r="A608" s="242">
        <v>608</v>
      </c>
      <c r="B608" s="5664"/>
      <c r="H608"/>
      <c r="I608" s="624"/>
      <c r="N608"/>
      <c r="O608" s="624"/>
      <c r="X608" s="1003" t="s">
        <v>2149</v>
      </c>
      <c r="Y608" s="241"/>
      <c r="Z608" s="241" t="s">
        <v>8559</v>
      </c>
      <c r="AA608" s="988">
        <f>COUNTIF(PDs!$Y$40:$AA$45,Tablas!X608)</f>
        <v>0</v>
      </c>
      <c r="AC608" s="242"/>
    </row>
    <row r="609" spans="1:73" ht="12.75" customHeight="1" x14ac:dyDescent="0.2">
      <c r="A609" s="242">
        <v>609</v>
      </c>
      <c r="B609" s="5664"/>
      <c r="C609" s="5676" t="s">
        <v>1191</v>
      </c>
      <c r="D609" s="5676"/>
      <c r="E609" s="5676"/>
      <c r="F609" s="5676"/>
      <c r="G609" s="5676"/>
      <c r="H609" s="5676"/>
      <c r="I609" s="5676"/>
      <c r="J609" s="5676"/>
      <c r="K609" s="5676"/>
      <c r="L609" s="5676"/>
      <c r="M609" s="5676"/>
      <c r="N609" s="5676"/>
      <c r="O609" s="5676"/>
      <c r="P609" s="5676"/>
      <c r="Q609" s="5676"/>
      <c r="X609" s="1003" t="s">
        <v>2233</v>
      </c>
      <c r="Y609" s="241"/>
      <c r="Z609" s="241" t="s">
        <v>8865</v>
      </c>
      <c r="AA609" s="988">
        <f>COUNTIF(PDs!$Y$40:$AA$45,Tablas!X609)</f>
        <v>0</v>
      </c>
    </row>
    <row r="610" spans="1:73" ht="12.75" customHeight="1" thickBot="1" x14ac:dyDescent="0.25">
      <c r="A610" s="242">
        <v>610</v>
      </c>
      <c r="B610" s="5664"/>
      <c r="C610" s="209"/>
      <c r="D610" s="210" t="s">
        <v>1557</v>
      </c>
      <c r="E610" s="210" t="s">
        <v>1843</v>
      </c>
      <c r="F610" s="210" t="s">
        <v>1192</v>
      </c>
      <c r="G610" s="210" t="s">
        <v>1976</v>
      </c>
      <c r="H610" s="210" t="s">
        <v>2135</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8560</v>
      </c>
      <c r="AA610" s="1177">
        <f>COUNTIF(PDs!$Y$40:$AA$45,Tablas!X610)</f>
        <v>0</v>
      </c>
    </row>
    <row r="611" spans="1:73" ht="12.75" customHeight="1" thickBot="1" x14ac:dyDescent="0.25">
      <c r="A611" s="242">
        <v>611</v>
      </c>
      <c r="B611" s="5664"/>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664"/>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579" t="s">
        <v>7516</v>
      </c>
      <c r="T612" s="4400"/>
      <c r="U612" s="4400"/>
      <c r="V612" s="4400"/>
      <c r="W612" s="4400"/>
      <c r="X612" s="4400"/>
      <c r="Y612" s="4400"/>
      <c r="Z612" s="4400"/>
      <c r="AA612" s="4400"/>
      <c r="AC612" s="5652" t="s">
        <v>1201</v>
      </c>
      <c r="AD612" s="5652"/>
      <c r="AE612" s="5652"/>
      <c r="AF612" s="5652"/>
      <c r="AG612" s="5652"/>
      <c r="AH612" s="5652"/>
      <c r="AI612" s="5652"/>
    </row>
    <row r="613" spans="1:73" ht="12.75" customHeight="1" thickBot="1" x14ac:dyDescent="0.25">
      <c r="A613" s="242">
        <v>613</v>
      </c>
      <c r="B613" s="5664"/>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579"/>
      <c r="T613" s="4400"/>
      <c r="U613" s="4400"/>
      <c r="V613" s="4400"/>
      <c r="W613" s="4400"/>
      <c r="X613" s="4400"/>
      <c r="Y613" s="4400"/>
      <c r="Z613" s="4400"/>
      <c r="AA613" s="4400"/>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664"/>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844" t="s">
        <v>8561</v>
      </c>
      <c r="T614" s="5845"/>
      <c r="U614" s="1170" t="str">
        <f>Arma_Desarrollada</f>
        <v>Desarmado</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664"/>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688" t="s">
        <v>8565</v>
      </c>
      <c r="T615" s="5689"/>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1980</v>
      </c>
      <c r="AD615" s="56">
        <v>9</v>
      </c>
      <c r="AE615" s="56">
        <v>23</v>
      </c>
      <c r="AF615" s="56">
        <v>2</v>
      </c>
      <c r="AG615" s="56">
        <v>1.5</v>
      </c>
      <c r="AH615" s="56">
        <v>6</v>
      </c>
      <c r="AI615" s="144">
        <v>3</v>
      </c>
    </row>
    <row r="616" spans="1:73" ht="12.75" customHeight="1" thickBot="1" x14ac:dyDescent="0.25">
      <c r="A616" s="242">
        <v>616</v>
      </c>
      <c r="B616" s="5664"/>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688" t="s">
        <v>8562</v>
      </c>
      <c r="T616" s="5689"/>
      <c r="U616" s="1170" t="str">
        <f>IF(V616="","",", "&amp;V616)&amp;IF(W616="","",", "&amp;W616)&amp;IF(X616="","",", "&amp;X616)&amp;IF(Y616="","",", "&amp;Y616)&amp;IF(Z616="","",", "&amp;Z616)&amp;IF(AA616="","",", "&amp;AA616)</f>
        <v>, Jabalina, Lanza, Escudo corporal, Arco Corto y Cerbatana</v>
      </c>
      <c r="V616" s="1169" t="str">
        <f>IF(ISNUMBER(SEARCH("profesión",INDEX(Compra_TablasArmas,Tablas!A1,18))),VLOOKUP(INDEX(Compra_TablasArmas,Tablas!A1,21),Tabla_ArmasArquetípicas,3,FALSE),"")</f>
        <v>Jabalina, Lanza, Escudo corporal, Arco Corto y Cerbatana</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664"/>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688" t="s">
        <v>8563</v>
      </c>
      <c r="T617" s="5689"/>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664"/>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688" t="s">
        <v>8564</v>
      </c>
      <c r="T618" s="5689"/>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664"/>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557" t="s">
        <v>3270</v>
      </c>
      <c r="T619" s="5558"/>
      <c r="U619" s="1172" t="str">
        <f>U614&amp;U615&amp;U616&amp;U617&amp;U618</f>
        <v>Desarmado, Jabalina, Lanza, Escudo corporal, Arco Corto y Cerbatana</v>
      </c>
      <c r="V619" s="1173"/>
      <c r="W619" s="1173"/>
      <c r="X619" s="1173"/>
      <c r="Y619" s="1415"/>
      <c r="Z619" s="1415"/>
      <c r="AA619" s="1416"/>
    </row>
    <row r="620" spans="1:73" ht="12.75" customHeight="1" thickBot="1" x14ac:dyDescent="0.25">
      <c r="A620" s="242">
        <v>620</v>
      </c>
      <c r="B620" s="5664"/>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664"/>
    </row>
    <row r="622" spans="1:73" ht="12.75" customHeight="1" x14ac:dyDescent="0.2">
      <c r="A622" s="242">
        <v>622</v>
      </c>
      <c r="B622" s="5664"/>
    </row>
    <row r="623" spans="1:73" ht="12.75" customHeight="1" x14ac:dyDescent="0.2">
      <c r="A623" s="242">
        <v>623</v>
      </c>
      <c r="B623" s="5664"/>
    </row>
    <row r="624" spans="1:73" ht="12.75" customHeight="1" x14ac:dyDescent="0.2">
      <c r="A624" s="242">
        <v>624</v>
      </c>
      <c r="B624" s="5664"/>
      <c r="AG624" s="5660" t="s">
        <v>9018</v>
      </c>
      <c r="AH624" s="5660"/>
      <c r="AI624" s="5660"/>
      <c r="AJ624" s="5660"/>
      <c r="AK624" s="5660"/>
      <c r="AL624" s="5660"/>
      <c r="AM624" s="5660"/>
      <c r="AN624" s="5660"/>
      <c r="AO624" s="5660"/>
      <c r="AP624" s="5660"/>
      <c r="AQ624" s="5660"/>
      <c r="AR624" s="5660"/>
      <c r="AS624" s="5660"/>
      <c r="AT624" s="5660"/>
      <c r="AU624" s="5660"/>
      <c r="AV624" s="5660"/>
      <c r="AW624" s="5660"/>
      <c r="AX624" s="5660"/>
      <c r="AY624" s="5660"/>
      <c r="AZ624" s="5660"/>
      <c r="BA624" s="5660"/>
      <c r="BB624" s="5660"/>
      <c r="BC624" s="5660"/>
      <c r="BD624" s="5660"/>
      <c r="BE624" s="5660"/>
      <c r="BF624" s="5660"/>
      <c r="BG624" s="5660"/>
      <c r="BH624" s="5660"/>
      <c r="BI624" s="5660"/>
      <c r="BJ624" s="5660"/>
      <c r="BK624" s="5660"/>
      <c r="BL624" s="5660"/>
      <c r="BM624" s="5660"/>
      <c r="BN624" s="5660"/>
      <c r="BO624" s="5660"/>
      <c r="BP624" s="5660"/>
      <c r="BQ624" s="5660"/>
      <c r="BR624" s="5660"/>
      <c r="BS624" s="5660"/>
      <c r="BT624" s="5660"/>
      <c r="BU624" s="5660"/>
    </row>
    <row r="625" spans="1:73" ht="12.75" customHeight="1" thickBot="1" x14ac:dyDescent="0.25">
      <c r="A625" s="242">
        <v>625</v>
      </c>
      <c r="B625" s="5664"/>
      <c r="AG625" s="5660"/>
      <c r="AH625" s="5660"/>
      <c r="AI625" s="5660"/>
      <c r="AJ625" s="5660"/>
      <c r="AK625" s="5660"/>
      <c r="AL625" s="5660"/>
      <c r="AM625" s="5660"/>
      <c r="AN625" s="5660"/>
      <c r="AO625" s="5660"/>
      <c r="AP625" s="5660"/>
      <c r="AQ625" s="5660"/>
      <c r="AR625" s="5660"/>
      <c r="AS625" s="5660"/>
      <c r="AT625" s="5660"/>
      <c r="AU625" s="5660"/>
      <c r="AV625" s="5660"/>
      <c r="AW625" s="5660"/>
      <c r="AX625" s="5660"/>
      <c r="AY625" s="5660"/>
      <c r="AZ625" s="5660"/>
      <c r="BA625" s="5660"/>
      <c r="BB625" s="5660"/>
      <c r="BC625" s="5660"/>
      <c r="BD625" s="5660"/>
      <c r="BE625" s="5660"/>
      <c r="BF625" s="5660"/>
      <c r="BG625" s="5660"/>
      <c r="BH625" s="5660"/>
      <c r="BI625" s="5660"/>
      <c r="BJ625" s="5660"/>
      <c r="BK625" s="5660"/>
      <c r="BL625" s="5660"/>
      <c r="BM625" s="5660"/>
      <c r="BN625" s="5660"/>
      <c r="BO625" s="5660"/>
      <c r="BP625" s="5660"/>
      <c r="BQ625" s="5660"/>
      <c r="BR625" s="5660"/>
      <c r="BS625" s="5660"/>
      <c r="BT625" s="5660"/>
      <c r="BU625" s="5660"/>
    </row>
    <row r="626" spans="1:73" ht="12.75" customHeight="1" thickBot="1" x14ac:dyDescent="0.25">
      <c r="A626" s="242">
        <v>626</v>
      </c>
      <c r="B626" s="5664"/>
      <c r="C626" s="5747" t="s">
        <v>2129</v>
      </c>
      <c r="D626" s="5748"/>
      <c r="E626" s="5748"/>
      <c r="F626" s="5748"/>
      <c r="G626" s="5748"/>
      <c r="H626" s="5748"/>
      <c r="I626" s="5748"/>
      <c r="J626" s="5748"/>
      <c r="K626" s="5748"/>
      <c r="L626" s="5748"/>
      <c r="M626" s="5748"/>
      <c r="N626" s="5748"/>
      <c r="O626" s="5748"/>
      <c r="P626" s="5748"/>
      <c r="Q626" s="5748"/>
      <c r="R626" s="5748"/>
      <c r="S626" s="5748"/>
      <c r="T626" s="5748"/>
      <c r="U626" s="5748"/>
      <c r="V626" s="5748"/>
      <c r="W626" s="5748"/>
      <c r="X626" s="5749"/>
      <c r="Z626" s="2862" t="s">
        <v>7487</v>
      </c>
      <c r="AB626" s="1537"/>
      <c r="AC626" s="1537"/>
      <c r="AD626" s="1537"/>
      <c r="AG626" s="4535" t="s">
        <v>9004</v>
      </c>
      <c r="AH626" s="4565"/>
      <c r="AI626" s="4565"/>
      <c r="AJ626" s="4565"/>
      <c r="AK626" s="4566"/>
      <c r="AL626" s="1537" t="str">
        <f>PDs!Y40</f>
        <v>Aborigen</v>
      </c>
      <c r="AM626" s="5701"/>
      <c r="AN626" s="4535" t="s">
        <v>9005</v>
      </c>
      <c r="AO626" s="4565"/>
      <c r="AP626" s="4565"/>
      <c r="AQ626" s="5637"/>
      <c r="AR626" s="5638"/>
      <c r="AS626" s="1537">
        <f>PDs!Y41</f>
        <v>0</v>
      </c>
      <c r="AT626" s="5701"/>
      <c r="AU626" s="4535" t="s">
        <v>9006</v>
      </c>
      <c r="AV626" s="4565"/>
      <c r="AW626" s="4565"/>
      <c r="AX626" s="4565"/>
      <c r="AY626" s="4566"/>
      <c r="AZ626" s="1537">
        <f>PDs!Y42</f>
        <v>0</v>
      </c>
      <c r="BA626" s="5701"/>
      <c r="BB626" s="4535" t="s">
        <v>9007</v>
      </c>
      <c r="BC626" s="4565"/>
      <c r="BD626" s="4565"/>
      <c r="BE626" s="4565"/>
      <c r="BF626" s="4566"/>
      <c r="BG626" s="1537">
        <f>PDs!Y43</f>
        <v>0</v>
      </c>
      <c r="BH626" s="5701"/>
      <c r="BI626" s="4535" t="s">
        <v>9008</v>
      </c>
      <c r="BJ626" s="4565"/>
      <c r="BK626" s="4565"/>
      <c r="BL626" s="4565"/>
      <c r="BM626" s="4566"/>
      <c r="BN626" s="1537">
        <f>PDs!Y44</f>
        <v>0</v>
      </c>
      <c r="BO626" s="5701"/>
      <c r="BP626" s="4535" t="s">
        <v>9009</v>
      </c>
      <c r="BQ626" s="4565"/>
      <c r="BR626" s="4565"/>
      <c r="BS626" s="4565"/>
      <c r="BT626" s="4566"/>
      <c r="BU626" s="1537">
        <f>PDs!Y45</f>
        <v>0</v>
      </c>
    </row>
    <row r="627" spans="1:73" ht="12.75" customHeight="1" thickBot="1" x14ac:dyDescent="0.25">
      <c r="A627" s="242">
        <v>627</v>
      </c>
      <c r="B627" s="5664"/>
      <c r="C627" s="5750"/>
      <c r="D627" s="5751"/>
      <c r="E627" s="5751"/>
      <c r="F627" s="5751"/>
      <c r="G627" s="5751"/>
      <c r="H627" s="5751"/>
      <c r="I627" s="5751"/>
      <c r="J627" s="5751"/>
      <c r="K627" s="5751"/>
      <c r="L627" s="5751"/>
      <c r="M627" s="5751"/>
      <c r="N627" s="5751"/>
      <c r="O627" s="5751"/>
      <c r="P627" s="5751"/>
      <c r="Q627" s="5751"/>
      <c r="R627" s="5751"/>
      <c r="S627" s="5751"/>
      <c r="T627" s="5751"/>
      <c r="U627" s="5751"/>
      <c r="V627" s="5751"/>
      <c r="W627" s="5751"/>
      <c r="X627" s="5752"/>
      <c r="Z627" s="2862"/>
      <c r="AG627" s="1848" t="s">
        <v>1219</v>
      </c>
      <c r="AH627" s="1849" t="s">
        <v>1218</v>
      </c>
      <c r="AI627" s="1872" t="s">
        <v>1217</v>
      </c>
      <c r="AJ627" s="1848" t="s">
        <v>1219</v>
      </c>
      <c r="AK627" s="1849" t="s">
        <v>1218</v>
      </c>
      <c r="AL627" s="1872" t="s">
        <v>1217</v>
      </c>
      <c r="AM627" s="5701"/>
      <c r="AN627" s="1848" t="s">
        <v>1219</v>
      </c>
      <c r="AO627" s="1849" t="s">
        <v>1218</v>
      </c>
      <c r="AP627" s="1872" t="s">
        <v>1217</v>
      </c>
      <c r="AQ627" s="1848" t="s">
        <v>1219</v>
      </c>
      <c r="AR627" s="1849" t="s">
        <v>1218</v>
      </c>
      <c r="AS627" s="1872" t="s">
        <v>1217</v>
      </c>
      <c r="AT627" s="5701"/>
      <c r="AU627" s="1848" t="s">
        <v>1219</v>
      </c>
      <c r="AV627" s="1849" t="s">
        <v>1218</v>
      </c>
      <c r="AW627" s="1872" t="s">
        <v>1217</v>
      </c>
      <c r="AX627" s="1848" t="s">
        <v>1219</v>
      </c>
      <c r="AY627" s="1849" t="s">
        <v>1218</v>
      </c>
      <c r="AZ627" s="1872" t="s">
        <v>1217</v>
      </c>
      <c r="BA627" s="5701"/>
      <c r="BB627" s="1848" t="s">
        <v>1219</v>
      </c>
      <c r="BC627" s="1849" t="s">
        <v>1218</v>
      </c>
      <c r="BD627" s="1872" t="s">
        <v>1217</v>
      </c>
      <c r="BE627" s="1848" t="s">
        <v>1219</v>
      </c>
      <c r="BF627" s="1849" t="s">
        <v>1218</v>
      </c>
      <c r="BG627" s="1872" t="s">
        <v>1217</v>
      </c>
      <c r="BH627" s="5701"/>
      <c r="BI627" s="1848" t="s">
        <v>1219</v>
      </c>
      <c r="BJ627" s="1849" t="s">
        <v>1218</v>
      </c>
      <c r="BK627" s="1872" t="s">
        <v>1217</v>
      </c>
      <c r="BL627" s="1848" t="s">
        <v>1219</v>
      </c>
      <c r="BM627" s="1849" t="s">
        <v>1218</v>
      </c>
      <c r="BN627" s="1872" t="s">
        <v>1217</v>
      </c>
      <c r="BO627" s="5701"/>
      <c r="BP627" s="1848" t="s">
        <v>1219</v>
      </c>
      <c r="BQ627" s="1849" t="s">
        <v>1218</v>
      </c>
      <c r="BR627" s="1872" t="s">
        <v>1217</v>
      </c>
      <c r="BS627" s="1848" t="s">
        <v>1219</v>
      </c>
      <c r="BT627" s="1849" t="s">
        <v>1218</v>
      </c>
      <c r="BU627" s="1872" t="s">
        <v>1217</v>
      </c>
    </row>
    <row r="628" spans="1:73" ht="12.75" customHeight="1" thickBot="1" x14ac:dyDescent="0.25">
      <c r="A628" s="242">
        <v>628</v>
      </c>
      <c r="B628" s="5664"/>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635"/>
      <c r="AB628" s="5576" t="s">
        <v>1213</v>
      </c>
      <c r="AC628" s="5577"/>
      <c r="AD628" s="5577"/>
      <c r="AE628" s="5578"/>
      <c r="AF628" s="1552"/>
      <c r="AG628" s="1532" t="s">
        <v>8613</v>
      </c>
      <c r="AH628" s="1533" t="s">
        <v>8613</v>
      </c>
      <c r="AI628" s="1534" t="s">
        <v>8613</v>
      </c>
      <c r="AJ628" s="1532" t="s">
        <v>2709</v>
      </c>
      <c r="AK628" s="1533" t="s">
        <v>2709</v>
      </c>
      <c r="AL628" s="1534" t="s">
        <v>2709</v>
      </c>
      <c r="AM628" s="5701"/>
      <c r="AN628" s="1532" t="s">
        <v>8613</v>
      </c>
      <c r="AO628" s="1533" t="s">
        <v>8613</v>
      </c>
      <c r="AP628" s="1534" t="s">
        <v>8613</v>
      </c>
      <c r="AQ628" s="1532" t="s">
        <v>2709</v>
      </c>
      <c r="AR628" s="1533" t="s">
        <v>2709</v>
      </c>
      <c r="AS628" s="1534" t="s">
        <v>2709</v>
      </c>
      <c r="AT628" s="5701"/>
      <c r="AU628" s="1532" t="s">
        <v>8613</v>
      </c>
      <c r="AV628" s="1533" t="s">
        <v>8613</v>
      </c>
      <c r="AW628" s="1534" t="s">
        <v>8613</v>
      </c>
      <c r="AX628" s="1532" t="s">
        <v>2709</v>
      </c>
      <c r="AY628" s="1533" t="s">
        <v>2709</v>
      </c>
      <c r="AZ628" s="1534" t="s">
        <v>2709</v>
      </c>
      <c r="BA628" s="5701"/>
      <c r="BB628" s="1532" t="s">
        <v>8613</v>
      </c>
      <c r="BC628" s="1533" t="s">
        <v>8613</v>
      </c>
      <c r="BD628" s="1534" t="s">
        <v>8613</v>
      </c>
      <c r="BE628" s="1532" t="s">
        <v>2709</v>
      </c>
      <c r="BF628" s="1533" t="s">
        <v>2709</v>
      </c>
      <c r="BG628" s="1534" t="s">
        <v>2709</v>
      </c>
      <c r="BH628" s="5701"/>
      <c r="BI628" s="1532" t="s">
        <v>8613</v>
      </c>
      <c r="BJ628" s="1533" t="s">
        <v>8613</v>
      </c>
      <c r="BK628" s="1534" t="s">
        <v>8613</v>
      </c>
      <c r="BL628" s="1532" t="s">
        <v>2709</v>
      </c>
      <c r="BM628" s="1533" t="s">
        <v>2709</v>
      </c>
      <c r="BN628" s="1534" t="s">
        <v>2709</v>
      </c>
      <c r="BO628" s="5701"/>
      <c r="BP628" s="1532" t="s">
        <v>8613</v>
      </c>
      <c r="BQ628" s="1533" t="s">
        <v>8613</v>
      </c>
      <c r="BR628" s="1534" t="s">
        <v>8613</v>
      </c>
      <c r="BS628" s="1532" t="s">
        <v>2709</v>
      </c>
      <c r="BT628" s="1533" t="s">
        <v>2709</v>
      </c>
      <c r="BU628" s="1534" t="s">
        <v>2709</v>
      </c>
    </row>
    <row r="629" spans="1:73" ht="12.75" customHeight="1" thickBot="1" x14ac:dyDescent="0.25">
      <c r="A629" s="242">
        <v>629</v>
      </c>
      <c r="B629" s="5664"/>
      <c r="C629" s="1199"/>
      <c r="D629" s="895" t="s">
        <v>1423</v>
      </c>
      <c r="E629" s="895" t="s">
        <v>1575</v>
      </c>
      <c r="F629" s="895" t="s">
        <v>1401</v>
      </c>
      <c r="G629" s="895" t="s">
        <v>2130</v>
      </c>
      <c r="H629" s="895" t="s">
        <v>2131</v>
      </c>
      <c r="I629" s="895" t="s">
        <v>2132</v>
      </c>
      <c r="J629" s="895" t="s">
        <v>2133</v>
      </c>
      <c r="K629" s="895" t="s">
        <v>2134</v>
      </c>
      <c r="L629" s="895" t="s">
        <v>7540</v>
      </c>
      <c r="M629" s="895" t="s">
        <v>1976</v>
      </c>
      <c r="N629" s="895" t="s">
        <v>1579</v>
      </c>
      <c r="O629" s="895" t="s">
        <v>2135</v>
      </c>
      <c r="P629" s="895" t="s">
        <v>2136</v>
      </c>
      <c r="Q629" s="895" t="s">
        <v>2137</v>
      </c>
      <c r="R629" s="895" t="s">
        <v>2138</v>
      </c>
      <c r="S629" s="895" t="s">
        <v>2139</v>
      </c>
      <c r="T629" s="895" t="s">
        <v>2140</v>
      </c>
      <c r="U629" s="895" t="s">
        <v>2141</v>
      </c>
      <c r="V629" s="1051" t="s">
        <v>1485</v>
      </c>
      <c r="W629" s="1051"/>
      <c r="X629" s="1200" t="s">
        <v>1913</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Asta/-, Asta/-, Escudo/-, Proyectiles/-, Proyectiles/-</v>
      </c>
      <c r="AB629" s="5579"/>
      <c r="AC629" s="4400"/>
      <c r="AD629" s="4400"/>
      <c r="AE629" s="5580"/>
      <c r="AF629" s="1552"/>
      <c r="AG629" s="1873" t="str">
        <f>"Tablas!"&amp;ADDRESS(ROW(AG630),COLUMN(AG630))&amp;":"&amp;ADDRESS(ROW(AG630)+MATCH("",AG$630:AG$767,0)-2,COLUMN(AG630))</f>
        <v>Tablas!$AG$630:$AG$671</v>
      </c>
      <c r="AH629" s="1874" t="str">
        <f>"Tablas!"&amp;ADDRESS(ROW(AH630),COLUMN(AH630))&amp;":"&amp;ADDRESS(ROW(AH630)+MATCH("",AH$630:AH$767,0)-2,COLUMN(AH630))</f>
        <v>Tablas!$AH$630:$AH$638</v>
      </c>
      <c r="AI629" s="1874" t="str">
        <f>"Tablas!"&amp;ADDRESS(ROW(AI630),COLUMN(AI630))&amp;":"&amp;ADDRESS(ROW(AI630)+MATCH("",AI$630:AI$767,0)-2,COLUMN(AI630))</f>
        <v>Tablas!$AI$630:$AI$719</v>
      </c>
      <c r="AJ629" s="1419"/>
      <c r="AK629" s="1420"/>
      <c r="AL629" s="1421"/>
      <c r="AM629" s="5701"/>
      <c r="AN629" s="1873" t="str">
        <f>"Tablas!"&amp;ADDRESS(ROW(AN630),COLUMN(AN630))&amp;":"&amp;ADDRESS(ROW(AN630)+MATCH("",AN$630:AN$767,0)-2,COLUMN(AN630))</f>
        <v>Tablas!$AN$630:$AN$671</v>
      </c>
      <c r="AO629" s="1874" t="str">
        <f>"Tablas!"&amp;ADDRESS(ROW(AO630),COLUMN(AO630))&amp;":"&amp;ADDRESS(ROW(AO630)+MATCH("",AO$630:AO$767,0)-2,COLUMN(AO630))</f>
        <v>Tablas!$AO$630:$AO$638</v>
      </c>
      <c r="AP629" s="1874" t="str">
        <f>"Tablas!"&amp;ADDRESS(ROW(AP630),COLUMN(AP630))&amp;":"&amp;ADDRESS(ROW(AP630)+MATCH("",AP$630:AP$767,0)-2,COLUMN(AP630))</f>
        <v>Tablas!$AP$630:$AP$719</v>
      </c>
      <c r="AQ629" s="1419"/>
      <c r="AR629" s="1420"/>
      <c r="AS629" s="1421"/>
      <c r="AT629" s="5701"/>
      <c r="AU629" s="1873" t="str">
        <f>"Tablas!"&amp;ADDRESS(ROW(AU630),COLUMN(AU630))&amp;":"&amp;ADDRESS(ROW(AU630)+MATCH("",AU$630:AU$767,0)-2,COLUMN(AU630))</f>
        <v>Tablas!$AU$630:$AU$671</v>
      </c>
      <c r="AV629" s="1874" t="str">
        <f>"Tablas!"&amp;ADDRESS(ROW(AV630),COLUMN(AV630))&amp;":"&amp;ADDRESS(ROW(AV630)+MATCH("",AV$630:AV$767,0)-2,COLUMN(AV630))</f>
        <v>Tablas!$AV$630:$AV$638</v>
      </c>
      <c r="AW629" s="1874" t="str">
        <f>"Tablas!"&amp;ADDRESS(ROW(AW630),COLUMN(AW630))&amp;":"&amp;ADDRESS(ROW(AW630)+MATCH("",AW$630:AW$767,0)-2,COLUMN(AW630))</f>
        <v>Tablas!$AW$630:$AW$719</v>
      </c>
      <c r="AX629" s="1419"/>
      <c r="AY629" s="1420"/>
      <c r="AZ629" s="1421"/>
      <c r="BA629" s="5701"/>
      <c r="BB629" s="1873" t="str">
        <f>"Tablas!"&amp;ADDRESS(ROW(BB630),COLUMN(BB630))&amp;":"&amp;ADDRESS(ROW(BB630)+MATCH("",BB$630:BB$767,0)-2,COLUMN(BB630))</f>
        <v>Tablas!$BB$630:$BB$671</v>
      </c>
      <c r="BC629" s="1874" t="str">
        <f>"Tablas!"&amp;ADDRESS(ROW(BC630),COLUMN(BC630))&amp;":"&amp;ADDRESS(ROW(BC630)+MATCH("",BC$630:BC$767,0)-2,COLUMN(BC630))</f>
        <v>Tablas!$BC$630:$BC$638</v>
      </c>
      <c r="BD629" s="1874" t="str">
        <f>"Tablas!"&amp;ADDRESS(ROW(BD630),COLUMN(BD630))&amp;":"&amp;ADDRESS(ROW(BD630)+MATCH("",BD$630:BD$767,0)-2,COLUMN(BD630))</f>
        <v>Tablas!$BD$630:$BD$719</v>
      </c>
      <c r="BE629" s="1419"/>
      <c r="BF629" s="1420"/>
      <c r="BG629" s="1421"/>
      <c r="BH629" s="5701"/>
      <c r="BI629" s="1873" t="str">
        <f>"Tablas!"&amp;ADDRESS(ROW(BI630),COLUMN(BI630))&amp;":"&amp;ADDRESS(ROW(BI630)+MATCH("",BI$630:BI$767,0)-2,COLUMN(BI630))</f>
        <v>Tablas!$BI$630:$BI$671</v>
      </c>
      <c r="BJ629" s="1874" t="str">
        <f>"Tablas!"&amp;ADDRESS(ROW(BJ630),COLUMN(BJ630))&amp;":"&amp;ADDRESS(ROW(BJ630)+MATCH("",BJ$630:BJ$767,0)-2,COLUMN(BJ630))</f>
        <v>Tablas!$BJ$630:$BJ$638</v>
      </c>
      <c r="BK629" s="1874" t="str">
        <f>"Tablas!"&amp;ADDRESS(ROW(BK630),COLUMN(BK630))&amp;":"&amp;ADDRESS(ROW(BK630)+MATCH("",BK$630:BK$767,0)-2,COLUMN(BK630))</f>
        <v>Tablas!$BK$630:$BK$719</v>
      </c>
      <c r="BL629" s="1419"/>
      <c r="BM629" s="1420"/>
      <c r="BN629" s="1421"/>
      <c r="BO629" s="5701"/>
      <c r="BP629" s="1873" t="str">
        <f>"Tablas!"&amp;ADDRESS(ROW(BP630),COLUMN(BP630))&amp;":"&amp;ADDRESS(ROW(BP630)+MATCH("",BP$630:BP$767,0)-2,COLUMN(BP630))</f>
        <v>Tablas!$BP$630:$BP$671</v>
      </c>
      <c r="BQ629" s="1874" t="str">
        <f>"Tablas!"&amp;ADDRESS(ROW(BQ630),COLUMN(BQ630))&amp;":"&amp;ADDRESS(ROW(BQ630)+MATCH("",BQ$630:BQ$767,0)-2,COLUMN(BQ630))</f>
        <v>Tablas!$BQ$630:$BQ$638</v>
      </c>
      <c r="BR629" s="1874" t="str">
        <f>"Tablas!"&amp;ADDRESS(ROW(BR630),COLUMN(BR630))&amp;":"&amp;ADDRESS(ROW(BR630)+MATCH("",BR$630:BR$767,0)-2,COLUMN(BR630))</f>
        <v>Tablas!$BR$630:$BR$719</v>
      </c>
      <c r="BS629" s="1419"/>
      <c r="BT629" s="1420"/>
      <c r="BU629" s="1421"/>
    </row>
    <row r="630" spans="1:73" ht="12.75" customHeight="1" thickBot="1" x14ac:dyDescent="0.25">
      <c r="A630" s="242">
        <v>630</v>
      </c>
      <c r="B630" s="5664"/>
      <c r="C630" s="1284"/>
      <c r="D630" s="1285" t="s">
        <v>2142</v>
      </c>
      <c r="E630" s="1286"/>
      <c r="F630" s="1286"/>
      <c r="G630" s="1286"/>
      <c r="H630" s="1286"/>
      <c r="I630" s="1286"/>
      <c r="J630" s="1286"/>
      <c r="K630" s="1049" t="s">
        <v>7539</v>
      </c>
      <c r="L630" s="1287" t="str">
        <f>IF(ISNUMBER(SEARCH($D630,Armas_Conocidas)),"Conocida",IF(ISNUMBER(SEARCH(LEFT($K630,SEARCH("/",$K630)),Tipologías_Conocidas)),IF(ISNUMBER(SEARCH($K630,Tipologías_Conocidas)),"Similar","Mixta"),"Distinta"))</f>
        <v>Conocida</v>
      </c>
      <c r="M630" s="1286"/>
      <c r="N630" s="1286"/>
      <c r="O630" s="1286"/>
      <c r="P630" s="1286"/>
      <c r="Q630" s="1286"/>
      <c r="R630" s="1286"/>
      <c r="S630" s="1286"/>
      <c r="T630" s="1286"/>
      <c r="U630" s="1286"/>
      <c r="V630" s="1049"/>
      <c r="W630" s="1286"/>
      <c r="X630" s="1282" t="s">
        <v>8967</v>
      </c>
      <c r="Z630" s="1418" t="str">
        <f>IF(AND(K630&lt;&gt;"Natural/-",ISNUMBER(SEARCH(D630,Armas_Conocidas))),", "&amp;K630,"")</f>
        <v/>
      </c>
      <c r="AA630" s="624" t="str">
        <f>IF(AND($K$630:$K$806&lt;&gt;"Natural/-",ISNUMBER(SEARCH($D$630:$D$806,Armas_Conocidas))),CONCATENATE($K$630:$K$806),"")</f>
        <v/>
      </c>
      <c r="AB630" s="1532" t="s">
        <v>8904</v>
      </c>
      <c r="AC630" s="1533" t="s">
        <v>1588</v>
      </c>
      <c r="AD630" s="1533" t="s">
        <v>8832</v>
      </c>
      <c r="AE630" s="1534" t="s">
        <v>8905</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Armas naturales</v>
      </c>
      <c r="AJ630" s="1419">
        <f>IF(OR($L630=AJ$627,$L630="",$D630=$AL$626),MAX(AJ$629:AJ629)+1,0)</f>
        <v>0</v>
      </c>
      <c r="AK630" s="1420">
        <f>IF(OR($L630=AK$627,$L630="",$D630=$AL$626),MAX(AK$629:AK629)+1,0)</f>
        <v>0</v>
      </c>
      <c r="AL630" s="1421">
        <f>IF(OR($L630=AL$627,$L630="",$D630=$AL$626),MAX(AL$629:AL629)+1,0)</f>
        <v>0</v>
      </c>
      <c r="AM630" s="5701"/>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Armas naturales</v>
      </c>
      <c r="AQ630" s="1419">
        <f>IF(OR($L630=AQ$627,$L630="",$D630=$AS$626),MAX(AQ$629:AQ629)+1,0)</f>
        <v>0</v>
      </c>
      <c r="AR630" s="1420">
        <f>IF(OR($L630=AR$627,$L630="",$D630=$AS$626),MAX(AR$629:AR629)+1,0)</f>
        <v>0</v>
      </c>
      <c r="AS630" s="1421">
        <f>IF(OR($L630=AS$627,$L630="",$D630=$AS$626),MAX(AS$629:AS629)+1,0)</f>
        <v>0</v>
      </c>
      <c r="AT630" s="5701"/>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Armas naturales</v>
      </c>
      <c r="AX630" s="1419">
        <f>IF(OR($L630=AX$627,$L630="",$D630=$AZ$626),MAX(AX$629:AX629)+1,0)</f>
        <v>0</v>
      </c>
      <c r="AY630" s="1420">
        <f>IF(OR($L630=AY$627,$L630="",$D630=$AZ$626),MAX(AY$629:AY629)+1,0)</f>
        <v>0</v>
      </c>
      <c r="AZ630" s="1421">
        <f>IF(OR($L630=AZ$627,$L630="",$D630=$AZ$626),MAX(AZ$629:AZ629)+1,0)</f>
        <v>0</v>
      </c>
      <c r="BA630" s="5701"/>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Armas naturales</v>
      </c>
      <c r="BE630" s="1419">
        <f>IF(OR($L630=BE$627,$L630="",$D630=$BG$626),MAX(BE$629:BE629)+1,0)</f>
        <v>0</v>
      </c>
      <c r="BF630" s="1420">
        <f>IF(OR($L630=BF$627,$L630="",$D630=$BG$626),MAX(BF$629:BF629)+1,0)</f>
        <v>0</v>
      </c>
      <c r="BG630" s="1421">
        <f>IF(OR($L630=BG$627,$L630="",$D630=$BG$626),MAX(BG$629:BG629)+1,0)</f>
        <v>0</v>
      </c>
      <c r="BH630" s="5701"/>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Armas naturales</v>
      </c>
      <c r="BL630" s="1419">
        <f>IF(OR($L630=BL$627,$L630="",$D630=$BN$626),MAX(BL$629:BL629)+1,0)</f>
        <v>0</v>
      </c>
      <c r="BM630" s="1420">
        <f>IF(OR($L630=BM$627,$L630="",$D630=$BN$626),MAX(BM$629:BM629)+1,0)</f>
        <v>0</v>
      </c>
      <c r="BN630" s="1421">
        <f>IF(OR($L630=BN$627,$L630="",$D630=$BN$626),MAX(BN$629:BN629)+1,0)</f>
        <v>0</v>
      </c>
      <c r="BO630" s="5701"/>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Armas naturales</v>
      </c>
      <c r="BS630" s="1419">
        <f>IF(OR($L630=BS$627,$L630="",$D630=$BU$626),MAX(BS$629:BS629)+1,0)</f>
        <v>0</v>
      </c>
      <c r="BT630" s="1420">
        <f>IF(OR($L630=BT$627,$L630="",$D630=$BU$626),MAX(BT$629:BT629)+1,0)</f>
        <v>0</v>
      </c>
      <c r="BU630" s="1421">
        <f>IF(OR($L630=BU$627,$L630="",$D630=$BU$626),MAX(BU$629:BU629)+1,0)</f>
        <v>0</v>
      </c>
    </row>
    <row r="631" spans="1:73" ht="12.75" customHeight="1" x14ac:dyDescent="0.2">
      <c r="A631" s="242">
        <v>631</v>
      </c>
      <c r="B631" s="5664"/>
      <c r="C631" s="1288"/>
      <c r="D631" s="1289" t="s">
        <v>1928</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12</v>
      </c>
      <c r="N631" s="1291">
        <f>IF(Raza="Ebudan","5",VLOOKUP(Tamaño,$W$47:$AF$54,9))</f>
        <v>0</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Arpón</v>
      </c>
      <c r="AH631" s="87" t="str">
        <f t="shared" si="68"/>
        <v>Alabarda</v>
      </c>
      <c r="AI631" s="87" t="str">
        <f t="shared" si="69"/>
        <v>Arma #1</v>
      </c>
      <c r="AJ631" s="1419">
        <f>IF(OR($L631=AJ$627,$L631="",$D631=$AL$626),MAX(AJ$629:AJ630)+1,0)</f>
        <v>0</v>
      </c>
      <c r="AK631" s="1420">
        <f>IF(OR($L631=AK$627,$L631="",$D631=$AL$626),MAX(AK$629:AK630)+1,0)</f>
        <v>0</v>
      </c>
      <c r="AL631" s="1421">
        <f>IF(OR($L631=AL$627,$L631="",$D631=$AL$626),MAX(AL$629:AL630)+1,0)</f>
        <v>1</v>
      </c>
      <c r="AM631" s="5701"/>
      <c r="AN631" s="961" t="str">
        <f t="shared" si="70"/>
        <v>Arpón</v>
      </c>
      <c r="AO631" s="87" t="str">
        <f t="shared" si="71"/>
        <v>Alabarda</v>
      </c>
      <c r="AP631" s="87" t="str">
        <f t="shared" si="72"/>
        <v>Arma #1</v>
      </c>
      <c r="AQ631" s="1419">
        <f>IF(OR($L631=AQ$627,$L631="",$D631=$AS$626),MAX(AQ$629:AQ630)+1,0)</f>
        <v>0</v>
      </c>
      <c r="AR631" s="1420">
        <f>IF(OR($L631=AR$627,$L631="",$D631=$AS$626),MAX(AR$629:AR630)+1,0)</f>
        <v>0</v>
      </c>
      <c r="AS631" s="1421">
        <f>IF(OR($L631=AS$627,$L631="",$D631=$AS$626),MAX(AS$629:AS630)+1,0)</f>
        <v>1</v>
      </c>
      <c r="AT631" s="5701"/>
      <c r="AU631" s="961" t="str">
        <f t="shared" si="73"/>
        <v>Arpón</v>
      </c>
      <c r="AV631" s="87" t="str">
        <f t="shared" si="74"/>
        <v>Alabarda</v>
      </c>
      <c r="AW631" s="87" t="str">
        <f t="shared" si="75"/>
        <v>Arma #1</v>
      </c>
      <c r="AX631" s="1419">
        <f>IF(OR($L631=AX$627,$L631="",$D631=$AZ$626),MAX(AX$629:AX630)+1,0)</f>
        <v>0</v>
      </c>
      <c r="AY631" s="1420">
        <f>IF(OR($L631=AY$627,$L631="",$D631=$AZ$626),MAX(AY$629:AY630)+1,0)</f>
        <v>0</v>
      </c>
      <c r="AZ631" s="1421">
        <f>IF(OR($L631=AZ$627,$L631="",$D631=$AZ$626),MAX(AZ$629:AZ630)+1,0)</f>
        <v>1</v>
      </c>
      <c r="BA631" s="5701"/>
      <c r="BB631" s="961" t="str">
        <f t="shared" si="76"/>
        <v>Arpón</v>
      </c>
      <c r="BC631" s="87" t="str">
        <f t="shared" si="77"/>
        <v>Alabarda</v>
      </c>
      <c r="BD631" s="87" t="str">
        <f t="shared" si="78"/>
        <v>Arma #1</v>
      </c>
      <c r="BE631" s="1419">
        <f>IF(OR($L631=BE$627,$L631="",$D631=$BG$626),MAX(BE$629:BE630)+1,0)</f>
        <v>0</v>
      </c>
      <c r="BF631" s="1420">
        <f>IF(OR($L631=BF$627,$L631="",$D631=$BG$626),MAX(BF$629:BF630)+1,0)</f>
        <v>0</v>
      </c>
      <c r="BG631" s="1421">
        <f>IF(OR($L631=BG$627,$L631="",$D631=$BG$626),MAX(BG$629:BG630)+1,0)</f>
        <v>1</v>
      </c>
      <c r="BH631" s="5701"/>
      <c r="BI631" s="961" t="str">
        <f t="shared" si="79"/>
        <v>Arpón</v>
      </c>
      <c r="BJ631" s="87" t="str">
        <f t="shared" si="80"/>
        <v>Alabarda</v>
      </c>
      <c r="BK631" s="87" t="str">
        <f t="shared" si="81"/>
        <v>Arma #1</v>
      </c>
      <c r="BL631" s="1419">
        <f>IF(OR($L631=BL$627,$L631="",$D631=$BN$626),MAX(BL$629:BL630)+1,0)</f>
        <v>0</v>
      </c>
      <c r="BM631" s="1420">
        <f>IF(OR($L631=BM$627,$L631="",$D631=$BN$626),MAX(BM$629:BM630)+1,0)</f>
        <v>0</v>
      </c>
      <c r="BN631" s="1421">
        <f>IF(OR($L631=BN$627,$L631="",$D631=$BN$626),MAX(BN$629:BN630)+1,0)</f>
        <v>1</v>
      </c>
      <c r="BO631" s="5701"/>
      <c r="BP631" s="961" t="str">
        <f t="shared" si="82"/>
        <v>Arpón</v>
      </c>
      <c r="BQ631" s="87" t="str">
        <f t="shared" si="83"/>
        <v>Alabarda</v>
      </c>
      <c r="BR631" s="87" t="str">
        <f t="shared" si="84"/>
        <v>Arma #1</v>
      </c>
      <c r="BS631" s="1419">
        <f>IF(OR($L631=BS$627,$L631="",$D631=$BU$626),MAX(BS$629:BS630)+1,0)</f>
        <v>0</v>
      </c>
      <c r="BT631" s="1420">
        <f>IF(OR($L631=BT$627,$L631="",$D631=$BU$626),MAX(BT$629:BT630)+1,0)</f>
        <v>0</v>
      </c>
      <c r="BU631" s="1421">
        <f>IF(OR($L631=BU$627,$L631="",$D631=$BU$626),MAX(BU$629:BU630)+1,0)</f>
        <v>1</v>
      </c>
    </row>
    <row r="632" spans="1:73" ht="12.75" customHeight="1" x14ac:dyDescent="0.2">
      <c r="A632" s="242">
        <v>632</v>
      </c>
      <c r="B632" s="5664"/>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Bastón de Combate</v>
      </c>
      <c r="AH632" s="87" t="str">
        <f t="shared" si="68"/>
        <v>Bec deCorbin</v>
      </c>
      <c r="AI632" s="87" t="str">
        <f t="shared" si="69"/>
        <v>Arma #2</v>
      </c>
      <c r="AJ632" s="1419">
        <f>IF(OR($L632=AJ$627,$L632="",$D632=$AL$626),MAX(AJ$629:AJ631)+1,0)</f>
        <v>0</v>
      </c>
      <c r="AK632" s="1420">
        <f>IF(OR($L632=AK$627,$L632="",$D632=$AL$626),MAX(AK$629:AK631)+1,0)</f>
        <v>0</v>
      </c>
      <c r="AL632" s="1421">
        <f>IF(OR($L632=AL$627,$L632="",$D632=$AL$626),MAX(AL$629:AL631)+1,0)</f>
        <v>2</v>
      </c>
      <c r="AM632" s="5701"/>
      <c r="AN632" s="961" t="str">
        <f t="shared" si="70"/>
        <v>Bastón de Combate</v>
      </c>
      <c r="AO632" s="87" t="str">
        <f t="shared" si="71"/>
        <v>Bec deCorbin</v>
      </c>
      <c r="AP632" s="87" t="str">
        <f t="shared" si="72"/>
        <v>Arma #2</v>
      </c>
      <c r="AQ632" s="1419">
        <f>IF(OR($L632=AQ$627,$L632="",$D632=$AS$626),MAX(AQ$629:AQ631)+1,0)</f>
        <v>0</v>
      </c>
      <c r="AR632" s="1420">
        <f>IF(OR($L632=AR$627,$L632="",$D632=$AS$626),MAX(AR$629:AR631)+1,0)</f>
        <v>0</v>
      </c>
      <c r="AS632" s="1421">
        <f>IF(OR($L632=AS$627,$L632="",$D632=$AS$626),MAX(AS$629:AS631)+1,0)</f>
        <v>2</v>
      </c>
      <c r="AT632" s="5701"/>
      <c r="AU632" s="961" t="str">
        <f t="shared" si="73"/>
        <v>Bastón de Combate</v>
      </c>
      <c r="AV632" s="87" t="str">
        <f t="shared" si="74"/>
        <v>Bec deCorbin</v>
      </c>
      <c r="AW632" s="87" t="str">
        <f t="shared" si="75"/>
        <v>Arma #2</v>
      </c>
      <c r="AX632" s="1419">
        <f>IF(OR($L632=AX$627,$L632="",$D632=$AZ$626),MAX(AX$629:AX631)+1,0)</f>
        <v>0</v>
      </c>
      <c r="AY632" s="1420">
        <f>IF(OR($L632=AY$627,$L632="",$D632=$AZ$626),MAX(AY$629:AY631)+1,0)</f>
        <v>0</v>
      </c>
      <c r="AZ632" s="1421">
        <f>IF(OR($L632=AZ$627,$L632="",$D632=$AZ$626),MAX(AZ$629:AZ631)+1,0)</f>
        <v>2</v>
      </c>
      <c r="BA632" s="5701"/>
      <c r="BB632" s="961" t="str">
        <f t="shared" si="76"/>
        <v>Bastón de Combate</v>
      </c>
      <c r="BC632" s="87" t="str">
        <f t="shared" si="77"/>
        <v>Bec deCorbin</v>
      </c>
      <c r="BD632" s="87" t="str">
        <f t="shared" si="78"/>
        <v>Arma #2</v>
      </c>
      <c r="BE632" s="1419">
        <f>IF(OR($L632=BE$627,$L632="",$D632=$BG$626),MAX(BE$629:BE631)+1,0)</f>
        <v>0</v>
      </c>
      <c r="BF632" s="1420">
        <f>IF(OR($L632=BF$627,$L632="",$D632=$BG$626),MAX(BF$629:BF631)+1,0)</f>
        <v>0</v>
      </c>
      <c r="BG632" s="1421">
        <f>IF(OR($L632=BG$627,$L632="",$D632=$BG$626),MAX(BG$629:BG631)+1,0)</f>
        <v>2</v>
      </c>
      <c r="BH632" s="5701"/>
      <c r="BI632" s="961" t="str">
        <f t="shared" si="79"/>
        <v>Bastón de Combate</v>
      </c>
      <c r="BJ632" s="87" t="str">
        <f t="shared" si="80"/>
        <v>Bec deCorbin</v>
      </c>
      <c r="BK632" s="87" t="str">
        <f t="shared" si="81"/>
        <v>Arma #2</v>
      </c>
      <c r="BL632" s="1419">
        <f>IF(OR($L632=BL$627,$L632="",$D632=$BN$626),MAX(BL$629:BL631)+1,0)</f>
        <v>0</v>
      </c>
      <c r="BM632" s="1420">
        <f>IF(OR($L632=BM$627,$L632="",$D632=$BN$626),MAX(BM$629:BM631)+1,0)</f>
        <v>0</v>
      </c>
      <c r="BN632" s="1421">
        <f>IF(OR($L632=BN$627,$L632="",$D632=$BN$626),MAX(BN$629:BN631)+1,0)</f>
        <v>2</v>
      </c>
      <c r="BO632" s="5701"/>
      <c r="BP632" s="961" t="str">
        <f t="shared" si="82"/>
        <v>Bastón de Combate</v>
      </c>
      <c r="BQ632" s="87" t="str">
        <f t="shared" si="83"/>
        <v>Bec deCorbin</v>
      </c>
      <c r="BR632" s="87" t="str">
        <f t="shared" si="84"/>
        <v>Arma #2</v>
      </c>
      <c r="BS632" s="1419">
        <f>IF(OR($L632=BS$627,$L632="",$D632=$BU$626),MAX(BS$629:BS631)+1,0)</f>
        <v>0</v>
      </c>
      <c r="BT632" s="1420">
        <f>IF(OR($L632=BT$627,$L632="",$D632=$BU$626),MAX(BT$629:BT631)+1,0)</f>
        <v>0</v>
      </c>
      <c r="BU632" s="1421">
        <f>IF(OR($L632=BU$627,$L632="",$D632=$BU$626),MAX(BU$629:BU631)+1,0)</f>
        <v>2</v>
      </c>
    </row>
    <row r="633" spans="1:73" ht="12.75" customHeight="1" x14ac:dyDescent="0.2">
      <c r="A633" s="242">
        <v>633</v>
      </c>
      <c r="B633" s="5664"/>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Berdiche</v>
      </c>
      <c r="AH633" s="87" t="str">
        <f t="shared" si="68"/>
        <v>Guadaña</v>
      </c>
      <c r="AI633" s="87" t="str">
        <f t="shared" si="69"/>
        <v>Arma #3</v>
      </c>
      <c r="AJ633" s="1419">
        <f>IF(OR($L633=AJ$627,$L633="",$D633=$AL$626),MAX(AJ$629:AJ632)+1,0)</f>
        <v>0</v>
      </c>
      <c r="AK633" s="1420">
        <f>IF(OR($L633=AK$627,$L633="",$D633=$AL$626),MAX(AK$629:AK632)+1,0)</f>
        <v>0</v>
      </c>
      <c r="AL633" s="1421">
        <f>IF(OR($L633=AL$627,$L633="",$D633=$AL$626),MAX(AL$629:AL632)+1,0)</f>
        <v>3</v>
      </c>
      <c r="AM633" s="5701"/>
      <c r="AN633" s="961" t="str">
        <f t="shared" si="70"/>
        <v>Berdiche</v>
      </c>
      <c r="AO633" s="87" t="str">
        <f t="shared" si="71"/>
        <v>Guadaña</v>
      </c>
      <c r="AP633" s="87" t="str">
        <f t="shared" si="72"/>
        <v>Arma #3</v>
      </c>
      <c r="AQ633" s="1419">
        <f>IF(OR($L633=AQ$627,$L633="",$D633=$AS$626),MAX(AQ$629:AQ632)+1,0)</f>
        <v>0</v>
      </c>
      <c r="AR633" s="1420">
        <f>IF(OR($L633=AR$627,$L633="",$D633=$AS$626),MAX(AR$629:AR632)+1,0)</f>
        <v>0</v>
      </c>
      <c r="AS633" s="1421">
        <f>IF(OR($L633=AS$627,$L633="",$D633=$AS$626),MAX(AS$629:AS632)+1,0)</f>
        <v>3</v>
      </c>
      <c r="AT633" s="5701"/>
      <c r="AU633" s="961" t="str">
        <f t="shared" si="73"/>
        <v>Berdiche</v>
      </c>
      <c r="AV633" s="87" t="str">
        <f t="shared" si="74"/>
        <v>Guadaña</v>
      </c>
      <c r="AW633" s="87" t="str">
        <f t="shared" si="75"/>
        <v>Arma #3</v>
      </c>
      <c r="AX633" s="1419">
        <f>IF(OR($L633=AX$627,$L633="",$D633=$AZ$626),MAX(AX$629:AX632)+1,0)</f>
        <v>0</v>
      </c>
      <c r="AY633" s="1420">
        <f>IF(OR($L633=AY$627,$L633="",$D633=$AZ$626),MAX(AY$629:AY632)+1,0)</f>
        <v>0</v>
      </c>
      <c r="AZ633" s="1421">
        <f>IF(OR($L633=AZ$627,$L633="",$D633=$AZ$626),MAX(AZ$629:AZ632)+1,0)</f>
        <v>3</v>
      </c>
      <c r="BA633" s="5701"/>
      <c r="BB633" s="961" t="str">
        <f t="shared" si="76"/>
        <v>Berdiche</v>
      </c>
      <c r="BC633" s="87" t="str">
        <f t="shared" si="77"/>
        <v>Guadaña</v>
      </c>
      <c r="BD633" s="87" t="str">
        <f t="shared" si="78"/>
        <v>Arma #3</v>
      </c>
      <c r="BE633" s="1419">
        <f>IF(OR($L633=BE$627,$L633="",$D633=$BG$626),MAX(BE$629:BE632)+1,0)</f>
        <v>0</v>
      </c>
      <c r="BF633" s="1420">
        <f>IF(OR($L633=BF$627,$L633="",$D633=$BG$626),MAX(BF$629:BF632)+1,0)</f>
        <v>0</v>
      </c>
      <c r="BG633" s="1421">
        <f>IF(OR($L633=BG$627,$L633="",$D633=$BG$626),MAX(BG$629:BG632)+1,0)</f>
        <v>3</v>
      </c>
      <c r="BH633" s="5701"/>
      <c r="BI633" s="961" t="str">
        <f t="shared" si="79"/>
        <v>Berdiche</v>
      </c>
      <c r="BJ633" s="87" t="str">
        <f t="shared" si="80"/>
        <v>Guadaña</v>
      </c>
      <c r="BK633" s="87" t="str">
        <f t="shared" si="81"/>
        <v>Arma #3</v>
      </c>
      <c r="BL633" s="1419">
        <f>IF(OR($L633=BL$627,$L633="",$D633=$BN$626),MAX(BL$629:BL632)+1,0)</f>
        <v>0</v>
      </c>
      <c r="BM633" s="1420">
        <f>IF(OR($L633=BM$627,$L633="",$D633=$BN$626),MAX(BM$629:BM632)+1,0)</f>
        <v>0</v>
      </c>
      <c r="BN633" s="1421">
        <f>IF(OR($L633=BN$627,$L633="",$D633=$BN$626),MAX(BN$629:BN632)+1,0)</f>
        <v>3</v>
      </c>
      <c r="BO633" s="5701"/>
      <c r="BP633" s="961" t="str">
        <f t="shared" si="82"/>
        <v>Berdiche</v>
      </c>
      <c r="BQ633" s="87" t="str">
        <f t="shared" si="83"/>
        <v>Guadaña</v>
      </c>
      <c r="BR633" s="87" t="str">
        <f t="shared" si="84"/>
        <v>Arma #3</v>
      </c>
      <c r="BS633" s="1419">
        <f>IF(OR($L633=BS$627,$L633="",$D633=$BU$626),MAX(BS$629:BS632)+1,0)</f>
        <v>0</v>
      </c>
      <c r="BT633" s="1420">
        <f>IF(OR($L633=BT$627,$L633="",$D633=$BU$626),MAX(BT$629:BT632)+1,0)</f>
        <v>0</v>
      </c>
      <c r="BU633" s="1421">
        <f>IF(OR($L633=BU$627,$L633="",$D633=$BU$626),MAX(BU$629:BU632)+1,0)</f>
        <v>3</v>
      </c>
    </row>
    <row r="634" spans="1:73" ht="12.75" customHeight="1" x14ac:dyDescent="0.2">
      <c r="A634" s="242">
        <v>634</v>
      </c>
      <c r="B634" s="5664"/>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Brandistock</v>
      </c>
      <c r="AH634" s="87" t="str">
        <f t="shared" si="68"/>
        <v>Valaska</v>
      </c>
      <c r="AI634" s="87" t="str">
        <f t="shared" si="69"/>
        <v>&gt; ARMAS COMUNES</v>
      </c>
      <c r="AJ634" s="1419">
        <f>IF(OR($L634=AJ$627,$L634="",$D634=$AL$626),MAX(AJ$629:AJ633)+1,0)</f>
        <v>0</v>
      </c>
      <c r="AK634" s="1420">
        <f>IF(OR($L634=AK$627,$L634="",$D634=$AL$626),MAX(AK$629:AK633)+1,0)</f>
        <v>0</v>
      </c>
      <c r="AL634" s="1421">
        <f>IF(OR($L634=AL$627,$L634="",$D634=$AL$626),MAX(AL$629:AL633)+1,0)</f>
        <v>4</v>
      </c>
      <c r="AM634" s="5701"/>
      <c r="AN634" s="961" t="str">
        <f t="shared" si="70"/>
        <v>Brandistock</v>
      </c>
      <c r="AO634" s="87" t="str">
        <f t="shared" si="71"/>
        <v>Valaska</v>
      </c>
      <c r="AP634" s="87" t="str">
        <f t="shared" si="72"/>
        <v>&gt; ARMAS COMUNES</v>
      </c>
      <c r="AQ634" s="1419">
        <f>IF(OR($L634=AQ$627,$L634="",$D634=$AS$626),MAX(AQ$629:AQ633)+1,0)</f>
        <v>0</v>
      </c>
      <c r="AR634" s="1420">
        <f>IF(OR($L634=AR$627,$L634="",$D634=$AS$626),MAX(AR$629:AR633)+1,0)</f>
        <v>0</v>
      </c>
      <c r="AS634" s="1421">
        <f>IF(OR($L634=AS$627,$L634="",$D634=$AS$626),MAX(AS$629:AS633)+1,0)</f>
        <v>4</v>
      </c>
      <c r="AT634" s="5701"/>
      <c r="AU634" s="961" t="str">
        <f t="shared" si="73"/>
        <v>Brandistock</v>
      </c>
      <c r="AV634" s="87" t="str">
        <f t="shared" si="74"/>
        <v>Valaska</v>
      </c>
      <c r="AW634" s="87" t="str">
        <f t="shared" si="75"/>
        <v>&gt; ARMAS COMUNES</v>
      </c>
      <c r="AX634" s="1419">
        <f>IF(OR($L634=AX$627,$L634="",$D634=$AZ$626),MAX(AX$629:AX633)+1,0)</f>
        <v>0</v>
      </c>
      <c r="AY634" s="1420">
        <f>IF(OR($L634=AY$627,$L634="",$D634=$AZ$626),MAX(AY$629:AY633)+1,0)</f>
        <v>0</v>
      </c>
      <c r="AZ634" s="1421">
        <f>IF(OR($L634=AZ$627,$L634="",$D634=$AZ$626),MAX(AZ$629:AZ633)+1,0)</f>
        <v>4</v>
      </c>
      <c r="BA634" s="5701"/>
      <c r="BB634" s="961" t="str">
        <f t="shared" si="76"/>
        <v>Brandistock</v>
      </c>
      <c r="BC634" s="87" t="str">
        <f t="shared" si="77"/>
        <v>Valaska</v>
      </c>
      <c r="BD634" s="87" t="str">
        <f t="shared" si="78"/>
        <v>&gt; ARMAS COMUNES</v>
      </c>
      <c r="BE634" s="1419">
        <f>IF(OR($L634=BE$627,$L634="",$D634=$BG$626),MAX(BE$629:BE633)+1,0)</f>
        <v>0</v>
      </c>
      <c r="BF634" s="1420">
        <f>IF(OR($L634=BF$627,$L634="",$D634=$BG$626),MAX(BF$629:BF633)+1,0)</f>
        <v>0</v>
      </c>
      <c r="BG634" s="1421">
        <f>IF(OR($L634=BG$627,$L634="",$D634=$BG$626),MAX(BG$629:BG633)+1,0)</f>
        <v>4</v>
      </c>
      <c r="BH634" s="5701"/>
      <c r="BI634" s="961" t="str">
        <f t="shared" si="79"/>
        <v>Brandistock</v>
      </c>
      <c r="BJ634" s="87" t="str">
        <f t="shared" si="80"/>
        <v>Valaska</v>
      </c>
      <c r="BK634" s="87" t="str">
        <f t="shared" si="81"/>
        <v>&gt; ARMAS COMUNES</v>
      </c>
      <c r="BL634" s="1419">
        <f>IF(OR($L634=BL$627,$L634="",$D634=$BN$626),MAX(BL$629:BL633)+1,0)</f>
        <v>0</v>
      </c>
      <c r="BM634" s="1420">
        <f>IF(OR($L634=BM$627,$L634="",$D634=$BN$626),MAX(BM$629:BM633)+1,0)</f>
        <v>0</v>
      </c>
      <c r="BN634" s="1421">
        <f>IF(OR($L634=BN$627,$L634="",$D634=$BN$626),MAX(BN$629:BN633)+1,0)</f>
        <v>4</v>
      </c>
      <c r="BO634" s="5701"/>
      <c r="BP634" s="961" t="str">
        <f t="shared" si="82"/>
        <v>Brandistock</v>
      </c>
      <c r="BQ634" s="87" t="str">
        <f t="shared" si="83"/>
        <v>Valaska</v>
      </c>
      <c r="BR634" s="87" t="str">
        <f t="shared" si="84"/>
        <v>&gt; ARMAS COMUNES</v>
      </c>
      <c r="BS634" s="1419">
        <f>IF(OR($L634=BS$627,$L634="",$D634=$BU$626),MAX(BS$629:BS633)+1,0)</f>
        <v>0</v>
      </c>
      <c r="BT634" s="1420">
        <f>IF(OR($L634=BT$627,$L634="",$D634=$BU$626),MAX(BT$629:BT633)+1,0)</f>
        <v>0</v>
      </c>
      <c r="BU634" s="1421">
        <f>IF(OR($L634=BU$627,$L634="",$D634=$BU$626),MAX(BU$629:BU633)+1,0)</f>
        <v>4</v>
      </c>
    </row>
    <row r="635" spans="1:73" ht="12.75" customHeight="1" x14ac:dyDescent="0.2">
      <c r="A635" s="242">
        <v>635</v>
      </c>
      <c r="B635" s="5664"/>
      <c r="C635" s="1288"/>
      <c r="D635" s="1289" t="s">
        <v>2143</v>
      </c>
      <c r="E635" s="1293"/>
      <c r="F635" s="1293"/>
      <c r="G635" s="1293"/>
      <c r="H635" s="1293"/>
      <c r="I635" s="1293"/>
      <c r="J635" s="1293"/>
      <c r="K635" s="1050" t="s">
        <v>7517</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2143</v>
      </c>
      <c r="AD635" s="1538" t="str">
        <f>$D$631</f>
        <v>Armas naturales</v>
      </c>
      <c r="AE635" s="962" t="s">
        <v>2231</v>
      </c>
      <c r="AF635" s="1537"/>
      <c r="AG635" s="961" t="str">
        <f t="shared" si="67"/>
        <v>Glavius</v>
      </c>
      <c r="AH635" s="87" t="str">
        <f t="shared" si="68"/>
        <v>&gt; ESCUDOS</v>
      </c>
      <c r="AI635" s="87" t="str">
        <f t="shared" si="69"/>
        <v>Bolas</v>
      </c>
      <c r="AJ635" s="1419">
        <f>IF(OR($L635=AJ$627,$L635="",$D635=$AL$626),MAX(AJ$629:AJ634)+1,0)</f>
        <v>1</v>
      </c>
      <c r="AK635" s="1420">
        <f>IF(OR($L635=AK$627,$L635="",$D635=$AL$626),MAX(AK$629:AK634)+1,0)</f>
        <v>1</v>
      </c>
      <c r="AL635" s="1421">
        <f>IF(OR($L635=AL$627,$L635="",$D635=$AL$626),MAX(AL$629:AL634)+1,0)</f>
        <v>5</v>
      </c>
      <c r="AM635" s="5701"/>
      <c r="AN635" s="961" t="str">
        <f t="shared" si="70"/>
        <v>Glavius</v>
      </c>
      <c r="AO635" s="87" t="str">
        <f t="shared" si="71"/>
        <v>&gt; ESCUDOS</v>
      </c>
      <c r="AP635" s="87" t="str">
        <f t="shared" si="72"/>
        <v>Bolas</v>
      </c>
      <c r="AQ635" s="1419">
        <f>IF(OR($L635=AQ$627,$L635="",$D635=$AS$626),MAX(AQ$629:AQ634)+1,0)</f>
        <v>1</v>
      </c>
      <c r="AR635" s="1420">
        <f>IF(OR($L635=AR$627,$L635="",$D635=$AS$626),MAX(AR$629:AR634)+1,0)</f>
        <v>1</v>
      </c>
      <c r="AS635" s="1421">
        <f>IF(OR($L635=AS$627,$L635="",$D635=$AS$626),MAX(AS$629:AS634)+1,0)</f>
        <v>5</v>
      </c>
      <c r="AT635" s="5701"/>
      <c r="AU635" s="961" t="str">
        <f t="shared" si="73"/>
        <v>Glavius</v>
      </c>
      <c r="AV635" s="87" t="str">
        <f t="shared" si="74"/>
        <v>&gt; ESCUDOS</v>
      </c>
      <c r="AW635" s="87" t="str">
        <f t="shared" si="75"/>
        <v>Bolas</v>
      </c>
      <c r="AX635" s="1419">
        <f>IF(OR($L635=AX$627,$L635="",$D635=$AZ$626),MAX(AX$629:AX634)+1,0)</f>
        <v>1</v>
      </c>
      <c r="AY635" s="1420">
        <f>IF(OR($L635=AY$627,$L635="",$D635=$AZ$626),MAX(AY$629:AY634)+1,0)</f>
        <v>1</v>
      </c>
      <c r="AZ635" s="1421">
        <f>IF(OR($L635=AZ$627,$L635="",$D635=$AZ$626),MAX(AZ$629:AZ634)+1,0)</f>
        <v>5</v>
      </c>
      <c r="BA635" s="5701"/>
      <c r="BB635" s="961" t="str">
        <f t="shared" si="76"/>
        <v>Glavius</v>
      </c>
      <c r="BC635" s="87" t="str">
        <f t="shared" si="77"/>
        <v>&gt; ESCUDOS</v>
      </c>
      <c r="BD635" s="87" t="str">
        <f t="shared" si="78"/>
        <v>Bolas</v>
      </c>
      <c r="BE635" s="1419">
        <f>IF(OR($L635=BE$627,$L635="",$D635=$BG$626),MAX(BE$629:BE634)+1,0)</f>
        <v>1</v>
      </c>
      <c r="BF635" s="1420">
        <f>IF(OR($L635=BF$627,$L635="",$D635=$BG$626),MAX(BF$629:BF634)+1,0)</f>
        <v>1</v>
      </c>
      <c r="BG635" s="1421">
        <f>IF(OR($L635=BG$627,$L635="",$D635=$BG$626),MAX(BG$629:BG634)+1,0)</f>
        <v>5</v>
      </c>
      <c r="BH635" s="5701"/>
      <c r="BI635" s="961" t="str">
        <f t="shared" si="79"/>
        <v>Glavius</v>
      </c>
      <c r="BJ635" s="87" t="str">
        <f t="shared" si="80"/>
        <v>&gt; ESCUDOS</v>
      </c>
      <c r="BK635" s="87" t="str">
        <f t="shared" si="81"/>
        <v>Bolas</v>
      </c>
      <c r="BL635" s="1419">
        <f>IF(OR($L635=BL$627,$L635="",$D635=$BN$626),MAX(BL$629:BL634)+1,0)</f>
        <v>1</v>
      </c>
      <c r="BM635" s="1420">
        <f>IF(OR($L635=BM$627,$L635="",$D635=$BN$626),MAX(BM$629:BM634)+1,0)</f>
        <v>1</v>
      </c>
      <c r="BN635" s="1421">
        <f>IF(OR($L635=BN$627,$L635="",$D635=$BN$626),MAX(BN$629:BN634)+1,0)</f>
        <v>5</v>
      </c>
      <c r="BO635" s="5701"/>
      <c r="BP635" s="961" t="str">
        <f t="shared" si="82"/>
        <v>Glavius</v>
      </c>
      <c r="BQ635" s="87" t="str">
        <f t="shared" si="83"/>
        <v>&gt; ESCUDOS</v>
      </c>
      <c r="BR635" s="87" t="str">
        <f t="shared" si="84"/>
        <v>Bolas</v>
      </c>
      <c r="BS635" s="1419">
        <f>IF(OR($L635=BS$627,$L635="",$D635=$BU$626),MAX(BS$629:BS634)+1,0)</f>
        <v>1</v>
      </c>
      <c r="BT635" s="1420">
        <f>IF(OR($L635=BT$627,$L635="",$D635=$BU$626),MAX(BT$629:BT634)+1,0)</f>
        <v>1</v>
      </c>
      <c r="BU635" s="1421">
        <f>IF(OR($L635=BU$627,$L635="",$D635=$BU$626),MAX(BU$629:BU634)+1,0)</f>
        <v>5</v>
      </c>
    </row>
    <row r="636" spans="1:73" ht="12.75" customHeight="1" x14ac:dyDescent="0.2">
      <c r="A636" s="242">
        <v>636</v>
      </c>
      <c r="B636" s="5664"/>
      <c r="C636" s="1288"/>
      <c r="D636" s="1289" t="s">
        <v>2144</v>
      </c>
      <c r="E636" s="1295">
        <v>60</v>
      </c>
      <c r="F636" s="1287">
        <v>-15</v>
      </c>
      <c r="G636" s="1287">
        <v>11</v>
      </c>
      <c r="H636" s="1287">
        <v>6</v>
      </c>
      <c r="I636" s="1287" t="s">
        <v>1560</v>
      </c>
      <c r="J636" s="1287" t="s">
        <v>1506</v>
      </c>
      <c r="K636" s="1281" t="s">
        <v>7518</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Mixta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2143</v>
      </c>
      <c r="AC636" s="87" t="s">
        <v>2144</v>
      </c>
      <c r="AD636" s="1535" t="s">
        <v>2231</v>
      </c>
      <c r="AE636" s="962" t="s">
        <v>2232</v>
      </c>
      <c r="AF636" s="1537"/>
      <c r="AG636" s="961" t="str">
        <f t="shared" si="67"/>
        <v>Goedendag</v>
      </c>
      <c r="AH636" s="87" t="str">
        <f t="shared" si="68"/>
        <v>&gt; ARMAS EXÓTICAS</v>
      </c>
      <c r="AI636" s="87" t="str">
        <f t="shared" si="69"/>
        <v>Boleadoras</v>
      </c>
      <c r="AJ636" s="1419">
        <f>IF(OR($L636=AJ$627,$L636="",$D636=$AL$626),MAX(AJ$629:AJ635)+1,0)</f>
        <v>0</v>
      </c>
      <c r="AK636" s="1420">
        <f>IF(OR($L636=AK$627,$L636="",$D636=$AL$626),MAX(AK$629:AK635)+1,0)</f>
        <v>2</v>
      </c>
      <c r="AL636" s="1421">
        <f>IF(OR($L636=AL$627,$L636="",$D636=$AL$626),MAX(AL$629:AL635)+1,0)</f>
        <v>0</v>
      </c>
      <c r="AM636" s="5701"/>
      <c r="AN636" s="961" t="str">
        <f t="shared" si="70"/>
        <v>Goedendag</v>
      </c>
      <c r="AO636" s="87" t="str">
        <f t="shared" si="71"/>
        <v>&gt; ARMAS EXÓTICAS</v>
      </c>
      <c r="AP636" s="87" t="str">
        <f t="shared" si="72"/>
        <v>Boleadoras</v>
      </c>
      <c r="AQ636" s="1419">
        <f>IF(OR($L636=AQ$627,$L636="",$D636=$AS$626),MAX(AQ$629:AQ635)+1,0)</f>
        <v>0</v>
      </c>
      <c r="AR636" s="1420">
        <f>IF(OR($L636=AR$627,$L636="",$D636=$AS$626),MAX(AR$629:AR635)+1,0)</f>
        <v>2</v>
      </c>
      <c r="AS636" s="1421">
        <f>IF(OR($L636=AS$627,$L636="",$D636=$AS$626),MAX(AS$629:AS635)+1,0)</f>
        <v>0</v>
      </c>
      <c r="AT636" s="5701"/>
      <c r="AU636" s="961" t="str">
        <f t="shared" si="73"/>
        <v>Goedendag</v>
      </c>
      <c r="AV636" s="87" t="str">
        <f t="shared" si="74"/>
        <v>&gt; ARMAS EXÓTICAS</v>
      </c>
      <c r="AW636" s="87" t="str">
        <f t="shared" si="75"/>
        <v>Boleadoras</v>
      </c>
      <c r="AX636" s="1419">
        <f>IF(OR($L636=AX$627,$L636="",$D636=$AZ$626),MAX(AX$629:AX635)+1,0)</f>
        <v>0</v>
      </c>
      <c r="AY636" s="1420">
        <f>IF(OR($L636=AY$627,$L636="",$D636=$AZ$626),MAX(AY$629:AY635)+1,0)</f>
        <v>2</v>
      </c>
      <c r="AZ636" s="1421">
        <f>IF(OR($L636=AZ$627,$L636="",$D636=$AZ$626),MAX(AZ$629:AZ635)+1,0)</f>
        <v>0</v>
      </c>
      <c r="BA636" s="5701"/>
      <c r="BB636" s="961" t="str">
        <f t="shared" si="76"/>
        <v>Goedendag</v>
      </c>
      <c r="BC636" s="87" t="str">
        <f t="shared" si="77"/>
        <v>&gt; ARMAS EXÓTICAS</v>
      </c>
      <c r="BD636" s="87" t="str">
        <f t="shared" si="78"/>
        <v>Boleadoras</v>
      </c>
      <c r="BE636" s="1419">
        <f>IF(OR($L636=BE$627,$L636="",$D636=$BG$626),MAX(BE$629:BE635)+1,0)</f>
        <v>0</v>
      </c>
      <c r="BF636" s="1420">
        <f>IF(OR($L636=BF$627,$L636="",$D636=$BG$626),MAX(BF$629:BF635)+1,0)</f>
        <v>2</v>
      </c>
      <c r="BG636" s="1421">
        <f>IF(OR($L636=BG$627,$L636="",$D636=$BG$626),MAX(BG$629:BG635)+1,0)</f>
        <v>0</v>
      </c>
      <c r="BH636" s="5701"/>
      <c r="BI636" s="961" t="str">
        <f t="shared" si="79"/>
        <v>Goedendag</v>
      </c>
      <c r="BJ636" s="87" t="str">
        <f t="shared" si="80"/>
        <v>&gt; ARMAS EXÓTICAS</v>
      </c>
      <c r="BK636" s="87" t="str">
        <f t="shared" si="81"/>
        <v>Boleadoras</v>
      </c>
      <c r="BL636" s="1419">
        <f>IF(OR($L636=BL$627,$L636="",$D636=$BN$626),MAX(BL$629:BL635)+1,0)</f>
        <v>0</v>
      </c>
      <c r="BM636" s="1420">
        <f>IF(OR($L636=BM$627,$L636="",$D636=$BN$626),MAX(BM$629:BM635)+1,0)</f>
        <v>2</v>
      </c>
      <c r="BN636" s="1421">
        <f>IF(OR($L636=BN$627,$L636="",$D636=$BN$626),MAX(BN$629:BN635)+1,0)</f>
        <v>0</v>
      </c>
      <c r="BO636" s="5701"/>
      <c r="BP636" s="961" t="str">
        <f t="shared" si="82"/>
        <v>Goedendag</v>
      </c>
      <c r="BQ636" s="87" t="str">
        <f t="shared" si="83"/>
        <v>&gt; ARMAS EXÓTICAS</v>
      </c>
      <c r="BR636" s="87" t="str">
        <f t="shared" si="84"/>
        <v>Boleadoras</v>
      </c>
      <c r="BS636" s="1419">
        <f>IF(OR($L636=BS$627,$L636="",$D636=$BU$626),MAX(BS$629:BS635)+1,0)</f>
        <v>0</v>
      </c>
      <c r="BT636" s="1420">
        <f>IF(OR($L636=BT$627,$L636="",$D636=$BU$626),MAX(BT$629:BT635)+1,0)</f>
        <v>2</v>
      </c>
      <c r="BU636" s="1421">
        <f>IF(OR($L636=BU$627,$L636="",$D636=$BU$626),MAX(BU$629:BU635)+1,0)</f>
        <v>0</v>
      </c>
    </row>
    <row r="637" spans="1:73" ht="12.75" customHeight="1" x14ac:dyDescent="0.2">
      <c r="A637" s="242">
        <v>637</v>
      </c>
      <c r="B637" s="5664"/>
      <c r="C637" s="1288"/>
      <c r="D637" s="1289" t="s">
        <v>2147</v>
      </c>
      <c r="E637" s="1295">
        <v>35</v>
      </c>
      <c r="F637" s="1287">
        <v>-5</v>
      </c>
      <c r="G637" s="1287">
        <v>5</v>
      </c>
      <c r="H637" s="1287">
        <v>5</v>
      </c>
      <c r="I637" s="1287" t="s">
        <v>1561</v>
      </c>
      <c r="J637" s="1287" t="s">
        <v>1464</v>
      </c>
      <c r="K637" s="1281" t="s">
        <v>7519</v>
      </c>
      <c r="L637" s="1287" t="str">
        <f t="shared" si="88"/>
        <v>Similar</v>
      </c>
      <c r="M637" s="1296">
        <v>11</v>
      </c>
      <c r="N637" s="1296">
        <v>0</v>
      </c>
      <c r="O637" s="1296">
        <v>15</v>
      </c>
      <c r="P637" s="1287"/>
      <c r="Q637" s="1287"/>
      <c r="R637" s="1296">
        <v>100</v>
      </c>
      <c r="S637" s="1287" t="s">
        <v>1464</v>
      </c>
      <c r="T637" s="1287">
        <v>20</v>
      </c>
      <c r="U637" s="1287"/>
      <c r="V637" s="1281" t="s">
        <v>8848</v>
      </c>
      <c r="W637" s="1281"/>
      <c r="X637" s="1282" t="str">
        <f t="shared" ref="X637:X700" si="89">IF(K637="/","",IF(OR(ISNUMBER(FIND("Mandoble",K637)),ISNUMBER(FIND("Asta",K637))),"Grande",IF(ISNUMBER(FIND("Corta",K637)),"Pequeña","Mediana")))</f>
        <v>Grande</v>
      </c>
      <c r="Z637" s="1418" t="str">
        <f t="shared" si="87"/>
        <v/>
      </c>
      <c r="AB637" s="961" t="s">
        <v>2147</v>
      </c>
      <c r="AC637" s="87" t="s">
        <v>2147</v>
      </c>
      <c r="AD637" s="1536" t="s">
        <v>8834</v>
      </c>
      <c r="AE637" s="962" t="s">
        <v>2234</v>
      </c>
      <c r="AF637" s="1537"/>
      <c r="AG637" s="961" t="str">
        <f t="shared" si="67"/>
        <v>Guandao</v>
      </c>
      <c r="AH637" s="87" t="str">
        <f t="shared" si="68"/>
        <v>&gt; A. DE PROYECTILES</v>
      </c>
      <c r="AI637" s="87" t="str">
        <f t="shared" si="69"/>
        <v>Bracamarte</v>
      </c>
      <c r="AJ637" s="1419">
        <f>IF(OR($L637=AJ$627,$L637="",$D637=$AL$626),MAX(AJ$629:AJ636)+1,0)</f>
        <v>2</v>
      </c>
      <c r="AK637" s="1420">
        <f>IF(OR($L637=AK$627,$L637="",$D637=$AL$626),MAX(AK$629:AK636)+1,0)</f>
        <v>0</v>
      </c>
      <c r="AL637" s="1421">
        <f>IF(OR($L637=AL$627,$L637="",$D637=$AL$626),MAX(AL$629:AL636)+1,0)</f>
        <v>0</v>
      </c>
      <c r="AM637" s="5701"/>
      <c r="AN637" s="961" t="str">
        <f t="shared" si="70"/>
        <v>Guandao</v>
      </c>
      <c r="AO637" s="87" t="str">
        <f t="shared" si="71"/>
        <v>&gt; A. DE PROYECTILES</v>
      </c>
      <c r="AP637" s="87" t="str">
        <f t="shared" si="72"/>
        <v>Bracamarte</v>
      </c>
      <c r="AQ637" s="1419">
        <f>IF(OR($L637=AQ$627,$L637="",$D637=$AS$626),MAX(AQ$629:AQ636)+1,0)</f>
        <v>2</v>
      </c>
      <c r="AR637" s="1420">
        <f>IF(OR($L637=AR$627,$L637="",$D637=$AS$626),MAX(AR$629:AR636)+1,0)</f>
        <v>0</v>
      </c>
      <c r="AS637" s="1421">
        <f>IF(OR($L637=AS$627,$L637="",$D637=$AS$626),MAX(AS$629:AS636)+1,0)</f>
        <v>0</v>
      </c>
      <c r="AT637" s="5701"/>
      <c r="AU637" s="961" t="str">
        <f t="shared" si="73"/>
        <v>Guandao</v>
      </c>
      <c r="AV637" s="87" t="str">
        <f t="shared" si="74"/>
        <v>&gt; A. DE PROYECTILES</v>
      </c>
      <c r="AW637" s="87" t="str">
        <f t="shared" si="75"/>
        <v>Bracamarte</v>
      </c>
      <c r="AX637" s="1419">
        <f>IF(OR($L637=AX$627,$L637="",$D637=$AZ$626),MAX(AX$629:AX636)+1,0)</f>
        <v>2</v>
      </c>
      <c r="AY637" s="1420">
        <f>IF(OR($L637=AY$627,$L637="",$D637=$AZ$626),MAX(AY$629:AY636)+1,0)</f>
        <v>0</v>
      </c>
      <c r="AZ637" s="1421">
        <f>IF(OR($L637=AZ$627,$L637="",$D637=$AZ$626),MAX(AZ$629:AZ636)+1,0)</f>
        <v>0</v>
      </c>
      <c r="BA637" s="5701"/>
      <c r="BB637" s="961" t="str">
        <f t="shared" si="76"/>
        <v>Guandao</v>
      </c>
      <c r="BC637" s="87" t="str">
        <f t="shared" si="77"/>
        <v>&gt; A. DE PROYECTILES</v>
      </c>
      <c r="BD637" s="87" t="str">
        <f t="shared" si="78"/>
        <v>Bracamarte</v>
      </c>
      <c r="BE637" s="1419">
        <f>IF(OR($L637=BE$627,$L637="",$D637=$BG$626),MAX(BE$629:BE636)+1,0)</f>
        <v>2</v>
      </c>
      <c r="BF637" s="1420">
        <f>IF(OR($L637=BF$627,$L637="",$D637=$BG$626),MAX(BF$629:BF636)+1,0)</f>
        <v>0</v>
      </c>
      <c r="BG637" s="1421">
        <f>IF(OR($L637=BG$627,$L637="",$D637=$BG$626),MAX(BG$629:BG636)+1,0)</f>
        <v>0</v>
      </c>
      <c r="BH637" s="5701"/>
      <c r="BI637" s="961" t="str">
        <f t="shared" si="79"/>
        <v>Guandao</v>
      </c>
      <c r="BJ637" s="87" t="str">
        <f t="shared" si="80"/>
        <v>&gt; A. DE PROYECTILES</v>
      </c>
      <c r="BK637" s="87" t="str">
        <f t="shared" si="81"/>
        <v>Bracamarte</v>
      </c>
      <c r="BL637" s="1419">
        <f>IF(OR($L637=BL$627,$L637="",$D637=$BN$626),MAX(BL$629:BL636)+1,0)</f>
        <v>2</v>
      </c>
      <c r="BM637" s="1420">
        <f>IF(OR($L637=BM$627,$L637="",$D637=$BN$626),MAX(BM$629:BM636)+1,0)</f>
        <v>0</v>
      </c>
      <c r="BN637" s="1421">
        <f>IF(OR($L637=BN$627,$L637="",$D637=$BN$626),MAX(BN$629:BN636)+1,0)</f>
        <v>0</v>
      </c>
      <c r="BO637" s="5701"/>
      <c r="BP637" s="961" t="str">
        <f t="shared" si="82"/>
        <v>Guandao</v>
      </c>
      <c r="BQ637" s="87" t="str">
        <f t="shared" si="83"/>
        <v>&gt; A. DE PROYECTILES</v>
      </c>
      <c r="BR637" s="87" t="str">
        <f t="shared" si="84"/>
        <v>Bracamarte</v>
      </c>
      <c r="BS637" s="1419">
        <f>IF(OR($L637=BS$627,$L637="",$D637=$BU$626),MAX(BS$629:BS636)+1,0)</f>
        <v>2</v>
      </c>
      <c r="BT637" s="1420">
        <f>IF(OR($L637=BT$627,$L637="",$D637=$BU$626),MAX(BT$629:BT636)+1,0)</f>
        <v>0</v>
      </c>
      <c r="BU637" s="1421">
        <f>IF(OR($L637=BU$627,$L637="",$D637=$BU$626),MAX(BU$629:BU636)+1,0)</f>
        <v>0</v>
      </c>
    </row>
    <row r="638" spans="1:73" ht="12.75" customHeight="1" x14ac:dyDescent="0.2">
      <c r="A638" s="242">
        <v>638</v>
      </c>
      <c r="B638" s="5664"/>
      <c r="C638" s="1288"/>
      <c r="D638" s="1289" t="s">
        <v>7225</v>
      </c>
      <c r="E638" s="1295">
        <v>25</v>
      </c>
      <c r="F638" s="1287">
        <v>15</v>
      </c>
      <c r="G638" s="1287">
        <v>5</v>
      </c>
      <c r="H638" s="1287">
        <v>5</v>
      </c>
      <c r="I638" s="1287" t="s">
        <v>1506</v>
      </c>
      <c r="J638" s="1287" t="s">
        <v>1464</v>
      </c>
      <c r="K638" s="1281" t="s">
        <v>7519</v>
      </c>
      <c r="L638" s="1287" t="str">
        <f t="shared" si="88"/>
        <v>Similar</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7225</v>
      </c>
      <c r="AC638" s="87" t="s">
        <v>7226</v>
      </c>
      <c r="AD638" s="1535" t="s">
        <v>7232</v>
      </c>
      <c r="AE638" s="962" t="s">
        <v>7228</v>
      </c>
      <c r="AF638" s="1537"/>
      <c r="AG638" s="961" t="str">
        <f t="shared" si="67"/>
        <v>Lanza de caballería</v>
      </c>
      <c r="AH638" s="87" t="str">
        <f t="shared" si="68"/>
        <v>&gt; ARMAS DE ASEDIO</v>
      </c>
      <c r="AI638" s="87" t="str">
        <f t="shared" si="69"/>
        <v>Cadena</v>
      </c>
      <c r="AJ638" s="1419">
        <f>IF(OR($L638=AJ$627,$L638="",$D638=$AL$626),MAX(AJ$629:AJ637)+1,0)</f>
        <v>3</v>
      </c>
      <c r="AK638" s="1420">
        <f>IF(OR($L638=AK$627,$L638="",$D638=$AL$626),MAX(AK$629:AK637)+1,0)</f>
        <v>0</v>
      </c>
      <c r="AL638" s="1421">
        <f>IF(OR($L638=AL$627,$L638="",$D638=$AL$626),MAX(AL$629:AL637)+1,0)</f>
        <v>0</v>
      </c>
      <c r="AM638" s="5701"/>
      <c r="AN638" s="961" t="str">
        <f t="shared" si="70"/>
        <v>Lanza de caballería</v>
      </c>
      <c r="AO638" s="87" t="str">
        <f t="shared" si="71"/>
        <v>&gt; ARMAS DE ASEDIO</v>
      </c>
      <c r="AP638" s="87" t="str">
        <f t="shared" si="72"/>
        <v>Cadena</v>
      </c>
      <c r="AQ638" s="1419">
        <f>IF(OR($L638=AQ$627,$L638="",$D638=$AS$626),MAX(AQ$629:AQ637)+1,0)</f>
        <v>3</v>
      </c>
      <c r="AR638" s="1420">
        <f>IF(OR($L638=AR$627,$L638="",$D638=$AS$626),MAX(AR$629:AR637)+1,0)</f>
        <v>0</v>
      </c>
      <c r="AS638" s="1421">
        <f>IF(OR($L638=AS$627,$L638="",$D638=$AS$626),MAX(AS$629:AS637)+1,0)</f>
        <v>0</v>
      </c>
      <c r="AT638" s="5701"/>
      <c r="AU638" s="961" t="str">
        <f t="shared" si="73"/>
        <v>Lanza de caballería</v>
      </c>
      <c r="AV638" s="87" t="str">
        <f t="shared" si="74"/>
        <v>&gt; ARMAS DE ASEDIO</v>
      </c>
      <c r="AW638" s="87" t="str">
        <f t="shared" si="75"/>
        <v>Cadena</v>
      </c>
      <c r="AX638" s="1419">
        <f>IF(OR($L638=AX$627,$L638="",$D638=$AZ$626),MAX(AX$629:AX637)+1,0)</f>
        <v>3</v>
      </c>
      <c r="AY638" s="1420">
        <f>IF(OR($L638=AY$627,$L638="",$D638=$AZ$626),MAX(AY$629:AY637)+1,0)</f>
        <v>0</v>
      </c>
      <c r="AZ638" s="1421">
        <f>IF(OR($L638=AZ$627,$L638="",$D638=$AZ$626),MAX(AZ$629:AZ637)+1,0)</f>
        <v>0</v>
      </c>
      <c r="BA638" s="5701"/>
      <c r="BB638" s="961" t="str">
        <f t="shared" si="76"/>
        <v>Lanza de caballería</v>
      </c>
      <c r="BC638" s="87" t="str">
        <f t="shared" si="77"/>
        <v>&gt; ARMAS DE ASEDIO</v>
      </c>
      <c r="BD638" s="87" t="str">
        <f t="shared" si="78"/>
        <v>Cadena</v>
      </c>
      <c r="BE638" s="1419">
        <f>IF(OR($L638=BE$627,$L638="",$D638=$BG$626),MAX(BE$629:BE637)+1,0)</f>
        <v>3</v>
      </c>
      <c r="BF638" s="1420">
        <f>IF(OR($L638=BF$627,$L638="",$D638=$BG$626),MAX(BF$629:BF637)+1,0)</f>
        <v>0</v>
      </c>
      <c r="BG638" s="1421">
        <f>IF(OR($L638=BG$627,$L638="",$D638=$BG$626),MAX(BG$629:BG637)+1,0)</f>
        <v>0</v>
      </c>
      <c r="BH638" s="5701"/>
      <c r="BI638" s="961" t="str">
        <f t="shared" si="79"/>
        <v>Lanza de caballería</v>
      </c>
      <c r="BJ638" s="87" t="str">
        <f t="shared" si="80"/>
        <v>&gt; ARMAS DE ASEDIO</v>
      </c>
      <c r="BK638" s="87" t="str">
        <f t="shared" si="81"/>
        <v>Cadena</v>
      </c>
      <c r="BL638" s="1419">
        <f>IF(OR($L638=BL$627,$L638="",$D638=$BN$626),MAX(BL$629:BL637)+1,0)</f>
        <v>3</v>
      </c>
      <c r="BM638" s="1420">
        <f>IF(OR($L638=BM$627,$L638="",$D638=$BN$626),MAX(BM$629:BM637)+1,0)</f>
        <v>0</v>
      </c>
      <c r="BN638" s="1421">
        <f>IF(OR($L638=BN$627,$L638="",$D638=$BN$626),MAX(BN$629:BN637)+1,0)</f>
        <v>0</v>
      </c>
      <c r="BO638" s="5701"/>
      <c r="BP638" s="961" t="str">
        <f t="shared" si="82"/>
        <v>Lanza de caballería</v>
      </c>
      <c r="BQ638" s="87" t="str">
        <f t="shared" si="83"/>
        <v>&gt; ARMAS DE ASEDIO</v>
      </c>
      <c r="BR638" s="87" t="str">
        <f t="shared" si="84"/>
        <v>Cadena</v>
      </c>
      <c r="BS638" s="1419">
        <f>IF(OR($L638=BS$627,$L638="",$D638=$BU$626),MAX(BS$629:BS637)+1,0)</f>
        <v>3</v>
      </c>
      <c r="BT638" s="1420">
        <f>IF(OR($L638=BT$627,$L638="",$D638=$BU$626),MAX(BT$629:BT637)+1,0)</f>
        <v>0</v>
      </c>
      <c r="BU638" s="1421">
        <f>IF(OR($L638=BU$627,$L638="",$D638=$BU$626),MAX(BU$629:BU637)+1,0)</f>
        <v>0</v>
      </c>
    </row>
    <row r="639" spans="1:73" ht="12.75" customHeight="1" x14ac:dyDescent="0.2">
      <c r="A639" s="242">
        <v>639</v>
      </c>
      <c r="B639" s="5664"/>
      <c r="C639" s="1288"/>
      <c r="D639" s="1289" t="s">
        <v>7226</v>
      </c>
      <c r="E639" s="1295">
        <v>50</v>
      </c>
      <c r="F639" s="1287">
        <v>-10</v>
      </c>
      <c r="G639" s="1287" t="s">
        <v>1464</v>
      </c>
      <c r="H639" s="1287">
        <v>6</v>
      </c>
      <c r="I639" s="1287" t="s">
        <v>1561</v>
      </c>
      <c r="J639" s="1287" t="s">
        <v>7278</v>
      </c>
      <c r="K639" s="1281" t="s">
        <v>7520</v>
      </c>
      <c r="L639" s="1287" t="str">
        <f t="shared" si="88"/>
        <v>Mixta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2148</v>
      </c>
      <c r="AC639" s="87" t="s">
        <v>7227</v>
      </c>
      <c r="AD639" s="1536" t="s">
        <v>2236</v>
      </c>
      <c r="AE639" s="962" t="s">
        <v>2235</v>
      </c>
      <c r="AF639" s="1537"/>
      <c r="AG639" s="961" t="str">
        <f t="shared" si="67"/>
        <v>Pica</v>
      </c>
      <c r="AH639" s="87" t="str">
        <f t="shared" si="68"/>
        <v/>
      </c>
      <c r="AI639" s="87" t="str">
        <f t="shared" si="69"/>
        <v>Cestus</v>
      </c>
      <c r="AJ639" s="1419">
        <f>IF(OR($L639=AJ$627,$L639="",$D639=$AL$626),MAX(AJ$629:AJ638)+1,0)</f>
        <v>0</v>
      </c>
      <c r="AK639" s="1420">
        <f>IF(OR($L639=AK$627,$L639="",$D639=$AL$626),MAX(AK$629:AK638)+1,0)</f>
        <v>3</v>
      </c>
      <c r="AL639" s="1421">
        <f>IF(OR($L639=AL$627,$L639="",$D639=$AL$626),MAX(AL$629:AL638)+1,0)</f>
        <v>0</v>
      </c>
      <c r="AM639" s="5701"/>
      <c r="AN639" s="961" t="str">
        <f t="shared" si="70"/>
        <v>Pica</v>
      </c>
      <c r="AO639" s="87" t="str">
        <f t="shared" si="71"/>
        <v/>
      </c>
      <c r="AP639" s="87" t="str">
        <f t="shared" si="72"/>
        <v>Cestus</v>
      </c>
      <c r="AQ639" s="1419">
        <f>IF(OR($L639=AQ$627,$L639="",$D639=$AS$626),MAX(AQ$629:AQ638)+1,0)</f>
        <v>0</v>
      </c>
      <c r="AR639" s="1420">
        <f>IF(OR($L639=AR$627,$L639="",$D639=$AS$626),MAX(AR$629:AR638)+1,0)</f>
        <v>3</v>
      </c>
      <c r="AS639" s="1421">
        <f>IF(OR($L639=AS$627,$L639="",$D639=$AS$626),MAX(AS$629:AS638)+1,0)</f>
        <v>0</v>
      </c>
      <c r="AT639" s="5701"/>
      <c r="AU639" s="961" t="str">
        <f t="shared" si="73"/>
        <v>Pica</v>
      </c>
      <c r="AV639" s="87" t="str">
        <f t="shared" si="74"/>
        <v/>
      </c>
      <c r="AW639" s="87" t="str">
        <f t="shared" si="75"/>
        <v>Cestus</v>
      </c>
      <c r="AX639" s="1419">
        <f>IF(OR($L639=AX$627,$L639="",$D639=$AZ$626),MAX(AX$629:AX638)+1,0)</f>
        <v>0</v>
      </c>
      <c r="AY639" s="1420">
        <f>IF(OR($L639=AY$627,$L639="",$D639=$AZ$626),MAX(AY$629:AY638)+1,0)</f>
        <v>3</v>
      </c>
      <c r="AZ639" s="1421">
        <f>IF(OR($L639=AZ$627,$L639="",$D639=$AZ$626),MAX(AZ$629:AZ638)+1,0)</f>
        <v>0</v>
      </c>
      <c r="BA639" s="5701"/>
      <c r="BB639" s="961" t="str">
        <f t="shared" si="76"/>
        <v>Pica</v>
      </c>
      <c r="BC639" s="87" t="str">
        <f t="shared" si="77"/>
        <v/>
      </c>
      <c r="BD639" s="87" t="str">
        <f t="shared" si="78"/>
        <v>Cestus</v>
      </c>
      <c r="BE639" s="1419">
        <f>IF(OR($L639=BE$627,$L639="",$D639=$BG$626),MAX(BE$629:BE638)+1,0)</f>
        <v>0</v>
      </c>
      <c r="BF639" s="1420">
        <f>IF(OR($L639=BF$627,$L639="",$D639=$BG$626),MAX(BF$629:BF638)+1,0)</f>
        <v>3</v>
      </c>
      <c r="BG639" s="1421">
        <f>IF(OR($L639=BG$627,$L639="",$D639=$BG$626),MAX(BG$629:BG638)+1,0)</f>
        <v>0</v>
      </c>
      <c r="BH639" s="5701"/>
      <c r="BI639" s="961" t="str">
        <f t="shared" si="79"/>
        <v>Pica</v>
      </c>
      <c r="BJ639" s="87" t="str">
        <f t="shared" si="80"/>
        <v/>
      </c>
      <c r="BK639" s="87" t="str">
        <f t="shared" si="81"/>
        <v>Cestus</v>
      </c>
      <c r="BL639" s="1419">
        <f>IF(OR($L639=BL$627,$L639="",$D639=$BN$626),MAX(BL$629:BL638)+1,0)</f>
        <v>0</v>
      </c>
      <c r="BM639" s="1420">
        <f>IF(OR($L639=BM$627,$L639="",$D639=$BN$626),MAX(BM$629:BM638)+1,0)</f>
        <v>3</v>
      </c>
      <c r="BN639" s="1421">
        <f>IF(OR($L639=BN$627,$L639="",$D639=$BN$626),MAX(BN$629:BN638)+1,0)</f>
        <v>0</v>
      </c>
      <c r="BO639" s="5701"/>
      <c r="BP639" s="961" t="str">
        <f t="shared" si="82"/>
        <v>Pica</v>
      </c>
      <c r="BQ639" s="87" t="str">
        <f t="shared" si="83"/>
        <v/>
      </c>
      <c r="BR639" s="87" t="str">
        <f t="shared" si="84"/>
        <v>Cestus</v>
      </c>
      <c r="BS639" s="1419">
        <f>IF(OR($L639=BS$627,$L639="",$D639=$BU$626),MAX(BS$629:BS638)+1,0)</f>
        <v>0</v>
      </c>
      <c r="BT639" s="1420">
        <f>IF(OR($L639=BT$627,$L639="",$D639=$BU$626),MAX(BT$629:BT638)+1,0)</f>
        <v>3</v>
      </c>
      <c r="BU639" s="1421">
        <f>IF(OR($L639=BU$627,$L639="",$D639=$BU$626),MAX(BU$629:BU638)+1,0)</f>
        <v>0</v>
      </c>
    </row>
    <row r="640" spans="1:73" ht="12.75" customHeight="1" x14ac:dyDescent="0.2">
      <c r="A640" s="242">
        <v>640</v>
      </c>
      <c r="B640" s="5664"/>
      <c r="C640" s="1288"/>
      <c r="D640" s="1289" t="s">
        <v>7227</v>
      </c>
      <c r="E640" s="1295">
        <v>50</v>
      </c>
      <c r="F640" s="1287">
        <v>-15</v>
      </c>
      <c r="G640" s="1287" t="s">
        <v>1464</v>
      </c>
      <c r="H640" s="1287">
        <v>6</v>
      </c>
      <c r="I640" s="1287" t="s">
        <v>1560</v>
      </c>
      <c r="J640" s="1287" t="s">
        <v>1506</v>
      </c>
      <c r="K640" s="1281" t="s">
        <v>7519</v>
      </c>
      <c r="L640" s="1287" t="str">
        <f t="shared" si="88"/>
        <v>Similar</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2151</v>
      </c>
      <c r="AC640" s="87" t="s">
        <v>7229</v>
      </c>
      <c r="AD640" s="1536" t="s">
        <v>2238</v>
      </c>
      <c r="AE640" s="1423" t="s">
        <v>2236</v>
      </c>
      <c r="AF640" s="1537"/>
      <c r="AG640" s="961" t="str">
        <f t="shared" si="67"/>
        <v>Pudao</v>
      </c>
      <c r="AH640" s="87" t="str">
        <f t="shared" si="68"/>
        <v/>
      </c>
      <c r="AI640" s="87" t="str">
        <f t="shared" si="69"/>
        <v>Chui</v>
      </c>
      <c r="AJ640" s="1419">
        <f>IF(OR($L640=AJ$627,$L640="",$D640=$AL$626),MAX(AJ$629:AJ639)+1,0)</f>
        <v>4</v>
      </c>
      <c r="AK640" s="1420">
        <f>IF(OR($L640=AK$627,$L640="",$D640=$AL$626),MAX(AK$629:AK639)+1,0)</f>
        <v>0</v>
      </c>
      <c r="AL640" s="1421">
        <f>IF(OR($L640=AL$627,$L640="",$D640=$AL$626),MAX(AL$629:AL639)+1,0)</f>
        <v>0</v>
      </c>
      <c r="AM640" s="5701"/>
      <c r="AN640" s="961" t="str">
        <f t="shared" si="70"/>
        <v>Pudao</v>
      </c>
      <c r="AO640" s="87" t="str">
        <f t="shared" si="71"/>
        <v/>
      </c>
      <c r="AP640" s="87" t="str">
        <f t="shared" si="72"/>
        <v>Chui</v>
      </c>
      <c r="AQ640" s="1419">
        <f>IF(OR($L640=AQ$627,$L640="",$D640=$AS$626),MAX(AQ$629:AQ639)+1,0)</f>
        <v>4</v>
      </c>
      <c r="AR640" s="1420">
        <f>IF(OR($L640=AR$627,$L640="",$D640=$AS$626),MAX(AR$629:AR639)+1,0)</f>
        <v>0</v>
      </c>
      <c r="AS640" s="1421">
        <f>IF(OR($L640=AS$627,$L640="",$D640=$AS$626),MAX(AS$629:AS639)+1,0)</f>
        <v>0</v>
      </c>
      <c r="AT640" s="5701"/>
      <c r="AU640" s="961" t="str">
        <f t="shared" si="73"/>
        <v>Pudao</v>
      </c>
      <c r="AV640" s="87" t="str">
        <f t="shared" si="74"/>
        <v/>
      </c>
      <c r="AW640" s="87" t="str">
        <f t="shared" si="75"/>
        <v>Chui</v>
      </c>
      <c r="AX640" s="1419">
        <f>IF(OR($L640=AX$627,$L640="",$D640=$AZ$626),MAX(AX$629:AX639)+1,0)</f>
        <v>4</v>
      </c>
      <c r="AY640" s="1420">
        <f>IF(OR($L640=AY$627,$L640="",$D640=$AZ$626),MAX(AY$629:AY639)+1,0)</f>
        <v>0</v>
      </c>
      <c r="AZ640" s="1421">
        <f>IF(OR($L640=AZ$627,$L640="",$D640=$AZ$626),MAX(AZ$629:AZ639)+1,0)</f>
        <v>0</v>
      </c>
      <c r="BA640" s="5701"/>
      <c r="BB640" s="961" t="str">
        <f t="shared" si="76"/>
        <v>Pudao</v>
      </c>
      <c r="BC640" s="87" t="str">
        <f t="shared" si="77"/>
        <v/>
      </c>
      <c r="BD640" s="87" t="str">
        <f t="shared" si="78"/>
        <v>Chui</v>
      </c>
      <c r="BE640" s="1419">
        <f>IF(OR($L640=BE$627,$L640="",$D640=$BG$626),MAX(BE$629:BE639)+1,0)</f>
        <v>4</v>
      </c>
      <c r="BF640" s="1420">
        <f>IF(OR($L640=BF$627,$L640="",$D640=$BG$626),MAX(BF$629:BF639)+1,0)</f>
        <v>0</v>
      </c>
      <c r="BG640" s="1421">
        <f>IF(OR($L640=BG$627,$L640="",$D640=$BG$626),MAX(BG$629:BG639)+1,0)</f>
        <v>0</v>
      </c>
      <c r="BH640" s="5701"/>
      <c r="BI640" s="961" t="str">
        <f t="shared" si="79"/>
        <v>Pudao</v>
      </c>
      <c r="BJ640" s="87" t="str">
        <f t="shared" si="80"/>
        <v/>
      </c>
      <c r="BK640" s="87" t="str">
        <f t="shared" si="81"/>
        <v>Chui</v>
      </c>
      <c r="BL640" s="1419">
        <f>IF(OR($L640=BL$627,$L640="",$D640=$BN$626),MAX(BL$629:BL639)+1,0)</f>
        <v>4</v>
      </c>
      <c r="BM640" s="1420">
        <f>IF(OR($L640=BM$627,$L640="",$D640=$BN$626),MAX(BM$629:BM639)+1,0)</f>
        <v>0</v>
      </c>
      <c r="BN640" s="1421">
        <f>IF(OR($L640=BN$627,$L640="",$D640=$BN$626),MAX(BN$629:BN639)+1,0)</f>
        <v>0</v>
      </c>
      <c r="BO640" s="5701"/>
      <c r="BP640" s="961" t="str">
        <f t="shared" si="82"/>
        <v>Pudao</v>
      </c>
      <c r="BQ640" s="87" t="str">
        <f t="shared" si="83"/>
        <v/>
      </c>
      <c r="BR640" s="87" t="str">
        <f t="shared" si="84"/>
        <v>Chui</v>
      </c>
      <c r="BS640" s="1419">
        <f>IF(OR($L640=BS$627,$L640="",$D640=$BU$626),MAX(BS$629:BS639)+1,0)</f>
        <v>4</v>
      </c>
      <c r="BT640" s="1420">
        <f>IF(OR($L640=BT$627,$L640="",$D640=$BU$626),MAX(BT$629:BT639)+1,0)</f>
        <v>0</v>
      </c>
      <c r="BU640" s="1421">
        <f>IF(OR($L640=BU$627,$L640="",$D640=$BU$626),MAX(BU$629:BU639)+1,0)</f>
        <v>0</v>
      </c>
    </row>
    <row r="641" spans="1:73" ht="12.75" customHeight="1" x14ac:dyDescent="0.2">
      <c r="A641" s="242">
        <v>641</v>
      </c>
      <c r="B641" s="5664"/>
      <c r="C641" s="1288"/>
      <c r="D641" s="1289" t="s">
        <v>2148</v>
      </c>
      <c r="E641" s="1287">
        <v>20</v>
      </c>
      <c r="F641" s="1287">
        <v>0</v>
      </c>
      <c r="G641" s="1287">
        <v>5</v>
      </c>
      <c r="H641" s="1287">
        <v>5</v>
      </c>
      <c r="I641" s="1287" t="s">
        <v>1506</v>
      </c>
      <c r="J641" s="1287" t="s">
        <v>1464</v>
      </c>
      <c r="K641" s="1281" t="s">
        <v>7521</v>
      </c>
      <c r="L641" s="1287" t="str">
        <f t="shared" si="88"/>
        <v>Distinta</v>
      </c>
      <c r="M641" s="1296">
        <v>10</v>
      </c>
      <c r="N641" s="1296">
        <v>2</v>
      </c>
      <c r="O641" s="1296">
        <v>15</v>
      </c>
      <c r="P641" s="1287"/>
      <c r="Q641" s="1287"/>
      <c r="R641" s="1296">
        <v>50</v>
      </c>
      <c r="S641" s="1287" t="s">
        <v>1464</v>
      </c>
      <c r="T641" s="1287">
        <v>20</v>
      </c>
      <c r="U641" s="1287"/>
      <c r="V641" s="1281" t="s">
        <v>2150</v>
      </c>
      <c r="W641" s="1281"/>
      <c r="X641" s="1282" t="str">
        <f t="shared" si="89"/>
        <v>Mediana</v>
      </c>
      <c r="Z641" s="1418" t="str">
        <f t="shared" si="87"/>
        <v/>
      </c>
      <c r="AB641" s="961" t="s">
        <v>7230</v>
      </c>
      <c r="AC641" s="87" t="s">
        <v>7231</v>
      </c>
      <c r="AD641" s="1536" t="s">
        <v>2239</v>
      </c>
      <c r="AE641" s="1423" t="s">
        <v>2239</v>
      </c>
      <c r="AF641" s="1537"/>
      <c r="AG641" s="961" t="str">
        <f t="shared" si="67"/>
        <v>Tridente</v>
      </c>
      <c r="AH641" s="87" t="str">
        <f t="shared" si="68"/>
        <v/>
      </c>
      <c r="AI641" s="87" t="str">
        <f t="shared" si="69"/>
        <v>Cimitarra</v>
      </c>
      <c r="AJ641" s="1419">
        <f>IF(OR($L641=AJ$627,$L641="",$D641=$AL$626),MAX(AJ$629:AJ640)+1,0)</f>
        <v>0</v>
      </c>
      <c r="AK641" s="1420">
        <f>IF(OR($L641=AK$627,$L641="",$D641=$AL$626),MAX(AK$629:AK640)+1,0)</f>
        <v>0</v>
      </c>
      <c r="AL641" s="1421">
        <f>IF(OR($L641=AL$627,$L641="",$D641=$AL$626),MAX(AL$629:AL640)+1,0)</f>
        <v>6</v>
      </c>
      <c r="AM641" s="5701"/>
      <c r="AN641" s="961" t="str">
        <f t="shared" si="70"/>
        <v>Tridente</v>
      </c>
      <c r="AO641" s="87" t="str">
        <f t="shared" si="71"/>
        <v/>
      </c>
      <c r="AP641" s="87" t="str">
        <f t="shared" si="72"/>
        <v>Cimitarra</v>
      </c>
      <c r="AQ641" s="1419">
        <f>IF(OR($L641=AQ$627,$L641="",$D641=$AS$626),MAX(AQ$629:AQ640)+1,0)</f>
        <v>0</v>
      </c>
      <c r="AR641" s="1420">
        <f>IF(OR($L641=AR$627,$L641="",$D641=$AS$626),MAX(AR$629:AR640)+1,0)</f>
        <v>0</v>
      </c>
      <c r="AS641" s="1421">
        <f>IF(OR($L641=AS$627,$L641="",$D641=$AS$626),MAX(AS$629:AS640)+1,0)</f>
        <v>6</v>
      </c>
      <c r="AT641" s="5701"/>
      <c r="AU641" s="961" t="str">
        <f t="shared" si="73"/>
        <v>Tridente</v>
      </c>
      <c r="AV641" s="87" t="str">
        <f t="shared" si="74"/>
        <v/>
      </c>
      <c r="AW641" s="87" t="str">
        <f t="shared" si="75"/>
        <v>Cimitarra</v>
      </c>
      <c r="AX641" s="1419">
        <f>IF(OR($L641=AX$627,$L641="",$D641=$AZ$626),MAX(AX$629:AX640)+1,0)</f>
        <v>0</v>
      </c>
      <c r="AY641" s="1420">
        <f>IF(OR($L641=AY$627,$L641="",$D641=$AZ$626),MAX(AY$629:AY640)+1,0)</f>
        <v>0</v>
      </c>
      <c r="AZ641" s="1421">
        <f>IF(OR($L641=AZ$627,$L641="",$D641=$AZ$626),MAX(AZ$629:AZ640)+1,0)</f>
        <v>6</v>
      </c>
      <c r="BA641" s="5701"/>
      <c r="BB641" s="961" t="str">
        <f t="shared" si="76"/>
        <v>Tridente</v>
      </c>
      <c r="BC641" s="87" t="str">
        <f t="shared" si="77"/>
        <v/>
      </c>
      <c r="BD641" s="87" t="str">
        <f t="shared" si="78"/>
        <v>Cimitarra</v>
      </c>
      <c r="BE641" s="1419">
        <f>IF(OR($L641=BE$627,$L641="",$D641=$BG$626),MAX(BE$629:BE640)+1,0)</f>
        <v>0</v>
      </c>
      <c r="BF641" s="1420">
        <f>IF(OR($L641=BF$627,$L641="",$D641=$BG$626),MAX(BF$629:BF640)+1,0)</f>
        <v>0</v>
      </c>
      <c r="BG641" s="1421">
        <f>IF(OR($L641=BG$627,$L641="",$D641=$BG$626),MAX(BG$629:BG640)+1,0)</f>
        <v>6</v>
      </c>
      <c r="BH641" s="5701"/>
      <c r="BI641" s="961" t="str">
        <f t="shared" si="79"/>
        <v>Tridente</v>
      </c>
      <c r="BJ641" s="87" t="str">
        <f t="shared" si="80"/>
        <v/>
      </c>
      <c r="BK641" s="87" t="str">
        <f t="shared" si="81"/>
        <v>Cimitarra</v>
      </c>
      <c r="BL641" s="1419">
        <f>IF(OR($L641=BL$627,$L641="",$D641=$BN$626),MAX(BL$629:BL640)+1,0)</f>
        <v>0</v>
      </c>
      <c r="BM641" s="1420">
        <f>IF(OR($L641=BM$627,$L641="",$D641=$BN$626),MAX(BM$629:BM640)+1,0)</f>
        <v>0</v>
      </c>
      <c r="BN641" s="1421">
        <f>IF(OR($L641=BN$627,$L641="",$D641=$BN$626),MAX(BN$629:BN640)+1,0)</f>
        <v>6</v>
      </c>
      <c r="BO641" s="5701"/>
      <c r="BP641" s="961" t="str">
        <f t="shared" si="82"/>
        <v>Tridente</v>
      </c>
      <c r="BQ641" s="87" t="str">
        <f t="shared" si="83"/>
        <v/>
      </c>
      <c r="BR641" s="87" t="str">
        <f t="shared" si="84"/>
        <v>Cimitarra</v>
      </c>
      <c r="BS641" s="1419">
        <f>IF(OR($L641=BS$627,$L641="",$D641=$BU$626),MAX(BS$629:BS640)+1,0)</f>
        <v>0</v>
      </c>
      <c r="BT641" s="1420">
        <f>IF(OR($L641=BT$627,$L641="",$D641=$BU$626),MAX(BT$629:BT640)+1,0)</f>
        <v>0</v>
      </c>
      <c r="BU641" s="1421">
        <f>IF(OR($L641=BU$627,$L641="",$D641=$BU$626),MAX(BU$629:BU640)+1,0)</f>
        <v>6</v>
      </c>
    </row>
    <row r="642" spans="1:73" ht="12.75" customHeight="1" x14ac:dyDescent="0.2">
      <c r="A642" s="242">
        <v>642</v>
      </c>
      <c r="B642" s="5664"/>
      <c r="C642" s="1288"/>
      <c r="D642" s="1289" t="s">
        <v>2151</v>
      </c>
      <c r="E642" s="1287">
        <v>30</v>
      </c>
      <c r="F642" s="1287">
        <v>-10</v>
      </c>
      <c r="G642" s="1287">
        <v>5</v>
      </c>
      <c r="H642" s="1287">
        <v>5</v>
      </c>
      <c r="I642" s="1287" t="s">
        <v>2152</v>
      </c>
      <c r="J642" s="1287" t="s">
        <v>1506</v>
      </c>
      <c r="K642" s="1281" t="s">
        <v>7521</v>
      </c>
      <c r="L642" s="1287" t="str">
        <f t="shared" si="88"/>
        <v>Distinta</v>
      </c>
      <c r="M642" s="1296">
        <v>6</v>
      </c>
      <c r="N642" s="1296">
        <v>2</v>
      </c>
      <c r="O642" s="1296">
        <v>15</v>
      </c>
      <c r="P642" s="1287"/>
      <c r="Q642" s="1287"/>
      <c r="R642" s="1296">
        <v>80</v>
      </c>
      <c r="S642" s="1287" t="s">
        <v>1464</v>
      </c>
      <c r="T642" s="1287">
        <v>20</v>
      </c>
      <c r="U642" s="1287"/>
      <c r="V642" s="1281" t="s">
        <v>8849</v>
      </c>
      <c r="W642" s="1281"/>
      <c r="X642" s="1282" t="str">
        <f t="shared" si="89"/>
        <v>Mediana</v>
      </c>
      <c r="Z642" s="1418" t="str">
        <f t="shared" si="87"/>
        <v/>
      </c>
      <c r="AB642" s="961" t="s">
        <v>2153</v>
      </c>
      <c r="AC642" s="87" t="s">
        <v>2163</v>
      </c>
      <c r="AD642" s="1535" t="s">
        <v>2240</v>
      </c>
      <c r="AE642" s="962" t="s">
        <v>2240</v>
      </c>
      <c r="AF642" s="1537"/>
      <c r="AG642" s="961" t="str">
        <f t="shared" si="67"/>
        <v>Vara</v>
      </c>
      <c r="AH642" s="87" t="str">
        <f t="shared" si="68"/>
        <v/>
      </c>
      <c r="AI642" s="87" t="str">
        <f t="shared" si="69"/>
        <v>Cinquedea</v>
      </c>
      <c r="AJ642" s="1419">
        <f>IF(OR($L642=AJ$627,$L642="",$D642=$AL$626),MAX(AJ$629:AJ641)+1,0)</f>
        <v>0</v>
      </c>
      <c r="AK642" s="1420">
        <f>IF(OR($L642=AK$627,$L642="",$D642=$AL$626),MAX(AK$629:AK641)+1,0)</f>
        <v>0</v>
      </c>
      <c r="AL642" s="1421">
        <f>IF(OR($L642=AL$627,$L642="",$D642=$AL$626),MAX(AL$629:AL641)+1,0)</f>
        <v>7</v>
      </c>
      <c r="AM642" s="5701"/>
      <c r="AN642" s="961" t="str">
        <f t="shared" si="70"/>
        <v>Vara</v>
      </c>
      <c r="AO642" s="87" t="str">
        <f t="shared" si="71"/>
        <v/>
      </c>
      <c r="AP642" s="87" t="str">
        <f t="shared" si="72"/>
        <v>Cinquedea</v>
      </c>
      <c r="AQ642" s="1419">
        <f>IF(OR($L642=AQ$627,$L642="",$D642=$AS$626),MAX(AQ$629:AQ641)+1,0)</f>
        <v>0</v>
      </c>
      <c r="AR642" s="1420">
        <f>IF(OR($L642=AR$627,$L642="",$D642=$AS$626),MAX(AR$629:AR641)+1,0)</f>
        <v>0</v>
      </c>
      <c r="AS642" s="1421">
        <f>IF(OR($L642=AS$627,$L642="",$D642=$AS$626),MAX(AS$629:AS641)+1,0)</f>
        <v>7</v>
      </c>
      <c r="AT642" s="5701"/>
      <c r="AU642" s="961" t="str">
        <f t="shared" si="73"/>
        <v>Vara</v>
      </c>
      <c r="AV642" s="87" t="str">
        <f t="shared" si="74"/>
        <v/>
      </c>
      <c r="AW642" s="87" t="str">
        <f t="shared" si="75"/>
        <v>Cinquedea</v>
      </c>
      <c r="AX642" s="1419">
        <f>IF(OR($L642=AX$627,$L642="",$D642=$AZ$626),MAX(AX$629:AX641)+1,0)</f>
        <v>0</v>
      </c>
      <c r="AY642" s="1420">
        <f>IF(OR($L642=AY$627,$L642="",$D642=$AZ$626),MAX(AY$629:AY641)+1,0)</f>
        <v>0</v>
      </c>
      <c r="AZ642" s="1421">
        <f>IF(OR($L642=AZ$627,$L642="",$D642=$AZ$626),MAX(AZ$629:AZ641)+1,0)</f>
        <v>7</v>
      </c>
      <c r="BA642" s="5701"/>
      <c r="BB642" s="961" t="str">
        <f t="shared" si="76"/>
        <v>Vara</v>
      </c>
      <c r="BC642" s="87" t="str">
        <f t="shared" si="77"/>
        <v/>
      </c>
      <c r="BD642" s="87" t="str">
        <f t="shared" si="78"/>
        <v>Cinquedea</v>
      </c>
      <c r="BE642" s="1419">
        <f>IF(OR($L642=BE$627,$L642="",$D642=$BG$626),MAX(BE$629:BE641)+1,0)</f>
        <v>0</v>
      </c>
      <c r="BF642" s="1420">
        <f>IF(OR($L642=BF$627,$L642="",$D642=$BG$626),MAX(BF$629:BF641)+1,0)</f>
        <v>0</v>
      </c>
      <c r="BG642" s="1421">
        <f>IF(OR($L642=BG$627,$L642="",$D642=$BG$626),MAX(BG$629:BG641)+1,0)</f>
        <v>7</v>
      </c>
      <c r="BH642" s="5701"/>
      <c r="BI642" s="961" t="str">
        <f t="shared" si="79"/>
        <v>Vara</v>
      </c>
      <c r="BJ642" s="87" t="str">
        <f t="shared" si="80"/>
        <v/>
      </c>
      <c r="BK642" s="87" t="str">
        <f t="shared" si="81"/>
        <v>Cinquedea</v>
      </c>
      <c r="BL642" s="1419">
        <f>IF(OR($L642=BL$627,$L642="",$D642=$BN$626),MAX(BL$629:BL641)+1,0)</f>
        <v>0</v>
      </c>
      <c r="BM642" s="1420">
        <f>IF(OR($L642=BM$627,$L642="",$D642=$BN$626),MAX(BM$629:BM641)+1,0)</f>
        <v>0</v>
      </c>
      <c r="BN642" s="1421">
        <f>IF(OR($L642=BN$627,$L642="",$D642=$BN$626),MAX(BN$629:BN641)+1,0)</f>
        <v>7</v>
      </c>
      <c r="BO642" s="5701"/>
      <c r="BP642" s="961" t="str">
        <f t="shared" si="82"/>
        <v>Vara</v>
      </c>
      <c r="BQ642" s="87" t="str">
        <f t="shared" si="83"/>
        <v/>
      </c>
      <c r="BR642" s="87" t="str">
        <f t="shared" si="84"/>
        <v>Cinquedea</v>
      </c>
      <c r="BS642" s="1419">
        <f>IF(OR($L642=BS$627,$L642="",$D642=$BU$626),MAX(BS$629:BS641)+1,0)</f>
        <v>0</v>
      </c>
      <c r="BT642" s="1420">
        <f>IF(OR($L642=BT$627,$L642="",$D642=$BU$626),MAX(BT$629:BT641)+1,0)</f>
        <v>0</v>
      </c>
      <c r="BU642" s="1421">
        <f>IF(OR($L642=BU$627,$L642="",$D642=$BU$626),MAX(BU$629:BU641)+1,0)</f>
        <v>7</v>
      </c>
    </row>
    <row r="643" spans="1:73" ht="12.75" customHeight="1" x14ac:dyDescent="0.2">
      <c r="A643" s="242">
        <v>643</v>
      </c>
      <c r="B643" s="5664"/>
      <c r="C643" s="1288"/>
      <c r="D643" s="1289" t="s">
        <v>7230</v>
      </c>
      <c r="E643" s="1295">
        <v>60</v>
      </c>
      <c r="F643" s="1287">
        <v>-10</v>
      </c>
      <c r="G643" s="1287">
        <v>7</v>
      </c>
      <c r="H643" s="1287">
        <v>7</v>
      </c>
      <c r="I643" s="1287" t="s">
        <v>1560</v>
      </c>
      <c r="J643" s="1287" t="s">
        <v>1464</v>
      </c>
      <c r="K643" s="1281" t="s">
        <v>7522</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2156</v>
      </c>
      <c r="AC643" s="87" t="s">
        <v>2166</v>
      </c>
      <c r="AD643" s="1535" t="s">
        <v>2241</v>
      </c>
      <c r="AE643" s="962" t="s">
        <v>7238</v>
      </c>
      <c r="AF643" s="1537"/>
      <c r="AG643" s="961" t="str">
        <f t="shared" si="67"/>
        <v>&gt; ESCUDOS</v>
      </c>
      <c r="AH643" s="87" t="str">
        <f t="shared" si="68"/>
        <v/>
      </c>
      <c r="AI643" s="87" t="str">
        <f t="shared" si="69"/>
        <v>Claymore</v>
      </c>
      <c r="AJ643" s="1419">
        <f>IF(OR($L643=AJ$627,$L643="",$D643=$AL$626),MAX(AJ$629:AJ642)+1,0)</f>
        <v>0</v>
      </c>
      <c r="AK643" s="1420">
        <f>IF(OR($L643=AK$627,$L643="",$D643=$AL$626),MAX(AK$629:AK642)+1,0)</f>
        <v>0</v>
      </c>
      <c r="AL643" s="1421">
        <f>IF(OR($L643=AL$627,$L643="",$D643=$AL$626),MAX(AL$629:AL642)+1,0)</f>
        <v>8</v>
      </c>
      <c r="AM643" s="5701"/>
      <c r="AN643" s="961" t="str">
        <f t="shared" si="70"/>
        <v>&gt; ESCUDOS</v>
      </c>
      <c r="AO643" s="87" t="str">
        <f t="shared" si="71"/>
        <v/>
      </c>
      <c r="AP643" s="87" t="str">
        <f t="shared" si="72"/>
        <v>Claymore</v>
      </c>
      <c r="AQ643" s="1419">
        <f>IF(OR($L643=AQ$627,$L643="",$D643=$AS$626),MAX(AQ$629:AQ642)+1,0)</f>
        <v>0</v>
      </c>
      <c r="AR643" s="1420">
        <f>IF(OR($L643=AR$627,$L643="",$D643=$AS$626),MAX(AR$629:AR642)+1,0)</f>
        <v>0</v>
      </c>
      <c r="AS643" s="1421">
        <f>IF(OR($L643=AS$627,$L643="",$D643=$AS$626),MAX(AS$629:AS642)+1,0)</f>
        <v>8</v>
      </c>
      <c r="AT643" s="5701"/>
      <c r="AU643" s="961" t="str">
        <f t="shared" si="73"/>
        <v>&gt; ESCUDOS</v>
      </c>
      <c r="AV643" s="87" t="str">
        <f t="shared" si="74"/>
        <v/>
      </c>
      <c r="AW643" s="87" t="str">
        <f t="shared" si="75"/>
        <v>Claymore</v>
      </c>
      <c r="AX643" s="1419">
        <f>IF(OR($L643=AX$627,$L643="",$D643=$AZ$626),MAX(AX$629:AX642)+1,0)</f>
        <v>0</v>
      </c>
      <c r="AY643" s="1420">
        <f>IF(OR($L643=AY$627,$L643="",$D643=$AZ$626),MAX(AY$629:AY642)+1,0)</f>
        <v>0</v>
      </c>
      <c r="AZ643" s="1421">
        <f>IF(OR($L643=AZ$627,$L643="",$D643=$AZ$626),MAX(AZ$629:AZ642)+1,0)</f>
        <v>8</v>
      </c>
      <c r="BA643" s="5701"/>
      <c r="BB643" s="961" t="str">
        <f t="shared" si="76"/>
        <v>&gt; ESCUDOS</v>
      </c>
      <c r="BC643" s="87" t="str">
        <f t="shared" si="77"/>
        <v/>
      </c>
      <c r="BD643" s="87" t="str">
        <f t="shared" si="78"/>
        <v>Claymore</v>
      </c>
      <c r="BE643" s="1419">
        <f>IF(OR($L643=BE$627,$L643="",$D643=$BG$626),MAX(BE$629:BE642)+1,0)</f>
        <v>0</v>
      </c>
      <c r="BF643" s="1420">
        <f>IF(OR($L643=BF$627,$L643="",$D643=$BG$626),MAX(BF$629:BF642)+1,0)</f>
        <v>0</v>
      </c>
      <c r="BG643" s="1421">
        <f>IF(OR($L643=BG$627,$L643="",$D643=$BG$626),MAX(BG$629:BG642)+1,0)</f>
        <v>8</v>
      </c>
      <c r="BH643" s="5701"/>
      <c r="BI643" s="961" t="str">
        <f t="shared" si="79"/>
        <v>&gt; ESCUDOS</v>
      </c>
      <c r="BJ643" s="87" t="str">
        <f t="shared" si="80"/>
        <v/>
      </c>
      <c r="BK643" s="87" t="str">
        <f t="shared" si="81"/>
        <v>Claymore</v>
      </c>
      <c r="BL643" s="1419">
        <f>IF(OR($L643=BL$627,$L643="",$D643=$BN$626),MAX(BL$629:BL642)+1,0)</f>
        <v>0</v>
      </c>
      <c r="BM643" s="1420">
        <f>IF(OR($L643=BM$627,$L643="",$D643=$BN$626),MAX(BM$629:BM642)+1,0)</f>
        <v>0</v>
      </c>
      <c r="BN643" s="1421">
        <f>IF(OR($L643=BN$627,$L643="",$D643=$BN$626),MAX(BN$629:BN642)+1,0)</f>
        <v>8</v>
      </c>
      <c r="BO643" s="5701"/>
      <c r="BP643" s="961" t="str">
        <f t="shared" si="82"/>
        <v>&gt; ESCUDOS</v>
      </c>
      <c r="BQ643" s="87" t="str">
        <f t="shared" si="83"/>
        <v/>
      </c>
      <c r="BR643" s="87" t="str">
        <f t="shared" si="84"/>
        <v>Claymore</v>
      </c>
      <c r="BS643" s="1419">
        <f>IF(OR($L643=BS$627,$L643="",$D643=$BU$626),MAX(BS$629:BS642)+1,0)</f>
        <v>0</v>
      </c>
      <c r="BT643" s="1420">
        <f>IF(OR($L643=BT$627,$L643="",$D643=$BU$626),MAX(BT$629:BT642)+1,0)</f>
        <v>0</v>
      </c>
      <c r="BU643" s="1421">
        <f>IF(OR($L643=BU$627,$L643="",$D643=$BU$626),MAX(BU$629:BU642)+1,0)</f>
        <v>8</v>
      </c>
    </row>
    <row r="644" spans="1:73" ht="12.75" customHeight="1" x14ac:dyDescent="0.2">
      <c r="A644" s="242">
        <v>644</v>
      </c>
      <c r="B644" s="5664"/>
      <c r="C644" s="1288"/>
      <c r="D644" s="1289" t="s">
        <v>7229</v>
      </c>
      <c r="E644" s="1295">
        <v>40</v>
      </c>
      <c r="F644" s="1287">
        <v>0</v>
      </c>
      <c r="G644" s="1287" t="s">
        <v>1464</v>
      </c>
      <c r="H644" s="1287">
        <v>6</v>
      </c>
      <c r="I644" s="1287" t="s">
        <v>1561</v>
      </c>
      <c r="J644" s="1287" t="s">
        <v>1506</v>
      </c>
      <c r="K644" s="1281" t="s">
        <v>7519</v>
      </c>
      <c r="L644" s="1287" t="str">
        <f t="shared" si="88"/>
        <v>Similar</v>
      </c>
      <c r="M644" s="1296">
        <v>9</v>
      </c>
      <c r="N644" s="1296">
        <v>3</v>
      </c>
      <c r="O644" s="1296">
        <v>25</v>
      </c>
      <c r="P644" s="1287"/>
      <c r="Q644" s="1287"/>
      <c r="R644" s="1287" t="s">
        <v>1464</v>
      </c>
      <c r="S644" s="1287" t="s">
        <v>1464</v>
      </c>
      <c r="T644" s="1287" t="s">
        <v>1464</v>
      </c>
      <c r="U644" s="1287"/>
      <c r="V644" s="1281" t="s">
        <v>7279</v>
      </c>
      <c r="W644" s="1281"/>
      <c r="X644" s="1282" t="str">
        <f t="shared" si="89"/>
        <v>Grande</v>
      </c>
      <c r="Z644" s="1418" t="str">
        <f t="shared" si="87"/>
        <v/>
      </c>
      <c r="AB644" s="961" t="s">
        <v>7233</v>
      </c>
      <c r="AC644" s="87" t="s">
        <v>7234</v>
      </c>
      <c r="AD644" s="1536" t="s">
        <v>2242</v>
      </c>
      <c r="AE644" s="1423" t="s">
        <v>8576</v>
      </c>
      <c r="AF644" s="1537"/>
      <c r="AG644" s="961" t="str">
        <f t="shared" si="67"/>
        <v>Escudo medio</v>
      </c>
      <c r="AH644" s="87" t="str">
        <f t="shared" si="68"/>
        <v/>
      </c>
      <c r="AI644" s="87" t="str">
        <f t="shared" si="69"/>
        <v>Daga</v>
      </c>
      <c r="AJ644" s="1419">
        <f>IF(OR($L644=AJ$627,$L644="",$D644=$AL$626),MAX(AJ$629:AJ643)+1,0)</f>
        <v>5</v>
      </c>
      <c r="AK644" s="1420">
        <f>IF(OR($L644=AK$627,$L644="",$D644=$AL$626),MAX(AK$629:AK643)+1,0)</f>
        <v>0</v>
      </c>
      <c r="AL644" s="1421">
        <f>IF(OR($L644=AL$627,$L644="",$D644=$AL$626),MAX(AL$629:AL643)+1,0)</f>
        <v>0</v>
      </c>
      <c r="AM644" s="5701"/>
      <c r="AN644" s="961" t="str">
        <f t="shared" si="70"/>
        <v>Escudo medio</v>
      </c>
      <c r="AO644" s="87" t="str">
        <f t="shared" si="71"/>
        <v/>
      </c>
      <c r="AP644" s="87" t="str">
        <f t="shared" si="72"/>
        <v>Daga</v>
      </c>
      <c r="AQ644" s="1419">
        <f>IF(OR($L644=AQ$627,$L644="",$D644=$AS$626),MAX(AQ$629:AQ643)+1,0)</f>
        <v>5</v>
      </c>
      <c r="AR644" s="1420">
        <f>IF(OR($L644=AR$627,$L644="",$D644=$AS$626),MAX(AR$629:AR643)+1,0)</f>
        <v>0</v>
      </c>
      <c r="AS644" s="1421">
        <f>IF(OR($L644=AS$627,$L644="",$D644=$AS$626),MAX(AS$629:AS643)+1,0)</f>
        <v>0</v>
      </c>
      <c r="AT644" s="5701"/>
      <c r="AU644" s="961" t="str">
        <f t="shared" si="73"/>
        <v>Escudo medio</v>
      </c>
      <c r="AV644" s="87" t="str">
        <f t="shared" si="74"/>
        <v/>
      </c>
      <c r="AW644" s="87" t="str">
        <f t="shared" si="75"/>
        <v>Daga</v>
      </c>
      <c r="AX644" s="1419">
        <f>IF(OR($L644=AX$627,$L644="",$D644=$AZ$626),MAX(AX$629:AX643)+1,0)</f>
        <v>5</v>
      </c>
      <c r="AY644" s="1420">
        <f>IF(OR($L644=AY$627,$L644="",$D644=$AZ$626),MAX(AY$629:AY643)+1,0)</f>
        <v>0</v>
      </c>
      <c r="AZ644" s="1421">
        <f>IF(OR($L644=AZ$627,$L644="",$D644=$AZ$626),MAX(AZ$629:AZ643)+1,0)</f>
        <v>0</v>
      </c>
      <c r="BA644" s="5701"/>
      <c r="BB644" s="961" t="str">
        <f t="shared" si="76"/>
        <v>Escudo medio</v>
      </c>
      <c r="BC644" s="87" t="str">
        <f t="shared" si="77"/>
        <v/>
      </c>
      <c r="BD644" s="87" t="str">
        <f t="shared" si="78"/>
        <v>Daga</v>
      </c>
      <c r="BE644" s="1419">
        <f>IF(OR($L644=BE$627,$L644="",$D644=$BG$626),MAX(BE$629:BE643)+1,0)</f>
        <v>5</v>
      </c>
      <c r="BF644" s="1420">
        <f>IF(OR($L644=BF$627,$L644="",$D644=$BG$626),MAX(BF$629:BF643)+1,0)</f>
        <v>0</v>
      </c>
      <c r="BG644" s="1421">
        <f>IF(OR($L644=BG$627,$L644="",$D644=$BG$626),MAX(BG$629:BG643)+1,0)</f>
        <v>0</v>
      </c>
      <c r="BH644" s="5701"/>
      <c r="BI644" s="961" t="str">
        <f t="shared" si="79"/>
        <v>Escudo medio</v>
      </c>
      <c r="BJ644" s="87" t="str">
        <f t="shared" si="80"/>
        <v/>
      </c>
      <c r="BK644" s="87" t="str">
        <f t="shared" si="81"/>
        <v>Daga</v>
      </c>
      <c r="BL644" s="1419">
        <f>IF(OR($L644=BL$627,$L644="",$D644=$BN$626),MAX(BL$629:BL643)+1,0)</f>
        <v>5</v>
      </c>
      <c r="BM644" s="1420">
        <f>IF(OR($L644=BM$627,$L644="",$D644=$BN$626),MAX(BM$629:BM643)+1,0)</f>
        <v>0</v>
      </c>
      <c r="BN644" s="1421">
        <f>IF(OR($L644=BN$627,$L644="",$D644=$BN$626),MAX(BN$629:BN643)+1,0)</f>
        <v>0</v>
      </c>
      <c r="BO644" s="5701"/>
      <c r="BP644" s="961" t="str">
        <f t="shared" si="82"/>
        <v>Escudo medio</v>
      </c>
      <c r="BQ644" s="87" t="str">
        <f t="shared" si="83"/>
        <v/>
      </c>
      <c r="BR644" s="87" t="str">
        <f t="shared" si="84"/>
        <v>Daga</v>
      </c>
      <c r="BS644" s="1419">
        <f>IF(OR($L644=BS$627,$L644="",$D644=$BU$626),MAX(BS$629:BS643)+1,0)</f>
        <v>5</v>
      </c>
      <c r="BT644" s="1420">
        <f>IF(OR($L644=BT$627,$L644="",$D644=$BU$626),MAX(BT$629:BT643)+1,0)</f>
        <v>0</v>
      </c>
      <c r="BU644" s="1421">
        <f>IF(OR($L644=BU$627,$L644="",$D644=$BU$626),MAX(BU$629:BU643)+1,0)</f>
        <v>0</v>
      </c>
    </row>
    <row r="645" spans="1:73" ht="12.75" customHeight="1" x14ac:dyDescent="0.2">
      <c r="A645" s="242">
        <v>645</v>
      </c>
      <c r="B645" s="5664"/>
      <c r="C645" s="1288"/>
      <c r="D645" s="1289" t="s">
        <v>2153</v>
      </c>
      <c r="E645" s="1295">
        <v>25</v>
      </c>
      <c r="F645" s="1287">
        <v>0</v>
      </c>
      <c r="G645" s="1287">
        <v>6</v>
      </c>
      <c r="H645" s="1287">
        <v>6</v>
      </c>
      <c r="I645" s="1287" t="s">
        <v>1506</v>
      </c>
      <c r="J645" s="1287" t="s">
        <v>1464</v>
      </c>
      <c r="K645" s="1281" t="s">
        <v>7523</v>
      </c>
      <c r="L645" s="1287" t="str">
        <f t="shared" si="88"/>
        <v>Distinta</v>
      </c>
      <c r="M645" s="1296">
        <v>13</v>
      </c>
      <c r="N645" s="1296">
        <v>2</v>
      </c>
      <c r="O645" s="1296">
        <v>15</v>
      </c>
      <c r="P645" s="1287"/>
      <c r="Q645" s="1287"/>
      <c r="R645" s="1287" t="s">
        <v>1464</v>
      </c>
      <c r="S645" s="1287" t="s">
        <v>1464</v>
      </c>
      <c r="T645" s="1287" t="s">
        <v>1464</v>
      </c>
      <c r="U645" s="1287"/>
      <c r="V645" s="1281" t="s">
        <v>2155</v>
      </c>
      <c r="W645" s="1281"/>
      <c r="X645" s="1282" t="str">
        <f t="shared" si="89"/>
        <v>Mediana</v>
      </c>
      <c r="Z645" s="1418" t="str">
        <f t="shared" si="87"/>
        <v/>
      </c>
      <c r="AB645" s="961" t="s">
        <v>2158</v>
      </c>
      <c r="AC645" s="87" t="s">
        <v>7235</v>
      </c>
      <c r="AD645" s="1536" t="s">
        <v>2243</v>
      </c>
      <c r="AE645" s="1423" t="s">
        <v>8577</v>
      </c>
      <c r="AF645" s="1537"/>
      <c r="AG645" s="961" t="str">
        <f t="shared" si="67"/>
        <v>Rodela</v>
      </c>
      <c r="AH645" s="87" t="str">
        <f t="shared" si="68"/>
        <v/>
      </c>
      <c r="AI645" s="87" t="str">
        <f t="shared" si="69"/>
        <v>Daga de parada</v>
      </c>
      <c r="AJ645" s="1419">
        <f>IF(OR($L645=AJ$627,$L645="",$D645=$AL$626),MAX(AJ$629:AJ644)+1,0)</f>
        <v>0</v>
      </c>
      <c r="AK645" s="1420">
        <f>IF(OR($L645=AK$627,$L645="",$D645=$AL$626),MAX(AK$629:AK644)+1,0)</f>
        <v>0</v>
      </c>
      <c r="AL645" s="1421">
        <f>IF(OR($L645=AL$627,$L645="",$D645=$AL$626),MAX(AL$629:AL644)+1,0)</f>
        <v>9</v>
      </c>
      <c r="AM645" s="5701"/>
      <c r="AN645" s="961" t="str">
        <f t="shared" si="70"/>
        <v>Rodela</v>
      </c>
      <c r="AO645" s="87" t="str">
        <f t="shared" si="71"/>
        <v/>
      </c>
      <c r="AP645" s="87" t="str">
        <f t="shared" si="72"/>
        <v>Daga de parada</v>
      </c>
      <c r="AQ645" s="1419">
        <f>IF(OR($L645=AQ$627,$L645="",$D645=$AS$626),MAX(AQ$629:AQ644)+1,0)</f>
        <v>0</v>
      </c>
      <c r="AR645" s="1420">
        <f>IF(OR($L645=AR$627,$L645="",$D645=$AS$626),MAX(AR$629:AR644)+1,0)</f>
        <v>0</v>
      </c>
      <c r="AS645" s="1421">
        <f>IF(OR($L645=AS$627,$L645="",$D645=$AS$626),MAX(AS$629:AS644)+1,0)</f>
        <v>9</v>
      </c>
      <c r="AT645" s="5701"/>
      <c r="AU645" s="961" t="str">
        <f t="shared" si="73"/>
        <v>Rodela</v>
      </c>
      <c r="AV645" s="87" t="str">
        <f t="shared" si="74"/>
        <v/>
      </c>
      <c r="AW645" s="87" t="str">
        <f t="shared" si="75"/>
        <v>Daga de parada</v>
      </c>
      <c r="AX645" s="1419">
        <f>IF(OR($L645=AX$627,$L645="",$D645=$AZ$626),MAX(AX$629:AX644)+1,0)</f>
        <v>0</v>
      </c>
      <c r="AY645" s="1420">
        <f>IF(OR($L645=AY$627,$L645="",$D645=$AZ$626),MAX(AY$629:AY644)+1,0)</f>
        <v>0</v>
      </c>
      <c r="AZ645" s="1421">
        <f>IF(OR($L645=AZ$627,$L645="",$D645=$AZ$626),MAX(AZ$629:AZ644)+1,0)</f>
        <v>9</v>
      </c>
      <c r="BA645" s="5701"/>
      <c r="BB645" s="961" t="str">
        <f t="shared" si="76"/>
        <v>Rodela</v>
      </c>
      <c r="BC645" s="87" t="str">
        <f t="shared" si="77"/>
        <v/>
      </c>
      <c r="BD645" s="87" t="str">
        <f t="shared" si="78"/>
        <v>Daga de parada</v>
      </c>
      <c r="BE645" s="1419">
        <f>IF(OR($L645=BE$627,$L645="",$D645=$BG$626),MAX(BE$629:BE644)+1,0)</f>
        <v>0</v>
      </c>
      <c r="BF645" s="1420">
        <f>IF(OR($L645=BF$627,$L645="",$D645=$BG$626),MAX(BF$629:BF644)+1,0)</f>
        <v>0</v>
      </c>
      <c r="BG645" s="1421">
        <f>IF(OR($L645=BG$627,$L645="",$D645=$BG$626),MAX(BG$629:BG644)+1,0)</f>
        <v>9</v>
      </c>
      <c r="BH645" s="5701"/>
      <c r="BI645" s="961" t="str">
        <f t="shared" si="79"/>
        <v>Rodela</v>
      </c>
      <c r="BJ645" s="87" t="str">
        <f t="shared" si="80"/>
        <v/>
      </c>
      <c r="BK645" s="87" t="str">
        <f t="shared" si="81"/>
        <v>Daga de parada</v>
      </c>
      <c r="BL645" s="1419">
        <f>IF(OR($L645=BL$627,$L645="",$D645=$BN$626),MAX(BL$629:BL644)+1,0)</f>
        <v>0</v>
      </c>
      <c r="BM645" s="1420">
        <f>IF(OR($L645=BM$627,$L645="",$D645=$BN$626),MAX(BM$629:BM644)+1,0)</f>
        <v>0</v>
      </c>
      <c r="BN645" s="1421">
        <f>IF(OR($L645=BN$627,$L645="",$D645=$BN$626),MAX(BN$629:BN644)+1,0)</f>
        <v>9</v>
      </c>
      <c r="BO645" s="5701"/>
      <c r="BP645" s="961" t="str">
        <f t="shared" si="82"/>
        <v>Rodela</v>
      </c>
      <c r="BQ645" s="87" t="str">
        <f t="shared" si="83"/>
        <v/>
      </c>
      <c r="BR645" s="87" t="str">
        <f t="shared" si="84"/>
        <v>Daga de parada</v>
      </c>
      <c r="BS645" s="1419">
        <f>IF(OR($L645=BS$627,$L645="",$D645=$BU$626),MAX(BS$629:BS644)+1,0)</f>
        <v>0</v>
      </c>
      <c r="BT645" s="1420">
        <f>IF(OR($L645=BT$627,$L645="",$D645=$BU$626),MAX(BT$629:BT644)+1,0)</f>
        <v>0</v>
      </c>
      <c r="BU645" s="1421">
        <f>IF(OR($L645=BU$627,$L645="",$D645=$BU$626),MAX(BU$629:BU644)+1,0)</f>
        <v>9</v>
      </c>
    </row>
    <row r="646" spans="1:73" ht="12.75" customHeight="1" x14ac:dyDescent="0.2">
      <c r="A646" s="242">
        <v>646</v>
      </c>
      <c r="B646" s="5664"/>
      <c r="C646" s="1288"/>
      <c r="D646" s="1289" t="s">
        <v>2156</v>
      </c>
      <c r="E646" s="1295">
        <v>25</v>
      </c>
      <c r="F646" s="1287">
        <v>10</v>
      </c>
      <c r="G646" s="1287">
        <v>3</v>
      </c>
      <c r="H646" s="1287">
        <v>3</v>
      </c>
      <c r="I646" s="1287" t="s">
        <v>1561</v>
      </c>
      <c r="J646" s="1287" t="s">
        <v>1560</v>
      </c>
      <c r="K646" s="1281" t="s">
        <v>7524</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7236</v>
      </c>
      <c r="AC646" s="87" t="s">
        <v>7237</v>
      </c>
      <c r="AD646" s="1536" t="s">
        <v>2262</v>
      </c>
      <c r="AE646" s="1423" t="s">
        <v>8578</v>
      </c>
      <c r="AF646" s="1537"/>
      <c r="AG646" s="961" t="str">
        <f t="shared" si="67"/>
        <v>&gt; ARMAS EXÓTICAS</v>
      </c>
      <c r="AH646" s="87" t="str">
        <f t="shared" si="68"/>
        <v/>
      </c>
      <c r="AI646" s="87" t="str">
        <f t="shared" si="69"/>
        <v>Dardos de mano</v>
      </c>
      <c r="AJ646" s="1419">
        <f>IF(OR($L646=AJ$627,$L646="",$D646=$AL$626),MAX(AJ$629:AJ645)+1,0)</f>
        <v>0</v>
      </c>
      <c r="AK646" s="1420">
        <f>IF(OR($L646=AK$627,$L646="",$D646=$AL$626),MAX(AK$629:AK645)+1,0)</f>
        <v>0</v>
      </c>
      <c r="AL646" s="1421">
        <f>IF(OR($L646=AL$627,$L646="",$D646=$AL$626),MAX(AL$629:AL645)+1,0)</f>
        <v>10</v>
      </c>
      <c r="AM646" s="5701"/>
      <c r="AN646" s="961" t="str">
        <f t="shared" si="70"/>
        <v>&gt; ARMAS EXÓTICAS</v>
      </c>
      <c r="AO646" s="87" t="str">
        <f t="shared" si="71"/>
        <v/>
      </c>
      <c r="AP646" s="87" t="str">
        <f t="shared" si="72"/>
        <v>Dardos de mano</v>
      </c>
      <c r="AQ646" s="1419">
        <f>IF(OR($L646=AQ$627,$L646="",$D646=$AS$626),MAX(AQ$629:AQ645)+1,0)</f>
        <v>0</v>
      </c>
      <c r="AR646" s="1420">
        <f>IF(OR($L646=AR$627,$L646="",$D646=$AS$626),MAX(AR$629:AR645)+1,0)</f>
        <v>0</v>
      </c>
      <c r="AS646" s="1421">
        <f>IF(OR($L646=AS$627,$L646="",$D646=$AS$626),MAX(AS$629:AS645)+1,0)</f>
        <v>10</v>
      </c>
      <c r="AT646" s="5701"/>
      <c r="AU646" s="961" t="str">
        <f t="shared" si="73"/>
        <v>&gt; ARMAS EXÓTICAS</v>
      </c>
      <c r="AV646" s="87" t="str">
        <f t="shared" si="74"/>
        <v/>
      </c>
      <c r="AW646" s="87" t="str">
        <f t="shared" si="75"/>
        <v>Dardos de mano</v>
      </c>
      <c r="AX646" s="1419">
        <f>IF(OR($L646=AX$627,$L646="",$D646=$AZ$626),MAX(AX$629:AX645)+1,0)</f>
        <v>0</v>
      </c>
      <c r="AY646" s="1420">
        <f>IF(OR($L646=AY$627,$L646="",$D646=$AZ$626),MAX(AY$629:AY645)+1,0)</f>
        <v>0</v>
      </c>
      <c r="AZ646" s="1421">
        <f>IF(OR($L646=AZ$627,$L646="",$D646=$AZ$626),MAX(AZ$629:AZ645)+1,0)</f>
        <v>10</v>
      </c>
      <c r="BA646" s="5701"/>
      <c r="BB646" s="961" t="str">
        <f t="shared" si="76"/>
        <v>&gt; ARMAS EXÓTICAS</v>
      </c>
      <c r="BC646" s="87" t="str">
        <f t="shared" si="77"/>
        <v/>
      </c>
      <c r="BD646" s="87" t="str">
        <f t="shared" si="78"/>
        <v>Dardos de mano</v>
      </c>
      <c r="BE646" s="1419">
        <f>IF(OR($L646=BE$627,$L646="",$D646=$BG$626),MAX(BE$629:BE645)+1,0)</f>
        <v>0</v>
      </c>
      <c r="BF646" s="1420">
        <f>IF(OR($L646=BF$627,$L646="",$D646=$BG$626),MAX(BF$629:BF645)+1,0)</f>
        <v>0</v>
      </c>
      <c r="BG646" s="1421">
        <f>IF(OR($L646=BG$627,$L646="",$D646=$BG$626),MAX(BG$629:BG645)+1,0)</f>
        <v>10</v>
      </c>
      <c r="BH646" s="5701"/>
      <c r="BI646" s="961" t="str">
        <f t="shared" si="79"/>
        <v>&gt; ARMAS EXÓTICAS</v>
      </c>
      <c r="BJ646" s="87" t="str">
        <f t="shared" si="80"/>
        <v/>
      </c>
      <c r="BK646" s="87" t="str">
        <f t="shared" si="81"/>
        <v>Dardos de mano</v>
      </c>
      <c r="BL646" s="1419">
        <f>IF(OR($L646=BL$627,$L646="",$D646=$BN$626),MAX(BL$629:BL645)+1,0)</f>
        <v>0</v>
      </c>
      <c r="BM646" s="1420">
        <f>IF(OR($L646=BM$627,$L646="",$D646=$BN$626),MAX(BM$629:BM645)+1,0)</f>
        <v>0</v>
      </c>
      <c r="BN646" s="1421">
        <f>IF(OR($L646=BN$627,$L646="",$D646=$BN$626),MAX(BN$629:BN645)+1,0)</f>
        <v>10</v>
      </c>
      <c r="BO646" s="5701"/>
      <c r="BP646" s="961" t="str">
        <f t="shared" si="82"/>
        <v>&gt; ARMAS EXÓTICAS</v>
      </c>
      <c r="BQ646" s="87" t="str">
        <f t="shared" si="83"/>
        <v/>
      </c>
      <c r="BR646" s="87" t="str">
        <f t="shared" si="84"/>
        <v>Dardos de mano</v>
      </c>
      <c r="BS646" s="1419">
        <f>IF(OR($L646=BS$627,$L646="",$D646=$BU$626),MAX(BS$629:BS645)+1,0)</f>
        <v>0</v>
      </c>
      <c r="BT646" s="1420">
        <f>IF(OR($L646=BT$627,$L646="",$D646=$BU$626),MAX(BT$629:BT645)+1,0)</f>
        <v>0</v>
      </c>
      <c r="BU646" s="1421">
        <f>IF(OR($L646=BU$627,$L646="",$D646=$BU$626),MAX(BU$629:BU645)+1,0)</f>
        <v>10</v>
      </c>
    </row>
    <row r="647" spans="1:73" ht="12.75" customHeight="1" x14ac:dyDescent="0.2">
      <c r="A647" s="242">
        <v>647</v>
      </c>
      <c r="B647" s="5664"/>
      <c r="C647" s="1288"/>
      <c r="D647" s="1289" t="s">
        <v>7233</v>
      </c>
      <c r="E647" s="1295">
        <v>40</v>
      </c>
      <c r="F647" s="1287">
        <v>5</v>
      </c>
      <c r="G647" s="1287">
        <v>6</v>
      </c>
      <c r="H647" s="1287">
        <v>6</v>
      </c>
      <c r="I647" s="1287" t="s">
        <v>1506</v>
      </c>
      <c r="J647" s="1287" t="s">
        <v>1464</v>
      </c>
      <c r="K647" s="1281" t="s">
        <v>7525</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2160</v>
      </c>
      <c r="AC647" s="87" t="s">
        <v>2176</v>
      </c>
      <c r="AD647" s="1536" t="s">
        <v>8866</v>
      </c>
      <c r="AE647" s="1423" t="s">
        <v>8579</v>
      </c>
      <c r="AF647" s="1537"/>
      <c r="AG647" s="961" t="str">
        <f t="shared" si="67"/>
        <v>Anciano de primavera</v>
      </c>
      <c r="AH647" s="87" t="str">
        <f t="shared" si="68"/>
        <v/>
      </c>
      <c r="AI647" s="87" t="str">
        <f t="shared" si="69"/>
        <v>Dirk</v>
      </c>
      <c r="AJ647" s="1419">
        <f>IF(OR($L647=AJ$627,$L647="",$D647=$AL$626),MAX(AJ$629:AJ646)+1,0)</f>
        <v>0</v>
      </c>
      <c r="AK647" s="1420">
        <f>IF(OR($L647=AK$627,$L647="",$D647=$AL$626),MAX(AK$629:AK646)+1,0)</f>
        <v>0</v>
      </c>
      <c r="AL647" s="1421">
        <f>IF(OR($L647=AL$627,$L647="",$D647=$AL$626),MAX(AL$629:AL646)+1,0)</f>
        <v>11</v>
      </c>
      <c r="AM647" s="5701"/>
      <c r="AN647" s="961" t="str">
        <f t="shared" si="70"/>
        <v>Anciano de primavera</v>
      </c>
      <c r="AO647" s="87" t="str">
        <f t="shared" si="71"/>
        <v/>
      </c>
      <c r="AP647" s="87" t="str">
        <f t="shared" si="72"/>
        <v>Dirk</v>
      </c>
      <c r="AQ647" s="1419">
        <f>IF(OR($L647=AQ$627,$L647="",$D647=$AS$626),MAX(AQ$629:AQ646)+1,0)</f>
        <v>0</v>
      </c>
      <c r="AR647" s="1420">
        <f>IF(OR($L647=AR$627,$L647="",$D647=$AS$626),MAX(AR$629:AR646)+1,0)</f>
        <v>0</v>
      </c>
      <c r="AS647" s="1421">
        <f>IF(OR($L647=AS$627,$L647="",$D647=$AS$626),MAX(AS$629:AS646)+1,0)</f>
        <v>11</v>
      </c>
      <c r="AT647" s="5701"/>
      <c r="AU647" s="961" t="str">
        <f t="shared" si="73"/>
        <v>Anciano de primavera</v>
      </c>
      <c r="AV647" s="87" t="str">
        <f t="shared" si="74"/>
        <v/>
      </c>
      <c r="AW647" s="87" t="str">
        <f t="shared" si="75"/>
        <v>Dirk</v>
      </c>
      <c r="AX647" s="1419">
        <f>IF(OR($L647=AX$627,$L647="",$D647=$AZ$626),MAX(AX$629:AX646)+1,0)</f>
        <v>0</v>
      </c>
      <c r="AY647" s="1420">
        <f>IF(OR($L647=AY$627,$L647="",$D647=$AZ$626),MAX(AY$629:AY646)+1,0)</f>
        <v>0</v>
      </c>
      <c r="AZ647" s="1421">
        <f>IF(OR($L647=AZ$627,$L647="",$D647=$AZ$626),MAX(AZ$629:AZ646)+1,0)</f>
        <v>11</v>
      </c>
      <c r="BA647" s="5701"/>
      <c r="BB647" s="961" t="str">
        <f t="shared" si="76"/>
        <v>Anciano de primavera</v>
      </c>
      <c r="BC647" s="87" t="str">
        <f t="shared" si="77"/>
        <v/>
      </c>
      <c r="BD647" s="87" t="str">
        <f t="shared" si="78"/>
        <v>Dirk</v>
      </c>
      <c r="BE647" s="1419">
        <f>IF(OR($L647=BE$627,$L647="",$D647=$BG$626),MAX(BE$629:BE646)+1,0)</f>
        <v>0</v>
      </c>
      <c r="BF647" s="1420">
        <f>IF(OR($L647=BF$627,$L647="",$D647=$BG$626),MAX(BF$629:BF646)+1,0)</f>
        <v>0</v>
      </c>
      <c r="BG647" s="1421">
        <f>IF(OR($L647=BG$627,$L647="",$D647=$BG$626),MAX(BG$629:BG646)+1,0)</f>
        <v>11</v>
      </c>
      <c r="BH647" s="5701"/>
      <c r="BI647" s="961" t="str">
        <f t="shared" si="79"/>
        <v>Anciano de primavera</v>
      </c>
      <c r="BJ647" s="87" t="str">
        <f t="shared" si="80"/>
        <v/>
      </c>
      <c r="BK647" s="87" t="str">
        <f t="shared" si="81"/>
        <v>Dirk</v>
      </c>
      <c r="BL647" s="1419">
        <f>IF(OR($L647=BL$627,$L647="",$D647=$BN$626),MAX(BL$629:BL646)+1,0)</f>
        <v>0</v>
      </c>
      <c r="BM647" s="1420">
        <f>IF(OR($L647=BM$627,$L647="",$D647=$BN$626),MAX(BM$629:BM646)+1,0)</f>
        <v>0</v>
      </c>
      <c r="BN647" s="1421">
        <f>IF(OR($L647=BN$627,$L647="",$D647=$BN$626),MAX(BN$629:BN646)+1,0)</f>
        <v>11</v>
      </c>
      <c r="BO647" s="5701"/>
      <c r="BP647" s="961" t="str">
        <f t="shared" si="82"/>
        <v>Anciano de primavera</v>
      </c>
      <c r="BQ647" s="87" t="str">
        <f t="shared" si="83"/>
        <v/>
      </c>
      <c r="BR647" s="87" t="str">
        <f t="shared" si="84"/>
        <v>Dirk</v>
      </c>
      <c r="BS647" s="1419">
        <f>IF(OR($L647=BS$627,$L647="",$D647=$BU$626),MAX(BS$629:BS646)+1,0)</f>
        <v>0</v>
      </c>
      <c r="BT647" s="1420">
        <f>IF(OR($L647=BT$627,$L647="",$D647=$BU$626),MAX(BT$629:BT646)+1,0)</f>
        <v>0</v>
      </c>
      <c r="BU647" s="1421">
        <f>IF(OR($L647=BU$627,$L647="",$D647=$BU$626),MAX(BU$629:BU646)+1,0)</f>
        <v>11</v>
      </c>
    </row>
    <row r="648" spans="1:73" ht="12.75" customHeight="1" x14ac:dyDescent="0.2">
      <c r="A648" s="242">
        <v>648</v>
      </c>
      <c r="B648" s="5664"/>
      <c r="C648" s="1288"/>
      <c r="D648" s="1289" t="s">
        <v>2158</v>
      </c>
      <c r="E648" s="1295">
        <v>50</v>
      </c>
      <c r="F648" s="1287">
        <v>-5</v>
      </c>
      <c r="G648" s="1287">
        <v>5</v>
      </c>
      <c r="H648" s="1287">
        <v>5</v>
      </c>
      <c r="I648" s="1287" t="s">
        <v>1560</v>
      </c>
      <c r="J648" s="1287" t="s">
        <v>1464</v>
      </c>
      <c r="K648" s="1281" t="s">
        <v>7522</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2161</v>
      </c>
      <c r="AC648" s="87" t="s">
        <v>2177</v>
      </c>
      <c r="AD648" s="1536" t="s">
        <v>8867</v>
      </c>
      <c r="AE648" s="1423" t="s">
        <v>2262</v>
      </c>
      <c r="AF648" s="1537"/>
      <c r="AG648" s="961" t="str">
        <f t="shared" si="67"/>
        <v>Kumade</v>
      </c>
      <c r="AH648" s="87" t="str">
        <f t="shared" si="68"/>
        <v/>
      </c>
      <c r="AI648" s="87" t="str">
        <f t="shared" si="69"/>
        <v>Escramasajón</v>
      </c>
      <c r="AJ648" s="1419">
        <f>IF(OR($L648=AJ$627,$L648="",$D648=$AL$626),MAX(AJ$629:AJ647)+1,0)</f>
        <v>0</v>
      </c>
      <c r="AK648" s="1420">
        <f>IF(OR($L648=AK$627,$L648="",$D648=$AL$626),MAX(AK$629:AK647)+1,0)</f>
        <v>0</v>
      </c>
      <c r="AL648" s="1421">
        <f>IF(OR($L648=AL$627,$L648="",$D648=$AL$626),MAX(AL$629:AL647)+1,0)</f>
        <v>12</v>
      </c>
      <c r="AM648" s="5701"/>
      <c r="AN648" s="961" t="str">
        <f t="shared" si="70"/>
        <v>Kumade</v>
      </c>
      <c r="AO648" s="87" t="str">
        <f t="shared" si="71"/>
        <v/>
      </c>
      <c r="AP648" s="87" t="str">
        <f t="shared" si="72"/>
        <v>Escramasajón</v>
      </c>
      <c r="AQ648" s="1419">
        <f>IF(OR($L648=AQ$627,$L648="",$D648=$AS$626),MAX(AQ$629:AQ647)+1,0)</f>
        <v>0</v>
      </c>
      <c r="AR648" s="1420">
        <f>IF(OR($L648=AR$627,$L648="",$D648=$AS$626),MAX(AR$629:AR647)+1,0)</f>
        <v>0</v>
      </c>
      <c r="AS648" s="1421">
        <f>IF(OR($L648=AS$627,$L648="",$D648=$AS$626),MAX(AS$629:AS647)+1,0)</f>
        <v>12</v>
      </c>
      <c r="AT648" s="5701"/>
      <c r="AU648" s="961" t="str">
        <f t="shared" si="73"/>
        <v>Kumade</v>
      </c>
      <c r="AV648" s="87" t="str">
        <f t="shared" si="74"/>
        <v/>
      </c>
      <c r="AW648" s="87" t="str">
        <f t="shared" si="75"/>
        <v>Escramasajón</v>
      </c>
      <c r="AX648" s="1419">
        <f>IF(OR($L648=AX$627,$L648="",$D648=$AZ$626),MAX(AX$629:AX647)+1,0)</f>
        <v>0</v>
      </c>
      <c r="AY648" s="1420">
        <f>IF(OR($L648=AY$627,$L648="",$D648=$AZ$626),MAX(AY$629:AY647)+1,0)</f>
        <v>0</v>
      </c>
      <c r="AZ648" s="1421">
        <f>IF(OR($L648=AZ$627,$L648="",$D648=$AZ$626),MAX(AZ$629:AZ647)+1,0)</f>
        <v>12</v>
      </c>
      <c r="BA648" s="5701"/>
      <c r="BB648" s="961" t="str">
        <f t="shared" si="76"/>
        <v>Kumade</v>
      </c>
      <c r="BC648" s="87" t="str">
        <f t="shared" si="77"/>
        <v/>
      </c>
      <c r="BD648" s="87" t="str">
        <f t="shared" si="78"/>
        <v>Escramasajón</v>
      </c>
      <c r="BE648" s="1419">
        <f>IF(OR($L648=BE$627,$L648="",$D648=$BG$626),MAX(BE$629:BE647)+1,0)</f>
        <v>0</v>
      </c>
      <c r="BF648" s="1420">
        <f>IF(OR($L648=BF$627,$L648="",$D648=$BG$626),MAX(BF$629:BF647)+1,0)</f>
        <v>0</v>
      </c>
      <c r="BG648" s="1421">
        <f>IF(OR($L648=BG$627,$L648="",$D648=$BG$626),MAX(BG$629:BG647)+1,0)</f>
        <v>12</v>
      </c>
      <c r="BH648" s="5701"/>
      <c r="BI648" s="961" t="str">
        <f t="shared" si="79"/>
        <v>Kumade</v>
      </c>
      <c r="BJ648" s="87" t="str">
        <f t="shared" si="80"/>
        <v/>
      </c>
      <c r="BK648" s="87" t="str">
        <f t="shared" si="81"/>
        <v>Escramasajón</v>
      </c>
      <c r="BL648" s="1419">
        <f>IF(OR($L648=BL$627,$L648="",$D648=$BN$626),MAX(BL$629:BL647)+1,0)</f>
        <v>0</v>
      </c>
      <c r="BM648" s="1420">
        <f>IF(OR($L648=BM$627,$L648="",$D648=$BN$626),MAX(BM$629:BM647)+1,0)</f>
        <v>0</v>
      </c>
      <c r="BN648" s="1421">
        <f>IF(OR($L648=BN$627,$L648="",$D648=$BN$626),MAX(BN$629:BN647)+1,0)</f>
        <v>12</v>
      </c>
      <c r="BO648" s="5701"/>
      <c r="BP648" s="961" t="str">
        <f t="shared" si="82"/>
        <v>Kumade</v>
      </c>
      <c r="BQ648" s="87" t="str">
        <f t="shared" si="83"/>
        <v/>
      </c>
      <c r="BR648" s="87" t="str">
        <f t="shared" si="84"/>
        <v>Escramasajón</v>
      </c>
      <c r="BS648" s="1419">
        <f>IF(OR($L648=BS$627,$L648="",$D648=$BU$626),MAX(BS$629:BS647)+1,0)</f>
        <v>0</v>
      </c>
      <c r="BT648" s="1420">
        <f>IF(OR($L648=BT$627,$L648="",$D648=$BU$626),MAX(BT$629:BT647)+1,0)</f>
        <v>0</v>
      </c>
      <c r="BU648" s="1421">
        <f>IF(OR($L648=BU$627,$L648="",$D648=$BU$626),MAX(BU$629:BU647)+1,0)</f>
        <v>12</v>
      </c>
    </row>
    <row r="649" spans="1:73" ht="12.75" customHeight="1" x14ac:dyDescent="0.2">
      <c r="A649" s="242">
        <v>649</v>
      </c>
      <c r="B649" s="5664"/>
      <c r="C649" s="1288"/>
      <c r="D649" s="1289" t="s">
        <v>7236</v>
      </c>
      <c r="E649" s="1295">
        <v>35</v>
      </c>
      <c r="F649" s="1287">
        <v>0</v>
      </c>
      <c r="G649" s="1287">
        <v>4</v>
      </c>
      <c r="H649" s="1287">
        <v>4</v>
      </c>
      <c r="I649" s="1287" t="s">
        <v>1561</v>
      </c>
      <c r="J649" s="1287" t="s">
        <v>1560</v>
      </c>
      <c r="K649" s="1281" t="s">
        <v>7524</v>
      </c>
      <c r="L649" s="1287" t="str">
        <f t="shared" si="88"/>
        <v>Distinta</v>
      </c>
      <c r="M649" s="1296">
        <v>12</v>
      </c>
      <c r="N649" s="1296">
        <v>0</v>
      </c>
      <c r="O649" s="1296">
        <v>20</v>
      </c>
      <c r="P649" s="1287"/>
      <c r="Q649" s="1287"/>
      <c r="R649" s="1287" t="s">
        <v>1464</v>
      </c>
      <c r="S649" s="1287" t="s">
        <v>1464</v>
      </c>
      <c r="T649" s="1287" t="s">
        <v>1464</v>
      </c>
      <c r="U649" s="1287"/>
      <c r="V649" s="1281" t="s">
        <v>2168</v>
      </c>
      <c r="W649" s="1281"/>
      <c r="X649" s="1282" t="str">
        <f t="shared" si="89"/>
        <v>Pequeña</v>
      </c>
      <c r="Z649" s="1418" t="str">
        <f t="shared" si="87"/>
        <v/>
      </c>
      <c r="AB649" s="961" t="s">
        <v>2162</v>
      </c>
      <c r="AC649" s="87" t="s">
        <v>7239</v>
      </c>
      <c r="AD649" s="857"/>
      <c r="AE649" s="1423" t="s">
        <v>8866</v>
      </c>
      <c r="AF649" s="1537"/>
      <c r="AG649" s="961" t="str">
        <f t="shared" si="67"/>
        <v>Lajatang</v>
      </c>
      <c r="AH649" s="87" t="str">
        <f t="shared" si="68"/>
        <v/>
      </c>
      <c r="AI649" s="87" t="str">
        <f t="shared" si="69"/>
        <v>Espada a dos manos</v>
      </c>
      <c r="AJ649" s="1419">
        <f>IF(OR($L649=AJ$627,$L649="",$D649=$AL$626),MAX(AJ$629:AJ648)+1,0)</f>
        <v>0</v>
      </c>
      <c r="AK649" s="1420">
        <f>IF(OR($L649=AK$627,$L649="",$D649=$AL$626),MAX(AK$629:AK648)+1,0)</f>
        <v>0</v>
      </c>
      <c r="AL649" s="1421">
        <f>IF(OR($L649=AL$627,$L649="",$D649=$AL$626),MAX(AL$629:AL648)+1,0)</f>
        <v>13</v>
      </c>
      <c r="AM649" s="5701"/>
      <c r="AN649" s="961" t="str">
        <f t="shared" si="70"/>
        <v>Lajatang</v>
      </c>
      <c r="AO649" s="87" t="str">
        <f t="shared" si="71"/>
        <v/>
      </c>
      <c r="AP649" s="87" t="str">
        <f t="shared" si="72"/>
        <v>Espada a dos manos</v>
      </c>
      <c r="AQ649" s="1419">
        <f>IF(OR($L649=AQ$627,$L649="",$D649=$AS$626),MAX(AQ$629:AQ648)+1,0)</f>
        <v>0</v>
      </c>
      <c r="AR649" s="1420">
        <f>IF(OR($L649=AR$627,$L649="",$D649=$AS$626),MAX(AR$629:AR648)+1,0)</f>
        <v>0</v>
      </c>
      <c r="AS649" s="1421">
        <f>IF(OR($L649=AS$627,$L649="",$D649=$AS$626),MAX(AS$629:AS648)+1,0)</f>
        <v>13</v>
      </c>
      <c r="AT649" s="5701"/>
      <c r="AU649" s="961" t="str">
        <f t="shared" si="73"/>
        <v>Lajatang</v>
      </c>
      <c r="AV649" s="87" t="str">
        <f t="shared" si="74"/>
        <v/>
      </c>
      <c r="AW649" s="87" t="str">
        <f t="shared" si="75"/>
        <v>Espada a dos manos</v>
      </c>
      <c r="AX649" s="1419">
        <f>IF(OR($L649=AX$627,$L649="",$D649=$AZ$626),MAX(AX$629:AX648)+1,0)</f>
        <v>0</v>
      </c>
      <c r="AY649" s="1420">
        <f>IF(OR($L649=AY$627,$L649="",$D649=$AZ$626),MAX(AY$629:AY648)+1,0)</f>
        <v>0</v>
      </c>
      <c r="AZ649" s="1421">
        <f>IF(OR($L649=AZ$627,$L649="",$D649=$AZ$626),MAX(AZ$629:AZ648)+1,0)</f>
        <v>13</v>
      </c>
      <c r="BA649" s="5701"/>
      <c r="BB649" s="961" t="str">
        <f t="shared" si="76"/>
        <v>Lajatang</v>
      </c>
      <c r="BC649" s="87" t="str">
        <f t="shared" si="77"/>
        <v/>
      </c>
      <c r="BD649" s="87" t="str">
        <f t="shared" si="78"/>
        <v>Espada a dos manos</v>
      </c>
      <c r="BE649" s="1419">
        <f>IF(OR($L649=BE$627,$L649="",$D649=$BG$626),MAX(BE$629:BE648)+1,0)</f>
        <v>0</v>
      </c>
      <c r="BF649" s="1420">
        <f>IF(OR($L649=BF$627,$L649="",$D649=$BG$626),MAX(BF$629:BF648)+1,0)</f>
        <v>0</v>
      </c>
      <c r="BG649" s="1421">
        <f>IF(OR($L649=BG$627,$L649="",$D649=$BG$626),MAX(BG$629:BG648)+1,0)</f>
        <v>13</v>
      </c>
      <c r="BH649" s="5701"/>
      <c r="BI649" s="961" t="str">
        <f t="shared" si="79"/>
        <v>Lajatang</v>
      </c>
      <c r="BJ649" s="87" t="str">
        <f t="shared" si="80"/>
        <v/>
      </c>
      <c r="BK649" s="87" t="str">
        <f t="shared" si="81"/>
        <v>Espada a dos manos</v>
      </c>
      <c r="BL649" s="1419">
        <f>IF(OR($L649=BL$627,$L649="",$D649=$BN$626),MAX(BL$629:BL648)+1,0)</f>
        <v>0</v>
      </c>
      <c r="BM649" s="1420">
        <f>IF(OR($L649=BM$627,$L649="",$D649=$BN$626),MAX(BM$629:BM648)+1,0)</f>
        <v>0</v>
      </c>
      <c r="BN649" s="1421">
        <f>IF(OR($L649=BN$627,$L649="",$D649=$BN$626),MAX(BN$629:BN648)+1,0)</f>
        <v>13</v>
      </c>
      <c r="BO649" s="5701"/>
      <c r="BP649" s="961" t="str">
        <f t="shared" si="82"/>
        <v>Lajatang</v>
      </c>
      <c r="BQ649" s="87" t="str">
        <f t="shared" si="83"/>
        <v/>
      </c>
      <c r="BR649" s="87" t="str">
        <f t="shared" si="84"/>
        <v>Espada a dos manos</v>
      </c>
      <c r="BS649" s="1419">
        <f>IF(OR($L649=BS$627,$L649="",$D649=$BU$626),MAX(BS$629:BS648)+1,0)</f>
        <v>0</v>
      </c>
      <c r="BT649" s="1420">
        <f>IF(OR($L649=BT$627,$L649="",$D649=$BU$626),MAX(BT$629:BT648)+1,0)</f>
        <v>0</v>
      </c>
      <c r="BU649" s="1421">
        <f>IF(OR($L649=BU$627,$L649="",$D649=$BU$626),MAX(BU$629:BU648)+1,0)</f>
        <v>13</v>
      </c>
    </row>
    <row r="650" spans="1:73" ht="12.75" customHeight="1" x14ac:dyDescent="0.2">
      <c r="A650" s="242">
        <v>650</v>
      </c>
      <c r="B650" s="5664"/>
      <c r="C650" s="1288"/>
      <c r="D650" s="1289" t="s">
        <v>7231</v>
      </c>
      <c r="E650" s="1295">
        <v>65</v>
      </c>
      <c r="F650" s="1287">
        <v>-20</v>
      </c>
      <c r="G650" s="1287" t="s">
        <v>1464</v>
      </c>
      <c r="H650" s="1287">
        <v>7</v>
      </c>
      <c r="I650" s="1287" t="s">
        <v>1560</v>
      </c>
      <c r="J650" s="1287" t="s">
        <v>1506</v>
      </c>
      <c r="K650" s="1281" t="s">
        <v>7526</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7240</v>
      </c>
      <c r="AC650" s="87" t="s">
        <v>2178</v>
      </c>
      <c r="AD650" s="1536"/>
      <c r="AE650" s="1423" t="s">
        <v>8867</v>
      </c>
      <c r="AF650" s="1537"/>
      <c r="AG650" s="961" t="str">
        <f t="shared" si="67"/>
        <v>Nagimaki</v>
      </c>
      <c r="AH650" s="87" t="str">
        <f t="shared" si="68"/>
        <v/>
      </c>
      <c r="AI650" s="87" t="str">
        <f t="shared" si="69"/>
        <v>Espada ancha</v>
      </c>
      <c r="AJ650" s="1419">
        <f>IF(OR($L650=AJ$627,$L650="",$D650=$AL$626),MAX(AJ$629:AJ649)+1,0)</f>
        <v>0</v>
      </c>
      <c r="AK650" s="1420">
        <f>IF(OR($L650=AK$627,$L650="",$D650=$AL$626),MAX(AK$629:AK649)+1,0)</f>
        <v>0</v>
      </c>
      <c r="AL650" s="1421">
        <f>IF(OR($L650=AL$627,$L650="",$D650=$AL$626),MAX(AL$629:AL649)+1,0)</f>
        <v>14</v>
      </c>
      <c r="AM650" s="5701"/>
      <c r="AN650" s="961" t="str">
        <f t="shared" si="70"/>
        <v>Nagimaki</v>
      </c>
      <c r="AO650" s="87" t="str">
        <f t="shared" si="71"/>
        <v/>
      </c>
      <c r="AP650" s="87" t="str">
        <f t="shared" si="72"/>
        <v>Espada ancha</v>
      </c>
      <c r="AQ650" s="1419">
        <f>IF(OR($L650=AQ$627,$L650="",$D650=$AS$626),MAX(AQ$629:AQ649)+1,0)</f>
        <v>0</v>
      </c>
      <c r="AR650" s="1420">
        <f>IF(OR($L650=AR$627,$L650="",$D650=$AS$626),MAX(AR$629:AR649)+1,0)</f>
        <v>0</v>
      </c>
      <c r="AS650" s="1421">
        <f>IF(OR($L650=AS$627,$L650="",$D650=$AS$626),MAX(AS$629:AS649)+1,0)</f>
        <v>14</v>
      </c>
      <c r="AT650" s="5701"/>
      <c r="AU650" s="961" t="str">
        <f t="shared" si="73"/>
        <v>Nagimaki</v>
      </c>
      <c r="AV650" s="87" t="str">
        <f t="shared" si="74"/>
        <v/>
      </c>
      <c r="AW650" s="87" t="str">
        <f t="shared" si="75"/>
        <v>Espada ancha</v>
      </c>
      <c r="AX650" s="1419">
        <f>IF(OR($L650=AX$627,$L650="",$D650=$AZ$626),MAX(AX$629:AX649)+1,0)</f>
        <v>0</v>
      </c>
      <c r="AY650" s="1420">
        <f>IF(OR($L650=AY$627,$L650="",$D650=$AZ$626),MAX(AY$629:AY649)+1,0)</f>
        <v>0</v>
      </c>
      <c r="AZ650" s="1421">
        <f>IF(OR($L650=AZ$627,$L650="",$D650=$AZ$626),MAX(AZ$629:AZ649)+1,0)</f>
        <v>14</v>
      </c>
      <c r="BA650" s="5701"/>
      <c r="BB650" s="961" t="str">
        <f t="shared" si="76"/>
        <v>Nagimaki</v>
      </c>
      <c r="BC650" s="87" t="str">
        <f t="shared" si="77"/>
        <v/>
      </c>
      <c r="BD650" s="87" t="str">
        <f t="shared" si="78"/>
        <v>Espada ancha</v>
      </c>
      <c r="BE650" s="1419">
        <f>IF(OR($L650=BE$627,$L650="",$D650=$BG$626),MAX(BE$629:BE649)+1,0)</f>
        <v>0</v>
      </c>
      <c r="BF650" s="1420">
        <f>IF(OR($L650=BF$627,$L650="",$D650=$BG$626),MAX(BF$629:BF649)+1,0)</f>
        <v>0</v>
      </c>
      <c r="BG650" s="1421">
        <f>IF(OR($L650=BG$627,$L650="",$D650=$BG$626),MAX(BG$629:BG649)+1,0)</f>
        <v>14</v>
      </c>
      <c r="BH650" s="5701"/>
      <c r="BI650" s="961" t="str">
        <f t="shared" si="79"/>
        <v>Nagimaki</v>
      </c>
      <c r="BJ650" s="87" t="str">
        <f t="shared" si="80"/>
        <v/>
      </c>
      <c r="BK650" s="87" t="str">
        <f t="shared" si="81"/>
        <v>Espada ancha</v>
      </c>
      <c r="BL650" s="1419">
        <f>IF(OR($L650=BL$627,$L650="",$D650=$BN$626),MAX(BL$629:BL649)+1,0)</f>
        <v>0</v>
      </c>
      <c r="BM650" s="1420">
        <f>IF(OR($L650=BM$627,$L650="",$D650=$BN$626),MAX(BM$629:BM649)+1,0)</f>
        <v>0</v>
      </c>
      <c r="BN650" s="1421">
        <f>IF(OR($L650=BN$627,$L650="",$D650=$BN$626),MAX(BN$629:BN649)+1,0)</f>
        <v>14</v>
      </c>
      <c r="BO650" s="5701"/>
      <c r="BP650" s="961" t="str">
        <f t="shared" si="82"/>
        <v>Nagimaki</v>
      </c>
      <c r="BQ650" s="87" t="str">
        <f t="shared" si="83"/>
        <v/>
      </c>
      <c r="BR650" s="87" t="str">
        <f t="shared" si="84"/>
        <v>Espada ancha</v>
      </c>
      <c r="BS650" s="1419">
        <f>IF(OR($L650=BS$627,$L650="",$D650=$BU$626),MAX(BS$629:BS649)+1,0)</f>
        <v>0</v>
      </c>
      <c r="BT650" s="1420">
        <f>IF(OR($L650=BT$627,$L650="",$D650=$BU$626),MAX(BT$629:BT649)+1,0)</f>
        <v>0</v>
      </c>
      <c r="BU650" s="1421">
        <f>IF(OR($L650=BU$627,$L650="",$D650=$BU$626),MAX(BU$629:BU649)+1,0)</f>
        <v>14</v>
      </c>
    </row>
    <row r="651" spans="1:73" ht="12.75" customHeight="1" x14ac:dyDescent="0.2">
      <c r="A651" s="242">
        <v>651</v>
      </c>
      <c r="B651" s="5664"/>
      <c r="C651" s="1288"/>
      <c r="D651" s="1289" t="s">
        <v>2160</v>
      </c>
      <c r="E651" s="1295">
        <v>30</v>
      </c>
      <c r="F651" s="1287">
        <v>20</v>
      </c>
      <c r="G651" s="1287">
        <v>3</v>
      </c>
      <c r="H651" s="1287">
        <v>3</v>
      </c>
      <c r="I651" s="1287" t="s">
        <v>1561</v>
      </c>
      <c r="J651" s="1287" t="s">
        <v>1560</v>
      </c>
      <c r="K651" s="1281" t="s">
        <v>7524</v>
      </c>
      <c r="L651" s="1287" t="str">
        <f t="shared" si="88"/>
        <v>Distinta</v>
      </c>
      <c r="M651" s="1296">
        <v>10</v>
      </c>
      <c r="N651" s="1296">
        <v>-2</v>
      </c>
      <c r="O651" s="1296">
        <v>15</v>
      </c>
      <c r="P651" s="1287"/>
      <c r="Q651" s="1287"/>
      <c r="R651" s="1296">
        <v>50</v>
      </c>
      <c r="S651" s="1287" t="s">
        <v>1464</v>
      </c>
      <c r="T651" s="1287">
        <v>20</v>
      </c>
      <c r="U651" s="1287"/>
      <c r="V651" s="1281" t="s">
        <v>8850</v>
      </c>
      <c r="W651" s="1281"/>
      <c r="X651" s="1282" t="str">
        <f t="shared" si="89"/>
        <v>Pequeña</v>
      </c>
      <c r="Z651" s="1418" t="str">
        <f t="shared" si="87"/>
        <v/>
      </c>
      <c r="AB651" s="961" t="s">
        <v>7241</v>
      </c>
      <c r="AC651" s="87" t="s">
        <v>2183</v>
      </c>
      <c r="AD651" s="1536"/>
      <c r="AE651" s="1423" t="s">
        <v>8868</v>
      </c>
      <c r="AG651" s="961" t="str">
        <f t="shared" si="67"/>
        <v>Naginata</v>
      </c>
      <c r="AH651" s="87" t="str">
        <f t="shared" si="68"/>
        <v/>
      </c>
      <c r="AI651" s="87" t="str">
        <f t="shared" si="69"/>
        <v>Espada bastarda</v>
      </c>
      <c r="AJ651" s="1419">
        <f>IF(OR($L651=AJ$627,$L651="",$D651=$AL$626),MAX(AJ$629:AJ650)+1,0)</f>
        <v>0</v>
      </c>
      <c r="AK651" s="1420">
        <f>IF(OR($L651=AK$627,$L651="",$D651=$AL$626),MAX(AK$629:AK650)+1,0)</f>
        <v>0</v>
      </c>
      <c r="AL651" s="1421">
        <f>IF(OR($L651=AL$627,$L651="",$D651=$AL$626),MAX(AL$629:AL650)+1,0)</f>
        <v>15</v>
      </c>
      <c r="AM651" s="5701"/>
      <c r="AN651" s="961" t="str">
        <f t="shared" si="70"/>
        <v>Naginata</v>
      </c>
      <c r="AO651" s="87" t="str">
        <f t="shared" si="71"/>
        <v/>
      </c>
      <c r="AP651" s="87" t="str">
        <f t="shared" si="72"/>
        <v>Espada bastarda</v>
      </c>
      <c r="AQ651" s="1419">
        <f>IF(OR($L651=AQ$627,$L651="",$D651=$AS$626),MAX(AQ$629:AQ650)+1,0)</f>
        <v>0</v>
      </c>
      <c r="AR651" s="1420">
        <f>IF(OR($L651=AR$627,$L651="",$D651=$AS$626),MAX(AR$629:AR650)+1,0)</f>
        <v>0</v>
      </c>
      <c r="AS651" s="1421">
        <f>IF(OR($L651=AS$627,$L651="",$D651=$AS$626),MAX(AS$629:AS650)+1,0)</f>
        <v>15</v>
      </c>
      <c r="AT651" s="5701"/>
      <c r="AU651" s="961" t="str">
        <f t="shared" si="73"/>
        <v>Naginata</v>
      </c>
      <c r="AV651" s="87" t="str">
        <f t="shared" si="74"/>
        <v/>
      </c>
      <c r="AW651" s="87" t="str">
        <f t="shared" si="75"/>
        <v>Espada bastarda</v>
      </c>
      <c r="AX651" s="1419">
        <f>IF(OR($L651=AX$627,$L651="",$D651=$AZ$626),MAX(AX$629:AX650)+1,0)</f>
        <v>0</v>
      </c>
      <c r="AY651" s="1420">
        <f>IF(OR($L651=AY$627,$L651="",$D651=$AZ$626),MAX(AY$629:AY650)+1,0)</f>
        <v>0</v>
      </c>
      <c r="AZ651" s="1421">
        <f>IF(OR($L651=AZ$627,$L651="",$D651=$AZ$626),MAX(AZ$629:AZ650)+1,0)</f>
        <v>15</v>
      </c>
      <c r="BA651" s="5701"/>
      <c r="BB651" s="961" t="str">
        <f t="shared" si="76"/>
        <v>Naginata</v>
      </c>
      <c r="BC651" s="87" t="str">
        <f t="shared" si="77"/>
        <v/>
      </c>
      <c r="BD651" s="87" t="str">
        <f t="shared" si="78"/>
        <v>Espada bastarda</v>
      </c>
      <c r="BE651" s="1419">
        <f>IF(OR($L651=BE$627,$L651="",$D651=$BG$626),MAX(BE$629:BE650)+1,0)</f>
        <v>0</v>
      </c>
      <c r="BF651" s="1420">
        <f>IF(OR($L651=BF$627,$L651="",$D651=$BG$626),MAX(BF$629:BF650)+1,0)</f>
        <v>0</v>
      </c>
      <c r="BG651" s="1421">
        <f>IF(OR($L651=BG$627,$L651="",$D651=$BG$626),MAX(BG$629:BG650)+1,0)</f>
        <v>15</v>
      </c>
      <c r="BH651" s="5701"/>
      <c r="BI651" s="961" t="str">
        <f t="shared" si="79"/>
        <v>Naginata</v>
      </c>
      <c r="BJ651" s="87" t="str">
        <f t="shared" si="80"/>
        <v/>
      </c>
      <c r="BK651" s="87" t="str">
        <f t="shared" si="81"/>
        <v>Espada bastarda</v>
      </c>
      <c r="BL651" s="1419">
        <f>IF(OR($L651=BL$627,$L651="",$D651=$BN$626),MAX(BL$629:BL650)+1,0)</f>
        <v>0</v>
      </c>
      <c r="BM651" s="1420">
        <f>IF(OR($L651=BM$627,$L651="",$D651=$BN$626),MAX(BM$629:BM650)+1,0)</f>
        <v>0</v>
      </c>
      <c r="BN651" s="1421">
        <f>IF(OR($L651=BN$627,$L651="",$D651=$BN$626),MAX(BN$629:BN650)+1,0)</f>
        <v>15</v>
      </c>
      <c r="BO651" s="5701"/>
      <c r="BP651" s="961" t="str">
        <f t="shared" si="82"/>
        <v>Naginata</v>
      </c>
      <c r="BQ651" s="87" t="str">
        <f t="shared" si="83"/>
        <v/>
      </c>
      <c r="BR651" s="87" t="str">
        <f t="shared" si="84"/>
        <v>Espada bastarda</v>
      </c>
      <c r="BS651" s="1419">
        <f>IF(OR($L651=BS$627,$L651="",$D651=$BU$626),MAX(BS$629:BS650)+1,0)</f>
        <v>0</v>
      </c>
      <c r="BT651" s="1420">
        <f>IF(OR($L651=BT$627,$L651="",$D651=$BU$626),MAX(BT$629:BT650)+1,0)</f>
        <v>0</v>
      </c>
      <c r="BU651" s="1421">
        <f>IF(OR($L651=BU$627,$L651="",$D651=$BU$626),MAX(BU$629:BU650)+1,0)</f>
        <v>15</v>
      </c>
    </row>
    <row r="652" spans="1:73" ht="12.75" customHeight="1" x14ac:dyDescent="0.2">
      <c r="A652" s="242">
        <v>652</v>
      </c>
      <c r="B652" s="5664"/>
      <c r="C652" s="1288"/>
      <c r="D652" s="1289" t="s">
        <v>2161</v>
      </c>
      <c r="E652" s="1295">
        <v>30</v>
      </c>
      <c r="F652" s="1287">
        <v>15</v>
      </c>
      <c r="G652" s="1287">
        <v>3</v>
      </c>
      <c r="H652" s="1287">
        <v>3</v>
      </c>
      <c r="I652" s="1287" t="s">
        <v>1561</v>
      </c>
      <c r="J652" s="1287" t="s">
        <v>1560</v>
      </c>
      <c r="K652" s="1281" t="s">
        <v>7524</v>
      </c>
      <c r="L652" s="1287" t="str">
        <f t="shared" si="88"/>
        <v>Distinta</v>
      </c>
      <c r="M652" s="1296">
        <v>12</v>
      </c>
      <c r="N652" s="1296">
        <v>0</v>
      </c>
      <c r="O652" s="1296">
        <v>20</v>
      </c>
      <c r="P652" s="1287"/>
      <c r="Q652" s="1287"/>
      <c r="R652" s="1296">
        <v>50</v>
      </c>
      <c r="S652" s="1287" t="s">
        <v>1464</v>
      </c>
      <c r="T652" s="1287">
        <v>15</v>
      </c>
      <c r="U652" s="1287"/>
      <c r="V652" s="1281" t="s">
        <v>8851</v>
      </c>
      <c r="W652" s="1281"/>
      <c r="X652" s="1282" t="str">
        <f t="shared" si="89"/>
        <v>Pequeña</v>
      </c>
      <c r="Z652" s="1418" t="str">
        <f t="shared" si="87"/>
        <v/>
      </c>
      <c r="AB652" s="961" t="s">
        <v>2163</v>
      </c>
      <c r="AC652" s="87" t="s">
        <v>7242</v>
      </c>
      <c r="AD652" s="1536"/>
      <c r="AE652" s="1430"/>
      <c r="AG652" s="961" t="str">
        <f t="shared" si="67"/>
        <v>Sang Kauw</v>
      </c>
      <c r="AH652" s="87" t="str">
        <f t="shared" si="68"/>
        <v/>
      </c>
      <c r="AI652" s="87" t="str">
        <f t="shared" si="69"/>
        <v>Espada corta</v>
      </c>
      <c r="AJ652" s="1419">
        <f>IF(OR($L652=AJ$627,$L652="",$D652=$AL$626),MAX(AJ$629:AJ651)+1,0)</f>
        <v>0</v>
      </c>
      <c r="AK652" s="1420">
        <f>IF(OR($L652=AK$627,$L652="",$D652=$AL$626),MAX(AK$629:AK651)+1,0)</f>
        <v>0</v>
      </c>
      <c r="AL652" s="1421">
        <f>IF(OR($L652=AL$627,$L652="",$D652=$AL$626),MAX(AL$629:AL651)+1,0)</f>
        <v>16</v>
      </c>
      <c r="AM652" s="5701"/>
      <c r="AN652" s="961" t="str">
        <f t="shared" si="70"/>
        <v>Sang Kauw</v>
      </c>
      <c r="AO652" s="87" t="str">
        <f t="shared" si="71"/>
        <v/>
      </c>
      <c r="AP652" s="87" t="str">
        <f t="shared" si="72"/>
        <v>Espada corta</v>
      </c>
      <c r="AQ652" s="1419">
        <f>IF(OR($L652=AQ$627,$L652="",$D652=$AS$626),MAX(AQ$629:AQ651)+1,0)</f>
        <v>0</v>
      </c>
      <c r="AR652" s="1420">
        <f>IF(OR($L652=AR$627,$L652="",$D652=$AS$626),MAX(AR$629:AR651)+1,0)</f>
        <v>0</v>
      </c>
      <c r="AS652" s="1421">
        <f>IF(OR($L652=AS$627,$L652="",$D652=$AS$626),MAX(AS$629:AS651)+1,0)</f>
        <v>16</v>
      </c>
      <c r="AT652" s="5701"/>
      <c r="AU652" s="961" t="str">
        <f t="shared" si="73"/>
        <v>Sang Kauw</v>
      </c>
      <c r="AV652" s="87" t="str">
        <f t="shared" si="74"/>
        <v/>
      </c>
      <c r="AW652" s="87" t="str">
        <f t="shared" si="75"/>
        <v>Espada corta</v>
      </c>
      <c r="AX652" s="1419">
        <f>IF(OR($L652=AX$627,$L652="",$D652=$AZ$626),MAX(AX$629:AX651)+1,0)</f>
        <v>0</v>
      </c>
      <c r="AY652" s="1420">
        <f>IF(OR($L652=AY$627,$L652="",$D652=$AZ$626),MAX(AY$629:AY651)+1,0)</f>
        <v>0</v>
      </c>
      <c r="AZ652" s="1421">
        <f>IF(OR($L652=AZ$627,$L652="",$D652=$AZ$626),MAX(AZ$629:AZ651)+1,0)</f>
        <v>16</v>
      </c>
      <c r="BA652" s="5701"/>
      <c r="BB652" s="961" t="str">
        <f t="shared" si="76"/>
        <v>Sang Kauw</v>
      </c>
      <c r="BC652" s="87" t="str">
        <f t="shared" si="77"/>
        <v/>
      </c>
      <c r="BD652" s="87" t="str">
        <f t="shared" si="78"/>
        <v>Espada corta</v>
      </c>
      <c r="BE652" s="1419">
        <f>IF(OR($L652=BE$627,$L652="",$D652=$BG$626),MAX(BE$629:BE651)+1,0)</f>
        <v>0</v>
      </c>
      <c r="BF652" s="1420">
        <f>IF(OR($L652=BF$627,$L652="",$D652=$BG$626),MAX(BF$629:BF651)+1,0)</f>
        <v>0</v>
      </c>
      <c r="BG652" s="1421">
        <f>IF(OR($L652=BG$627,$L652="",$D652=$BG$626),MAX(BG$629:BG651)+1,0)</f>
        <v>16</v>
      </c>
      <c r="BH652" s="5701"/>
      <c r="BI652" s="961" t="str">
        <f t="shared" si="79"/>
        <v>Sang Kauw</v>
      </c>
      <c r="BJ652" s="87" t="str">
        <f t="shared" si="80"/>
        <v/>
      </c>
      <c r="BK652" s="87" t="str">
        <f t="shared" si="81"/>
        <v>Espada corta</v>
      </c>
      <c r="BL652" s="1419">
        <f>IF(OR($L652=BL$627,$L652="",$D652=$BN$626),MAX(BL$629:BL651)+1,0)</f>
        <v>0</v>
      </c>
      <c r="BM652" s="1420">
        <f>IF(OR($L652=BM$627,$L652="",$D652=$BN$626),MAX(BM$629:BM651)+1,0)</f>
        <v>0</v>
      </c>
      <c r="BN652" s="1421">
        <f>IF(OR($L652=BN$627,$L652="",$D652=$BN$626),MAX(BN$629:BN651)+1,0)</f>
        <v>16</v>
      </c>
      <c r="BO652" s="5701"/>
      <c r="BP652" s="961" t="str">
        <f t="shared" si="82"/>
        <v>Sang Kauw</v>
      </c>
      <c r="BQ652" s="87" t="str">
        <f t="shared" si="83"/>
        <v/>
      </c>
      <c r="BR652" s="87" t="str">
        <f t="shared" si="84"/>
        <v>Espada corta</v>
      </c>
      <c r="BS652" s="1419">
        <f>IF(OR($L652=BS$627,$L652="",$D652=$BU$626),MAX(BS$629:BS651)+1,0)</f>
        <v>0</v>
      </c>
      <c r="BT652" s="1420">
        <f>IF(OR($L652=BT$627,$L652="",$D652=$BU$626),MAX(BT$629:BT651)+1,0)</f>
        <v>0</v>
      </c>
      <c r="BU652" s="1421">
        <f>IF(OR($L652=BU$627,$L652="",$D652=$BU$626),MAX(BU$629:BU651)+1,0)</f>
        <v>16</v>
      </c>
    </row>
    <row r="653" spans="1:73" ht="12.75" customHeight="1" x14ac:dyDescent="0.2">
      <c r="A653" s="242">
        <v>653</v>
      </c>
      <c r="B653" s="5664"/>
      <c r="C653" s="1288"/>
      <c r="D653" s="1289" t="s">
        <v>2162</v>
      </c>
      <c r="E653" s="1287">
        <v>20</v>
      </c>
      <c r="F653" s="1287">
        <v>20</v>
      </c>
      <c r="G653" s="1287">
        <v>3</v>
      </c>
      <c r="H653" s="1287">
        <v>3</v>
      </c>
      <c r="I653" s="1287" t="s">
        <v>1561</v>
      </c>
      <c r="J653" s="1287" t="s">
        <v>1464</v>
      </c>
      <c r="K653" s="1281" t="s">
        <v>7521</v>
      </c>
      <c r="L653" s="1287" t="str">
        <f t="shared" si="88"/>
        <v>Distinta</v>
      </c>
      <c r="M653" s="1296">
        <v>3</v>
      </c>
      <c r="N653" s="1296">
        <v>-4</v>
      </c>
      <c r="O653" s="1296">
        <v>15</v>
      </c>
      <c r="P653" s="1287"/>
      <c r="Q653" s="1287"/>
      <c r="R653" s="1296">
        <v>40</v>
      </c>
      <c r="S653" s="1287" t="s">
        <v>1464</v>
      </c>
      <c r="T653" s="1287">
        <v>20</v>
      </c>
      <c r="U653" s="1287"/>
      <c r="V653" s="1281" t="s">
        <v>8852</v>
      </c>
      <c r="W653" s="1281"/>
      <c r="X653" s="1282" t="str">
        <f t="shared" si="89"/>
        <v>Mediana</v>
      </c>
      <c r="Z653" s="1418" t="str">
        <f t="shared" si="87"/>
        <v/>
      </c>
      <c r="AB653" s="961" t="s">
        <v>2165</v>
      </c>
      <c r="AC653" s="87" t="s">
        <v>7243</v>
      </c>
      <c r="AD653" s="1536"/>
      <c r="AE653" s="1430"/>
      <c r="AG653" s="961" t="str">
        <f t="shared" si="67"/>
        <v>Sode Garami</v>
      </c>
      <c r="AH653" s="87" t="str">
        <f t="shared" si="68"/>
        <v/>
      </c>
      <c r="AI653" s="87" t="str">
        <f t="shared" si="69"/>
        <v>Espada larga</v>
      </c>
      <c r="AJ653" s="1419">
        <f>IF(OR($L653=AJ$627,$L653="",$D653=$AL$626),MAX(AJ$629:AJ652)+1,0)</f>
        <v>0</v>
      </c>
      <c r="AK653" s="1420">
        <f>IF(OR($L653=AK$627,$L653="",$D653=$AL$626),MAX(AK$629:AK652)+1,0)</f>
        <v>0</v>
      </c>
      <c r="AL653" s="1421">
        <f>IF(OR($L653=AL$627,$L653="",$D653=$AL$626),MAX(AL$629:AL652)+1,0)</f>
        <v>17</v>
      </c>
      <c r="AM653" s="5701"/>
      <c r="AN653" s="961" t="str">
        <f t="shared" si="70"/>
        <v>Sode Garami</v>
      </c>
      <c r="AO653" s="87" t="str">
        <f t="shared" si="71"/>
        <v/>
      </c>
      <c r="AP653" s="87" t="str">
        <f t="shared" si="72"/>
        <v>Espada larga</v>
      </c>
      <c r="AQ653" s="1419">
        <f>IF(OR($L653=AQ$627,$L653="",$D653=$AS$626),MAX(AQ$629:AQ652)+1,0)</f>
        <v>0</v>
      </c>
      <c r="AR653" s="1420">
        <f>IF(OR($L653=AR$627,$L653="",$D653=$AS$626),MAX(AR$629:AR652)+1,0)</f>
        <v>0</v>
      </c>
      <c r="AS653" s="1421">
        <f>IF(OR($L653=AS$627,$L653="",$D653=$AS$626),MAX(AS$629:AS652)+1,0)</f>
        <v>17</v>
      </c>
      <c r="AT653" s="5701"/>
      <c r="AU653" s="961" t="str">
        <f t="shared" si="73"/>
        <v>Sode Garami</v>
      </c>
      <c r="AV653" s="87" t="str">
        <f t="shared" si="74"/>
        <v/>
      </c>
      <c r="AW653" s="87" t="str">
        <f t="shared" si="75"/>
        <v>Espada larga</v>
      </c>
      <c r="AX653" s="1419">
        <f>IF(OR($L653=AX$627,$L653="",$D653=$AZ$626),MAX(AX$629:AX652)+1,0)</f>
        <v>0</v>
      </c>
      <c r="AY653" s="1420">
        <f>IF(OR($L653=AY$627,$L653="",$D653=$AZ$626),MAX(AY$629:AY652)+1,0)</f>
        <v>0</v>
      </c>
      <c r="AZ653" s="1421">
        <f>IF(OR($L653=AZ$627,$L653="",$D653=$AZ$626),MAX(AZ$629:AZ652)+1,0)</f>
        <v>17</v>
      </c>
      <c r="BA653" s="5701"/>
      <c r="BB653" s="961" t="str">
        <f t="shared" si="76"/>
        <v>Sode Garami</v>
      </c>
      <c r="BC653" s="87" t="str">
        <f t="shared" si="77"/>
        <v/>
      </c>
      <c r="BD653" s="87" t="str">
        <f t="shared" si="78"/>
        <v>Espada larga</v>
      </c>
      <c r="BE653" s="1419">
        <f>IF(OR($L653=BE$627,$L653="",$D653=$BG$626),MAX(BE$629:BE652)+1,0)</f>
        <v>0</v>
      </c>
      <c r="BF653" s="1420">
        <f>IF(OR($L653=BF$627,$L653="",$D653=$BG$626),MAX(BF$629:BF652)+1,0)</f>
        <v>0</v>
      </c>
      <c r="BG653" s="1421">
        <f>IF(OR($L653=BG$627,$L653="",$D653=$BG$626),MAX(BG$629:BG652)+1,0)</f>
        <v>17</v>
      </c>
      <c r="BH653" s="5701"/>
      <c r="BI653" s="961" t="str">
        <f t="shared" si="79"/>
        <v>Sode Garami</v>
      </c>
      <c r="BJ653" s="87" t="str">
        <f t="shared" si="80"/>
        <v/>
      </c>
      <c r="BK653" s="87" t="str">
        <f t="shared" si="81"/>
        <v>Espada larga</v>
      </c>
      <c r="BL653" s="1419">
        <f>IF(OR($L653=BL$627,$L653="",$D653=$BN$626),MAX(BL$629:BL652)+1,0)</f>
        <v>0</v>
      </c>
      <c r="BM653" s="1420">
        <f>IF(OR($L653=BM$627,$L653="",$D653=$BN$626),MAX(BM$629:BM652)+1,0)</f>
        <v>0</v>
      </c>
      <c r="BN653" s="1421">
        <f>IF(OR($L653=BN$627,$L653="",$D653=$BN$626),MAX(BN$629:BN652)+1,0)</f>
        <v>17</v>
      </c>
      <c r="BO653" s="5701"/>
      <c r="BP653" s="961" t="str">
        <f t="shared" si="82"/>
        <v>Sode Garami</v>
      </c>
      <c r="BQ653" s="87" t="str">
        <f t="shared" si="83"/>
        <v/>
      </c>
      <c r="BR653" s="87" t="str">
        <f t="shared" si="84"/>
        <v>Espada larga</v>
      </c>
      <c r="BS653" s="1419">
        <f>IF(OR($L653=BS$627,$L653="",$D653=$BU$626),MAX(BS$629:BS652)+1,0)</f>
        <v>0</v>
      </c>
      <c r="BT653" s="1420">
        <f>IF(OR($L653=BT$627,$L653="",$D653=$BU$626),MAX(BT$629:BT652)+1,0)</f>
        <v>0</v>
      </c>
      <c r="BU653" s="1421">
        <f>IF(OR($L653=BU$627,$L653="",$D653=$BU$626),MAX(BU$629:BU652)+1,0)</f>
        <v>17</v>
      </c>
    </row>
    <row r="654" spans="1:73" ht="12.75" customHeight="1" x14ac:dyDescent="0.2">
      <c r="A654" s="242">
        <v>654</v>
      </c>
      <c r="B654" s="5664"/>
      <c r="C654" s="1288"/>
      <c r="D654" s="1289" t="s">
        <v>7240</v>
      </c>
      <c r="E654" s="1295">
        <v>35</v>
      </c>
      <c r="F654" s="1287">
        <v>15</v>
      </c>
      <c r="G654" s="1287">
        <v>5</v>
      </c>
      <c r="H654" s="1287">
        <v>5</v>
      </c>
      <c r="I654" s="1287" t="s">
        <v>1561</v>
      </c>
      <c r="J654" s="1287" t="s">
        <v>1464</v>
      </c>
      <c r="K654" s="1281" t="s">
        <v>7524</v>
      </c>
      <c r="L654" s="1287" t="str">
        <f t="shared" si="88"/>
        <v>Distinta</v>
      </c>
      <c r="M654" s="1296">
        <v>10</v>
      </c>
      <c r="N654" s="1296">
        <v>-2</v>
      </c>
      <c r="O654" s="1296">
        <v>15</v>
      </c>
      <c r="P654" s="1287"/>
      <c r="Q654" s="1287"/>
      <c r="R654" s="1287" t="s">
        <v>1464</v>
      </c>
      <c r="S654" s="1287" t="s">
        <v>1464</v>
      </c>
      <c r="T654" s="1287" t="s">
        <v>1464</v>
      </c>
      <c r="U654" s="1287"/>
      <c r="V654" s="1281" t="s">
        <v>2168</v>
      </c>
      <c r="W654" s="1281"/>
      <c r="X654" s="1282" t="str">
        <f t="shared" si="89"/>
        <v>Pequeña</v>
      </c>
      <c r="Z654" s="1418" t="str">
        <f t="shared" si="87"/>
        <v/>
      </c>
      <c r="AB654" s="961" t="s">
        <v>2166</v>
      </c>
      <c r="AC654" s="87" t="s">
        <v>2195</v>
      </c>
      <c r="AD654" s="1536"/>
      <c r="AE654" s="1430"/>
      <c r="AG654" s="961" t="str">
        <f t="shared" si="67"/>
        <v>Uchi-ne</v>
      </c>
      <c r="AH654" s="87" t="str">
        <f t="shared" si="68"/>
        <v/>
      </c>
      <c r="AI654" s="87" t="str">
        <f t="shared" si="69"/>
        <v>Estilete</v>
      </c>
      <c r="AJ654" s="1419">
        <f>IF(OR($L654=AJ$627,$L654="",$D654=$AL$626),MAX(AJ$629:AJ653)+1,0)</f>
        <v>0</v>
      </c>
      <c r="AK654" s="1420">
        <f>IF(OR($L654=AK$627,$L654="",$D654=$AL$626),MAX(AK$629:AK653)+1,0)</f>
        <v>0</v>
      </c>
      <c r="AL654" s="1421">
        <f>IF(OR($L654=AL$627,$L654="",$D654=$AL$626),MAX(AL$629:AL653)+1,0)</f>
        <v>18</v>
      </c>
      <c r="AM654" s="5701"/>
      <c r="AN654" s="961" t="str">
        <f t="shared" si="70"/>
        <v>Uchi-ne</v>
      </c>
      <c r="AO654" s="87" t="str">
        <f t="shared" si="71"/>
        <v/>
      </c>
      <c r="AP654" s="87" t="str">
        <f t="shared" si="72"/>
        <v>Estilete</v>
      </c>
      <c r="AQ654" s="1419">
        <f>IF(OR($L654=AQ$627,$L654="",$D654=$AS$626),MAX(AQ$629:AQ653)+1,0)</f>
        <v>0</v>
      </c>
      <c r="AR654" s="1420">
        <f>IF(OR($L654=AR$627,$L654="",$D654=$AS$626),MAX(AR$629:AR653)+1,0)</f>
        <v>0</v>
      </c>
      <c r="AS654" s="1421">
        <f>IF(OR($L654=AS$627,$L654="",$D654=$AS$626),MAX(AS$629:AS653)+1,0)</f>
        <v>18</v>
      </c>
      <c r="AT654" s="5701"/>
      <c r="AU654" s="961" t="str">
        <f t="shared" si="73"/>
        <v>Uchi-ne</v>
      </c>
      <c r="AV654" s="87" t="str">
        <f t="shared" si="74"/>
        <v/>
      </c>
      <c r="AW654" s="87" t="str">
        <f t="shared" si="75"/>
        <v>Estilete</v>
      </c>
      <c r="AX654" s="1419">
        <f>IF(OR($L654=AX$627,$L654="",$D654=$AZ$626),MAX(AX$629:AX653)+1,0)</f>
        <v>0</v>
      </c>
      <c r="AY654" s="1420">
        <f>IF(OR($L654=AY$627,$L654="",$D654=$AZ$626),MAX(AY$629:AY653)+1,0)</f>
        <v>0</v>
      </c>
      <c r="AZ654" s="1421">
        <f>IF(OR($L654=AZ$627,$L654="",$D654=$AZ$626),MAX(AZ$629:AZ653)+1,0)</f>
        <v>18</v>
      </c>
      <c r="BA654" s="5701"/>
      <c r="BB654" s="961" t="str">
        <f t="shared" si="76"/>
        <v>Uchi-ne</v>
      </c>
      <c r="BC654" s="87" t="str">
        <f t="shared" si="77"/>
        <v/>
      </c>
      <c r="BD654" s="87" t="str">
        <f t="shared" si="78"/>
        <v>Estilete</v>
      </c>
      <c r="BE654" s="1419">
        <f>IF(OR($L654=BE$627,$L654="",$D654=$BG$626),MAX(BE$629:BE653)+1,0)</f>
        <v>0</v>
      </c>
      <c r="BF654" s="1420">
        <f>IF(OR($L654=BF$627,$L654="",$D654=$BG$626),MAX(BF$629:BF653)+1,0)</f>
        <v>0</v>
      </c>
      <c r="BG654" s="1421">
        <f>IF(OR($L654=BG$627,$L654="",$D654=$BG$626),MAX(BG$629:BG653)+1,0)</f>
        <v>18</v>
      </c>
      <c r="BH654" s="5701"/>
      <c r="BI654" s="961" t="str">
        <f t="shared" si="79"/>
        <v>Uchi-ne</v>
      </c>
      <c r="BJ654" s="87" t="str">
        <f t="shared" si="80"/>
        <v/>
      </c>
      <c r="BK654" s="87" t="str">
        <f t="shared" si="81"/>
        <v>Estilete</v>
      </c>
      <c r="BL654" s="1419">
        <f>IF(OR($L654=BL$627,$L654="",$D654=$BN$626),MAX(BL$629:BL653)+1,0)</f>
        <v>0</v>
      </c>
      <c r="BM654" s="1420">
        <f>IF(OR($L654=BM$627,$L654="",$D654=$BN$626),MAX(BM$629:BM653)+1,0)</f>
        <v>0</v>
      </c>
      <c r="BN654" s="1421">
        <f>IF(OR($L654=BN$627,$L654="",$D654=$BN$626),MAX(BN$629:BN653)+1,0)</f>
        <v>18</v>
      </c>
      <c r="BO654" s="5701"/>
      <c r="BP654" s="961" t="str">
        <f t="shared" si="82"/>
        <v>Uchi-ne</v>
      </c>
      <c r="BQ654" s="87" t="str">
        <f t="shared" si="83"/>
        <v/>
      </c>
      <c r="BR654" s="87" t="str">
        <f t="shared" si="84"/>
        <v>Estilete</v>
      </c>
      <c r="BS654" s="1419">
        <f>IF(OR($L654=BS$627,$L654="",$D654=$BU$626),MAX(BS$629:BS653)+1,0)</f>
        <v>0</v>
      </c>
      <c r="BT654" s="1420">
        <f>IF(OR($L654=BT$627,$L654="",$D654=$BU$626),MAX(BT$629:BT653)+1,0)</f>
        <v>0</v>
      </c>
      <c r="BU654" s="1421">
        <f>IF(OR($L654=BU$627,$L654="",$D654=$BU$626),MAX(BU$629:BU653)+1,0)</f>
        <v>18</v>
      </c>
    </row>
    <row r="655" spans="1:73" ht="12.75" customHeight="1" x14ac:dyDescent="0.2">
      <c r="A655" s="242">
        <v>655</v>
      </c>
      <c r="B655" s="5664"/>
      <c r="C655" s="1288"/>
      <c r="D655" s="1289" t="s">
        <v>7241</v>
      </c>
      <c r="E655" s="1295">
        <v>45</v>
      </c>
      <c r="F655" s="1287">
        <v>0</v>
      </c>
      <c r="G655" s="1287">
        <v>4</v>
      </c>
      <c r="H655" s="1287">
        <v>4</v>
      </c>
      <c r="I655" s="1287" t="s">
        <v>1560</v>
      </c>
      <c r="J655" s="1287" t="s">
        <v>1561</v>
      </c>
      <c r="K655" s="1281" t="s">
        <v>7524</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2167</v>
      </c>
      <c r="AC655" s="241" t="s">
        <v>7244</v>
      </c>
      <c r="AD655" s="857"/>
      <c r="AE655" s="1430"/>
      <c r="AG655" s="961" t="str">
        <f t="shared" si="67"/>
        <v>&gt; A. DE PROYECTILES</v>
      </c>
      <c r="AH655" s="87" t="str">
        <f t="shared" si="68"/>
        <v/>
      </c>
      <c r="AI655" s="87" t="str">
        <f t="shared" si="69"/>
        <v>Estoque</v>
      </c>
      <c r="AJ655" s="1419">
        <f>IF(OR($L655=AJ$627,$L655="",$D655=$AL$626),MAX(AJ$629:AJ654)+1,0)</f>
        <v>0</v>
      </c>
      <c r="AK655" s="1420">
        <f>IF(OR($L655=AK$627,$L655="",$D655=$AL$626),MAX(AK$629:AK654)+1,0)</f>
        <v>0</v>
      </c>
      <c r="AL655" s="1421">
        <f>IF(OR($L655=AL$627,$L655="",$D655=$AL$626),MAX(AL$629:AL654)+1,0)</f>
        <v>19</v>
      </c>
      <c r="AM655" s="5701"/>
      <c r="AN655" s="961" t="str">
        <f t="shared" si="70"/>
        <v>&gt; A. DE PROYECTILES</v>
      </c>
      <c r="AO655" s="87" t="str">
        <f t="shared" si="71"/>
        <v/>
      </c>
      <c r="AP655" s="87" t="str">
        <f t="shared" si="72"/>
        <v>Estoque</v>
      </c>
      <c r="AQ655" s="1419">
        <f>IF(OR($L655=AQ$627,$L655="",$D655=$AS$626),MAX(AQ$629:AQ654)+1,0)</f>
        <v>0</v>
      </c>
      <c r="AR655" s="1420">
        <f>IF(OR($L655=AR$627,$L655="",$D655=$AS$626),MAX(AR$629:AR654)+1,0)</f>
        <v>0</v>
      </c>
      <c r="AS655" s="1421">
        <f>IF(OR($L655=AS$627,$L655="",$D655=$AS$626),MAX(AS$629:AS654)+1,0)</f>
        <v>19</v>
      </c>
      <c r="AT655" s="5701"/>
      <c r="AU655" s="961" t="str">
        <f t="shared" si="73"/>
        <v>&gt; A. DE PROYECTILES</v>
      </c>
      <c r="AV655" s="87" t="str">
        <f t="shared" si="74"/>
        <v/>
      </c>
      <c r="AW655" s="87" t="str">
        <f t="shared" si="75"/>
        <v>Estoque</v>
      </c>
      <c r="AX655" s="1419">
        <f>IF(OR($L655=AX$627,$L655="",$D655=$AZ$626),MAX(AX$629:AX654)+1,0)</f>
        <v>0</v>
      </c>
      <c r="AY655" s="1420">
        <f>IF(OR($L655=AY$627,$L655="",$D655=$AZ$626),MAX(AY$629:AY654)+1,0)</f>
        <v>0</v>
      </c>
      <c r="AZ655" s="1421">
        <f>IF(OR($L655=AZ$627,$L655="",$D655=$AZ$626),MAX(AZ$629:AZ654)+1,0)</f>
        <v>19</v>
      </c>
      <c r="BA655" s="5701"/>
      <c r="BB655" s="961" t="str">
        <f t="shared" si="76"/>
        <v>&gt; A. DE PROYECTILES</v>
      </c>
      <c r="BC655" s="87" t="str">
        <f t="shared" si="77"/>
        <v/>
      </c>
      <c r="BD655" s="87" t="str">
        <f t="shared" si="78"/>
        <v>Estoque</v>
      </c>
      <c r="BE655" s="1419">
        <f>IF(OR($L655=BE$627,$L655="",$D655=$BG$626),MAX(BE$629:BE654)+1,0)</f>
        <v>0</v>
      </c>
      <c r="BF655" s="1420">
        <f>IF(OR($L655=BF$627,$L655="",$D655=$BG$626),MAX(BF$629:BF654)+1,0)</f>
        <v>0</v>
      </c>
      <c r="BG655" s="1421">
        <f>IF(OR($L655=BG$627,$L655="",$D655=$BG$626),MAX(BG$629:BG654)+1,0)</f>
        <v>19</v>
      </c>
      <c r="BH655" s="5701"/>
      <c r="BI655" s="961" t="str">
        <f t="shared" si="79"/>
        <v>&gt; A. DE PROYECTILES</v>
      </c>
      <c r="BJ655" s="87" t="str">
        <f t="shared" si="80"/>
        <v/>
      </c>
      <c r="BK655" s="87" t="str">
        <f t="shared" si="81"/>
        <v>Estoque</v>
      </c>
      <c r="BL655" s="1419">
        <f>IF(OR($L655=BL$627,$L655="",$D655=$BN$626),MAX(BL$629:BL654)+1,0)</f>
        <v>0</v>
      </c>
      <c r="BM655" s="1420">
        <f>IF(OR($L655=BM$627,$L655="",$D655=$BN$626),MAX(BM$629:BM654)+1,0)</f>
        <v>0</v>
      </c>
      <c r="BN655" s="1421">
        <f>IF(OR($L655=BN$627,$L655="",$D655=$BN$626),MAX(BN$629:BN654)+1,0)</f>
        <v>19</v>
      </c>
      <c r="BO655" s="5701"/>
      <c r="BP655" s="961" t="str">
        <f t="shared" si="82"/>
        <v>&gt; A. DE PROYECTILES</v>
      </c>
      <c r="BQ655" s="87" t="str">
        <f t="shared" si="83"/>
        <v/>
      </c>
      <c r="BR655" s="87" t="str">
        <f t="shared" si="84"/>
        <v>Estoque</v>
      </c>
      <c r="BS655" s="1419">
        <f>IF(OR($L655=BS$627,$L655="",$D655=$BU$626),MAX(BS$629:BS654)+1,0)</f>
        <v>0</v>
      </c>
      <c r="BT655" s="1420">
        <f>IF(OR($L655=BT$627,$L655="",$D655=$BU$626),MAX(BT$629:BT654)+1,0)</f>
        <v>0</v>
      </c>
      <c r="BU655" s="1421">
        <f>IF(OR($L655=BU$627,$L655="",$D655=$BU$626),MAX(BU$629:BU654)+1,0)</f>
        <v>19</v>
      </c>
    </row>
    <row r="656" spans="1:73" ht="12.75" customHeight="1" x14ac:dyDescent="0.2">
      <c r="A656" s="242">
        <v>656</v>
      </c>
      <c r="B656" s="5664"/>
      <c r="C656" s="1288"/>
      <c r="D656" s="1289" t="s">
        <v>2163</v>
      </c>
      <c r="E656" s="1295">
        <v>90</v>
      </c>
      <c r="F656" s="1287">
        <v>-60</v>
      </c>
      <c r="G656" s="1287">
        <v>10</v>
      </c>
      <c r="H656" s="1287">
        <v>8</v>
      </c>
      <c r="I656" s="1287" t="s">
        <v>1560</v>
      </c>
      <c r="J656" s="1287" t="s">
        <v>1506</v>
      </c>
      <c r="K656" s="1281" t="s">
        <v>7526</v>
      </c>
      <c r="L656" s="1287" t="str">
        <f t="shared" si="88"/>
        <v>Distinta</v>
      </c>
      <c r="M656" s="1296">
        <v>18</v>
      </c>
      <c r="N656" s="1296">
        <v>6</v>
      </c>
      <c r="O656" s="1296">
        <v>30</v>
      </c>
      <c r="P656" s="1287"/>
      <c r="Q656" s="1287"/>
      <c r="R656" s="1287" t="s">
        <v>1464</v>
      </c>
      <c r="S656" s="1287" t="s">
        <v>1464</v>
      </c>
      <c r="T656" s="1287" t="s">
        <v>1464</v>
      </c>
      <c r="U656" s="1287"/>
      <c r="V656" s="1281" t="s">
        <v>2164</v>
      </c>
      <c r="W656" s="1281"/>
      <c r="X656" s="1282" t="str">
        <f t="shared" si="89"/>
        <v>Grande</v>
      </c>
      <c r="Z656" s="1418" t="str">
        <f t="shared" si="87"/>
        <v/>
      </c>
      <c r="AB656" s="961" t="s">
        <v>2169</v>
      </c>
      <c r="AC656" s="241" t="s">
        <v>7246</v>
      </c>
      <c r="AD656" s="857"/>
      <c r="AE656" s="1430"/>
      <c r="AG656" s="961" t="str">
        <f t="shared" si="67"/>
        <v>Arcabuz</v>
      </c>
      <c r="AH656" s="87" t="str">
        <f t="shared" si="68"/>
        <v/>
      </c>
      <c r="AI656" s="87" t="str">
        <f t="shared" si="69"/>
        <v>Falcata</v>
      </c>
      <c r="AJ656" s="1419">
        <f>IF(OR($L656=AJ$627,$L656="",$D656=$AL$626),MAX(AJ$629:AJ655)+1,0)</f>
        <v>0</v>
      </c>
      <c r="AK656" s="1420">
        <f>IF(OR($L656=AK$627,$L656="",$D656=$AL$626),MAX(AK$629:AK655)+1,0)</f>
        <v>0</v>
      </c>
      <c r="AL656" s="1421">
        <f>IF(OR($L656=AL$627,$L656="",$D656=$AL$626),MAX(AL$629:AL655)+1,0)</f>
        <v>20</v>
      </c>
      <c r="AM656" s="5701"/>
      <c r="AN656" s="961" t="str">
        <f t="shared" si="70"/>
        <v>Arcabuz</v>
      </c>
      <c r="AO656" s="87" t="str">
        <f t="shared" si="71"/>
        <v/>
      </c>
      <c r="AP656" s="87" t="str">
        <f t="shared" si="72"/>
        <v>Falcata</v>
      </c>
      <c r="AQ656" s="1419">
        <f>IF(OR($L656=AQ$627,$L656="",$D656=$AS$626),MAX(AQ$629:AQ655)+1,0)</f>
        <v>0</v>
      </c>
      <c r="AR656" s="1420">
        <f>IF(OR($L656=AR$627,$L656="",$D656=$AS$626),MAX(AR$629:AR655)+1,0)</f>
        <v>0</v>
      </c>
      <c r="AS656" s="1421">
        <f>IF(OR($L656=AS$627,$L656="",$D656=$AS$626),MAX(AS$629:AS655)+1,0)</f>
        <v>20</v>
      </c>
      <c r="AT656" s="5701"/>
      <c r="AU656" s="961" t="str">
        <f t="shared" si="73"/>
        <v>Arcabuz</v>
      </c>
      <c r="AV656" s="87" t="str">
        <f t="shared" si="74"/>
        <v/>
      </c>
      <c r="AW656" s="87" t="str">
        <f t="shared" si="75"/>
        <v>Falcata</v>
      </c>
      <c r="AX656" s="1419">
        <f>IF(OR($L656=AX$627,$L656="",$D656=$AZ$626),MAX(AX$629:AX655)+1,0)</f>
        <v>0</v>
      </c>
      <c r="AY656" s="1420">
        <f>IF(OR($L656=AY$627,$L656="",$D656=$AZ$626),MAX(AY$629:AY655)+1,0)</f>
        <v>0</v>
      </c>
      <c r="AZ656" s="1421">
        <f>IF(OR($L656=AZ$627,$L656="",$D656=$AZ$626),MAX(AZ$629:AZ655)+1,0)</f>
        <v>20</v>
      </c>
      <c r="BA656" s="5701"/>
      <c r="BB656" s="961" t="str">
        <f t="shared" si="76"/>
        <v>Arcabuz</v>
      </c>
      <c r="BC656" s="87" t="str">
        <f t="shared" si="77"/>
        <v/>
      </c>
      <c r="BD656" s="87" t="str">
        <f t="shared" si="78"/>
        <v>Falcata</v>
      </c>
      <c r="BE656" s="1419">
        <f>IF(OR($L656=BE$627,$L656="",$D656=$BG$626),MAX(BE$629:BE655)+1,0)</f>
        <v>0</v>
      </c>
      <c r="BF656" s="1420">
        <f>IF(OR($L656=BF$627,$L656="",$D656=$BG$626),MAX(BF$629:BF655)+1,0)</f>
        <v>0</v>
      </c>
      <c r="BG656" s="1421">
        <f>IF(OR($L656=BG$627,$L656="",$D656=$BG$626),MAX(BG$629:BG655)+1,0)</f>
        <v>20</v>
      </c>
      <c r="BH656" s="5701"/>
      <c r="BI656" s="961" t="str">
        <f t="shared" si="79"/>
        <v>Arcabuz</v>
      </c>
      <c r="BJ656" s="87" t="str">
        <f t="shared" si="80"/>
        <v/>
      </c>
      <c r="BK656" s="87" t="str">
        <f t="shared" si="81"/>
        <v>Falcata</v>
      </c>
      <c r="BL656" s="1419">
        <f>IF(OR($L656=BL$627,$L656="",$D656=$BN$626),MAX(BL$629:BL655)+1,0)</f>
        <v>0</v>
      </c>
      <c r="BM656" s="1420">
        <f>IF(OR($L656=BM$627,$L656="",$D656=$BN$626),MAX(BM$629:BM655)+1,0)</f>
        <v>0</v>
      </c>
      <c r="BN656" s="1421">
        <f>IF(OR($L656=BN$627,$L656="",$D656=$BN$626),MAX(BN$629:BN655)+1,0)</f>
        <v>20</v>
      </c>
      <c r="BO656" s="5701"/>
      <c r="BP656" s="961" t="str">
        <f t="shared" si="82"/>
        <v>Arcabuz</v>
      </c>
      <c r="BQ656" s="87" t="str">
        <f t="shared" si="83"/>
        <v/>
      </c>
      <c r="BR656" s="87" t="str">
        <f t="shared" si="84"/>
        <v>Falcata</v>
      </c>
      <c r="BS656" s="1419">
        <f>IF(OR($L656=BS$627,$L656="",$D656=$BU$626),MAX(BS$629:BS655)+1,0)</f>
        <v>0</v>
      </c>
      <c r="BT656" s="1420">
        <f>IF(OR($L656=BT$627,$L656="",$D656=$BU$626),MAX(BT$629:BT655)+1,0)</f>
        <v>0</v>
      </c>
      <c r="BU656" s="1421">
        <f>IF(OR($L656=BU$627,$L656="",$D656=$BU$626),MAX(BU$629:BU655)+1,0)</f>
        <v>20</v>
      </c>
    </row>
    <row r="657" spans="1:73" ht="12.75" customHeight="1" x14ac:dyDescent="0.2">
      <c r="A657" s="242">
        <v>657</v>
      </c>
      <c r="B657" s="5664"/>
      <c r="C657" s="1288"/>
      <c r="D657" s="1289" t="s">
        <v>2165</v>
      </c>
      <c r="E657" s="1295">
        <v>55</v>
      </c>
      <c r="F657" s="1287">
        <v>-5</v>
      </c>
      <c r="G657" s="1287">
        <v>5</v>
      </c>
      <c r="H657" s="1287">
        <v>5</v>
      </c>
      <c r="I657" s="1287" t="s">
        <v>1560</v>
      </c>
      <c r="J657" s="1287" t="s">
        <v>1464</v>
      </c>
      <c r="K657" s="1281" t="s">
        <v>7522</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2170</v>
      </c>
      <c r="AC657" s="241" t="s">
        <v>2198</v>
      </c>
      <c r="AD657" s="857"/>
      <c r="AE657" s="1430"/>
      <c r="AG657" s="961" t="str">
        <f t="shared" si="67"/>
        <v>Arco compuesto</v>
      </c>
      <c r="AH657" s="87" t="str">
        <f t="shared" si="68"/>
        <v/>
      </c>
      <c r="AI657" s="87" t="str">
        <f t="shared" si="69"/>
        <v>Florete</v>
      </c>
      <c r="AJ657" s="1419">
        <f>IF(OR($L657=AJ$627,$L657="",$D657=$AL$626),MAX(AJ$629:AJ656)+1,0)</f>
        <v>0</v>
      </c>
      <c r="AK657" s="1420">
        <f>IF(OR($L657=AK$627,$L657="",$D657=$AL$626),MAX(AK$629:AK656)+1,0)</f>
        <v>0</v>
      </c>
      <c r="AL657" s="1421">
        <f>IF(OR($L657=AL$627,$L657="",$D657=$AL$626),MAX(AL$629:AL656)+1,0)</f>
        <v>21</v>
      </c>
      <c r="AM657" s="5701"/>
      <c r="AN657" s="961" t="str">
        <f t="shared" si="70"/>
        <v>Arco compuesto</v>
      </c>
      <c r="AO657" s="87" t="str">
        <f t="shared" si="71"/>
        <v/>
      </c>
      <c r="AP657" s="87" t="str">
        <f t="shared" si="72"/>
        <v>Florete</v>
      </c>
      <c r="AQ657" s="1419">
        <f>IF(OR($L657=AQ$627,$L657="",$D657=$AS$626),MAX(AQ$629:AQ656)+1,0)</f>
        <v>0</v>
      </c>
      <c r="AR657" s="1420">
        <f>IF(OR($L657=AR$627,$L657="",$D657=$AS$626),MAX(AR$629:AR656)+1,0)</f>
        <v>0</v>
      </c>
      <c r="AS657" s="1421">
        <f>IF(OR($L657=AS$627,$L657="",$D657=$AS$626),MAX(AS$629:AS656)+1,0)</f>
        <v>21</v>
      </c>
      <c r="AT657" s="5701"/>
      <c r="AU657" s="961" t="str">
        <f t="shared" si="73"/>
        <v>Arco compuesto</v>
      </c>
      <c r="AV657" s="87" t="str">
        <f t="shared" si="74"/>
        <v/>
      </c>
      <c r="AW657" s="87" t="str">
        <f t="shared" si="75"/>
        <v>Florete</v>
      </c>
      <c r="AX657" s="1419">
        <f>IF(OR($L657=AX$627,$L657="",$D657=$AZ$626),MAX(AX$629:AX656)+1,0)</f>
        <v>0</v>
      </c>
      <c r="AY657" s="1420">
        <f>IF(OR($L657=AY$627,$L657="",$D657=$AZ$626),MAX(AY$629:AY656)+1,0)</f>
        <v>0</v>
      </c>
      <c r="AZ657" s="1421">
        <f>IF(OR($L657=AZ$627,$L657="",$D657=$AZ$626),MAX(AZ$629:AZ656)+1,0)</f>
        <v>21</v>
      </c>
      <c r="BA657" s="5701"/>
      <c r="BB657" s="961" t="str">
        <f t="shared" si="76"/>
        <v>Arco compuesto</v>
      </c>
      <c r="BC657" s="87" t="str">
        <f t="shared" si="77"/>
        <v/>
      </c>
      <c r="BD657" s="87" t="str">
        <f t="shared" si="78"/>
        <v>Florete</v>
      </c>
      <c r="BE657" s="1419">
        <f>IF(OR($L657=BE$627,$L657="",$D657=$BG$626),MAX(BE$629:BE656)+1,0)</f>
        <v>0</v>
      </c>
      <c r="BF657" s="1420">
        <f>IF(OR($L657=BF$627,$L657="",$D657=$BG$626),MAX(BF$629:BF656)+1,0)</f>
        <v>0</v>
      </c>
      <c r="BG657" s="1421">
        <f>IF(OR($L657=BG$627,$L657="",$D657=$BG$626),MAX(BG$629:BG656)+1,0)</f>
        <v>21</v>
      </c>
      <c r="BH657" s="5701"/>
      <c r="BI657" s="961" t="str">
        <f t="shared" si="79"/>
        <v>Arco compuesto</v>
      </c>
      <c r="BJ657" s="87" t="str">
        <f t="shared" si="80"/>
        <v/>
      </c>
      <c r="BK657" s="87" t="str">
        <f t="shared" si="81"/>
        <v>Florete</v>
      </c>
      <c r="BL657" s="1419">
        <f>IF(OR($L657=BL$627,$L657="",$D657=$BN$626),MAX(BL$629:BL656)+1,0)</f>
        <v>0</v>
      </c>
      <c r="BM657" s="1420">
        <f>IF(OR($L657=BM$627,$L657="",$D657=$BN$626),MAX(BM$629:BM656)+1,0)</f>
        <v>0</v>
      </c>
      <c r="BN657" s="1421">
        <f>IF(OR($L657=BN$627,$L657="",$D657=$BN$626),MAX(BN$629:BN656)+1,0)</f>
        <v>21</v>
      </c>
      <c r="BO657" s="5701"/>
      <c r="BP657" s="961" t="str">
        <f t="shared" si="82"/>
        <v>Arco compuesto</v>
      </c>
      <c r="BQ657" s="87" t="str">
        <f t="shared" si="83"/>
        <v/>
      </c>
      <c r="BR657" s="87" t="str">
        <f t="shared" si="84"/>
        <v>Florete</v>
      </c>
      <c r="BS657" s="1419">
        <f>IF(OR($L657=BS$627,$L657="",$D657=$BU$626),MAX(BS$629:BS656)+1,0)</f>
        <v>0</v>
      </c>
      <c r="BT657" s="1420">
        <f>IF(OR($L657=BT$627,$L657="",$D657=$BU$626),MAX(BT$629:BT656)+1,0)</f>
        <v>0</v>
      </c>
      <c r="BU657" s="1421">
        <f>IF(OR($L657=BU$627,$L657="",$D657=$BU$626),MAX(BU$629:BU656)+1,0)</f>
        <v>21</v>
      </c>
    </row>
    <row r="658" spans="1:73" ht="12.75" customHeight="1" x14ac:dyDescent="0.2">
      <c r="A658" s="242">
        <v>658</v>
      </c>
      <c r="B658" s="5664"/>
      <c r="C658" s="1288"/>
      <c r="D658" s="1289" t="s">
        <v>2166</v>
      </c>
      <c r="E658" s="1295">
        <v>70</v>
      </c>
      <c r="F658" s="1287">
        <v>-30</v>
      </c>
      <c r="G658" s="1287">
        <v>9</v>
      </c>
      <c r="H658" s="1287">
        <v>7</v>
      </c>
      <c r="I658" s="1287" t="s">
        <v>1560</v>
      </c>
      <c r="J658" s="1287" t="s">
        <v>1506</v>
      </c>
      <c r="K658" s="1281" t="s">
        <v>7527</v>
      </c>
      <c r="L658" s="1287" t="str">
        <f t="shared" si="88"/>
        <v>Distinta</v>
      </c>
      <c r="M658" s="1296">
        <v>15</v>
      </c>
      <c r="N658" s="1296">
        <v>5</v>
      </c>
      <c r="O658" s="1296">
        <v>25</v>
      </c>
      <c r="P658" s="1287"/>
      <c r="Q658" s="1287"/>
      <c r="R658" s="1287" t="s">
        <v>1464</v>
      </c>
      <c r="S658" s="1287" t="s">
        <v>1464</v>
      </c>
      <c r="T658" s="1287" t="s">
        <v>1464</v>
      </c>
      <c r="U658" s="1287"/>
      <c r="V658" s="1281" t="s">
        <v>2164</v>
      </c>
      <c r="W658" s="1281"/>
      <c r="X658" s="1282" t="str">
        <f t="shared" si="89"/>
        <v>Grande</v>
      </c>
      <c r="Z658" s="1418" t="str">
        <f t="shared" si="87"/>
        <v/>
      </c>
      <c r="AB658" s="961" t="s">
        <v>2171</v>
      </c>
      <c r="AC658" s="241" t="s">
        <v>7247</v>
      </c>
      <c r="AD658" s="1536"/>
      <c r="AE658" s="1430"/>
      <c r="AG658" s="961" t="str">
        <f t="shared" si="67"/>
        <v>Arco de balas</v>
      </c>
      <c r="AH658" s="87" t="str">
        <f t="shared" si="68"/>
        <v/>
      </c>
      <c r="AI658" s="87" t="str">
        <f t="shared" si="69"/>
        <v>Garfio</v>
      </c>
      <c r="AJ658" s="1419">
        <f>IF(OR($L658=AJ$627,$L658="",$D658=$AL$626),MAX(AJ$629:AJ657)+1,0)</f>
        <v>0</v>
      </c>
      <c r="AK658" s="1420">
        <f>IF(OR($L658=AK$627,$L658="",$D658=$AL$626),MAX(AK$629:AK657)+1,0)</f>
        <v>0</v>
      </c>
      <c r="AL658" s="1421">
        <f>IF(OR($L658=AL$627,$L658="",$D658=$AL$626),MAX(AL$629:AL657)+1,0)</f>
        <v>22</v>
      </c>
      <c r="AM658" s="5701"/>
      <c r="AN658" s="961" t="str">
        <f t="shared" si="70"/>
        <v>Arco de balas</v>
      </c>
      <c r="AO658" s="87" t="str">
        <f t="shared" si="71"/>
        <v/>
      </c>
      <c r="AP658" s="87" t="str">
        <f t="shared" si="72"/>
        <v>Garfio</v>
      </c>
      <c r="AQ658" s="1419">
        <f>IF(OR($L658=AQ$627,$L658="",$D658=$AS$626),MAX(AQ$629:AQ657)+1,0)</f>
        <v>0</v>
      </c>
      <c r="AR658" s="1420">
        <f>IF(OR($L658=AR$627,$L658="",$D658=$AS$626),MAX(AR$629:AR657)+1,0)</f>
        <v>0</v>
      </c>
      <c r="AS658" s="1421">
        <f>IF(OR($L658=AS$627,$L658="",$D658=$AS$626),MAX(AS$629:AS657)+1,0)</f>
        <v>22</v>
      </c>
      <c r="AT658" s="5701"/>
      <c r="AU658" s="961" t="str">
        <f t="shared" si="73"/>
        <v>Arco de balas</v>
      </c>
      <c r="AV658" s="87" t="str">
        <f t="shared" si="74"/>
        <v/>
      </c>
      <c r="AW658" s="87" t="str">
        <f t="shared" si="75"/>
        <v>Garfio</v>
      </c>
      <c r="AX658" s="1419">
        <f>IF(OR($L658=AX$627,$L658="",$D658=$AZ$626),MAX(AX$629:AX657)+1,0)</f>
        <v>0</v>
      </c>
      <c r="AY658" s="1420">
        <f>IF(OR($L658=AY$627,$L658="",$D658=$AZ$626),MAX(AY$629:AY657)+1,0)</f>
        <v>0</v>
      </c>
      <c r="AZ658" s="1421">
        <f>IF(OR($L658=AZ$627,$L658="",$D658=$AZ$626),MAX(AZ$629:AZ657)+1,0)</f>
        <v>22</v>
      </c>
      <c r="BA658" s="5701"/>
      <c r="BB658" s="961" t="str">
        <f t="shared" si="76"/>
        <v>Arco de balas</v>
      </c>
      <c r="BC658" s="87" t="str">
        <f t="shared" si="77"/>
        <v/>
      </c>
      <c r="BD658" s="87" t="str">
        <f t="shared" si="78"/>
        <v>Garfio</v>
      </c>
      <c r="BE658" s="1419">
        <f>IF(OR($L658=BE$627,$L658="",$D658=$BG$626),MAX(BE$629:BE657)+1,0)</f>
        <v>0</v>
      </c>
      <c r="BF658" s="1420">
        <f>IF(OR($L658=BF$627,$L658="",$D658=$BG$626),MAX(BF$629:BF657)+1,0)</f>
        <v>0</v>
      </c>
      <c r="BG658" s="1421">
        <f>IF(OR($L658=BG$627,$L658="",$D658=$BG$626),MAX(BG$629:BG657)+1,0)</f>
        <v>22</v>
      </c>
      <c r="BH658" s="5701"/>
      <c r="BI658" s="961" t="str">
        <f t="shared" si="79"/>
        <v>Arco de balas</v>
      </c>
      <c r="BJ658" s="87" t="str">
        <f t="shared" si="80"/>
        <v/>
      </c>
      <c r="BK658" s="87" t="str">
        <f t="shared" si="81"/>
        <v>Garfio</v>
      </c>
      <c r="BL658" s="1419">
        <f>IF(OR($L658=BL$627,$L658="",$D658=$BN$626),MAX(BL$629:BL657)+1,0)</f>
        <v>0</v>
      </c>
      <c r="BM658" s="1420">
        <f>IF(OR($L658=BM$627,$L658="",$D658=$BN$626),MAX(BM$629:BM657)+1,0)</f>
        <v>0</v>
      </c>
      <c r="BN658" s="1421">
        <f>IF(OR($L658=BN$627,$L658="",$D658=$BN$626),MAX(BN$629:BN657)+1,0)</f>
        <v>22</v>
      </c>
      <c r="BO658" s="5701"/>
      <c r="BP658" s="961" t="str">
        <f t="shared" si="82"/>
        <v>Arco de balas</v>
      </c>
      <c r="BQ658" s="87" t="str">
        <f t="shared" si="83"/>
        <v/>
      </c>
      <c r="BR658" s="87" t="str">
        <f t="shared" si="84"/>
        <v>Garfio</v>
      </c>
      <c r="BS658" s="1419">
        <f>IF(OR($L658=BS$627,$L658="",$D658=$BU$626),MAX(BS$629:BS657)+1,0)</f>
        <v>0</v>
      </c>
      <c r="BT658" s="1420">
        <f>IF(OR($L658=BT$627,$L658="",$D658=$BU$626),MAX(BT$629:BT657)+1,0)</f>
        <v>0</v>
      </c>
      <c r="BU658" s="1421">
        <f>IF(OR($L658=BU$627,$L658="",$D658=$BU$626),MAX(BU$629:BU657)+1,0)</f>
        <v>22</v>
      </c>
    </row>
    <row r="659" spans="1:73" ht="12.75" customHeight="1" x14ac:dyDescent="0.2">
      <c r="A659" s="242">
        <v>659</v>
      </c>
      <c r="B659" s="5664"/>
      <c r="C659" s="1288"/>
      <c r="D659" s="1289" t="s">
        <v>2167</v>
      </c>
      <c r="E659" s="1295">
        <v>40</v>
      </c>
      <c r="F659" s="1287">
        <v>15</v>
      </c>
      <c r="G659" s="1287">
        <v>4</v>
      </c>
      <c r="H659" s="1287">
        <v>4</v>
      </c>
      <c r="I659" s="1287" t="s">
        <v>1561</v>
      </c>
      <c r="J659" s="1287" t="s">
        <v>1560</v>
      </c>
      <c r="K659" s="1281" t="s">
        <v>7524</v>
      </c>
      <c r="L659" s="1287" t="str">
        <f t="shared" si="88"/>
        <v>Distinta</v>
      </c>
      <c r="M659" s="1296">
        <v>12</v>
      </c>
      <c r="N659" s="1296">
        <v>1</v>
      </c>
      <c r="O659" s="1296">
        <v>20</v>
      </c>
      <c r="P659" s="1287"/>
      <c r="Q659" s="1287"/>
      <c r="R659" s="1287" t="s">
        <v>1464</v>
      </c>
      <c r="S659" s="1287" t="s">
        <v>1464</v>
      </c>
      <c r="T659" s="1287" t="s">
        <v>1464</v>
      </c>
      <c r="U659" s="1287"/>
      <c r="V659" s="1281" t="s">
        <v>2168</v>
      </c>
      <c r="W659" s="1281"/>
      <c r="X659" s="1282" t="str">
        <f t="shared" si="89"/>
        <v>Pequeña</v>
      </c>
      <c r="Z659" s="1418" t="str">
        <f t="shared" si="87"/>
        <v/>
      </c>
      <c r="AB659" s="961" t="s">
        <v>7248</v>
      </c>
      <c r="AC659" s="241" t="s">
        <v>2200</v>
      </c>
      <c r="AD659" s="1536"/>
      <c r="AE659" s="1423"/>
      <c r="AG659" s="961" t="str">
        <f t="shared" si="67"/>
        <v>Arco largo</v>
      </c>
      <c r="AH659" s="87" t="str">
        <f t="shared" si="68"/>
        <v/>
      </c>
      <c r="AI659" s="87" t="str">
        <f t="shared" si="69"/>
        <v>Garrote</v>
      </c>
      <c r="AJ659" s="1419">
        <f>IF(OR($L659=AJ$627,$L659="",$D659=$AL$626),MAX(AJ$629:AJ658)+1,0)</f>
        <v>0</v>
      </c>
      <c r="AK659" s="1420">
        <f>IF(OR($L659=AK$627,$L659="",$D659=$AL$626),MAX(AK$629:AK658)+1,0)</f>
        <v>0</v>
      </c>
      <c r="AL659" s="1421">
        <f>IF(OR($L659=AL$627,$L659="",$D659=$AL$626),MAX(AL$629:AL658)+1,0)</f>
        <v>23</v>
      </c>
      <c r="AM659" s="5701"/>
      <c r="AN659" s="961" t="str">
        <f t="shared" si="70"/>
        <v>Arco largo</v>
      </c>
      <c r="AO659" s="87" t="str">
        <f t="shared" si="71"/>
        <v/>
      </c>
      <c r="AP659" s="87" t="str">
        <f t="shared" si="72"/>
        <v>Garrote</v>
      </c>
      <c r="AQ659" s="1419">
        <f>IF(OR($L659=AQ$627,$L659="",$D659=$AS$626),MAX(AQ$629:AQ658)+1,0)</f>
        <v>0</v>
      </c>
      <c r="AR659" s="1420">
        <f>IF(OR($L659=AR$627,$L659="",$D659=$AS$626),MAX(AR$629:AR658)+1,0)</f>
        <v>0</v>
      </c>
      <c r="AS659" s="1421">
        <f>IF(OR($L659=AS$627,$L659="",$D659=$AS$626),MAX(AS$629:AS658)+1,0)</f>
        <v>23</v>
      </c>
      <c r="AT659" s="5701"/>
      <c r="AU659" s="961" t="str">
        <f t="shared" si="73"/>
        <v>Arco largo</v>
      </c>
      <c r="AV659" s="87" t="str">
        <f t="shared" si="74"/>
        <v/>
      </c>
      <c r="AW659" s="87" t="str">
        <f t="shared" si="75"/>
        <v>Garrote</v>
      </c>
      <c r="AX659" s="1419">
        <f>IF(OR($L659=AX$627,$L659="",$D659=$AZ$626),MAX(AX$629:AX658)+1,0)</f>
        <v>0</v>
      </c>
      <c r="AY659" s="1420">
        <f>IF(OR($L659=AY$627,$L659="",$D659=$AZ$626),MAX(AY$629:AY658)+1,0)</f>
        <v>0</v>
      </c>
      <c r="AZ659" s="1421">
        <f>IF(OR($L659=AZ$627,$L659="",$D659=$AZ$626),MAX(AZ$629:AZ658)+1,0)</f>
        <v>23</v>
      </c>
      <c r="BA659" s="5701"/>
      <c r="BB659" s="961" t="str">
        <f t="shared" si="76"/>
        <v>Arco largo</v>
      </c>
      <c r="BC659" s="87" t="str">
        <f t="shared" si="77"/>
        <v/>
      </c>
      <c r="BD659" s="87" t="str">
        <f t="shared" si="78"/>
        <v>Garrote</v>
      </c>
      <c r="BE659" s="1419">
        <f>IF(OR($L659=BE$627,$L659="",$D659=$BG$626),MAX(BE$629:BE658)+1,0)</f>
        <v>0</v>
      </c>
      <c r="BF659" s="1420">
        <f>IF(OR($L659=BF$627,$L659="",$D659=$BG$626),MAX(BF$629:BF658)+1,0)</f>
        <v>0</v>
      </c>
      <c r="BG659" s="1421">
        <f>IF(OR($L659=BG$627,$L659="",$D659=$BG$626),MAX(BG$629:BG658)+1,0)</f>
        <v>23</v>
      </c>
      <c r="BH659" s="5701"/>
      <c r="BI659" s="961" t="str">
        <f t="shared" si="79"/>
        <v>Arco largo</v>
      </c>
      <c r="BJ659" s="87" t="str">
        <f t="shared" si="80"/>
        <v/>
      </c>
      <c r="BK659" s="87" t="str">
        <f t="shared" si="81"/>
        <v>Garrote</v>
      </c>
      <c r="BL659" s="1419">
        <f>IF(OR($L659=BL$627,$L659="",$D659=$BN$626),MAX(BL$629:BL658)+1,0)</f>
        <v>0</v>
      </c>
      <c r="BM659" s="1420">
        <f>IF(OR($L659=BM$627,$L659="",$D659=$BN$626),MAX(BM$629:BM658)+1,0)</f>
        <v>0</v>
      </c>
      <c r="BN659" s="1421">
        <f>IF(OR($L659=BN$627,$L659="",$D659=$BN$626),MAX(BN$629:BN658)+1,0)</f>
        <v>23</v>
      </c>
      <c r="BO659" s="5701"/>
      <c r="BP659" s="961" t="str">
        <f t="shared" si="82"/>
        <v>Arco largo</v>
      </c>
      <c r="BQ659" s="87" t="str">
        <f t="shared" si="83"/>
        <v/>
      </c>
      <c r="BR659" s="87" t="str">
        <f t="shared" si="84"/>
        <v>Garrote</v>
      </c>
      <c r="BS659" s="1419">
        <f>IF(OR($L659=BS$627,$L659="",$D659=$BU$626),MAX(BS$629:BS658)+1,0)</f>
        <v>0</v>
      </c>
      <c r="BT659" s="1420">
        <f>IF(OR($L659=BT$627,$L659="",$D659=$BU$626),MAX(BT$629:BT658)+1,0)</f>
        <v>0</v>
      </c>
      <c r="BU659" s="1421">
        <f>IF(OR($L659=BU$627,$L659="",$D659=$BU$626),MAX(BU$629:BU658)+1,0)</f>
        <v>23</v>
      </c>
    </row>
    <row r="660" spans="1:73" ht="12.75" customHeight="1" x14ac:dyDescent="0.2">
      <c r="A660" s="242">
        <v>660</v>
      </c>
      <c r="B660" s="5664"/>
      <c r="C660" s="1288"/>
      <c r="D660" s="1289" t="s">
        <v>2169</v>
      </c>
      <c r="E660" s="1295">
        <v>50</v>
      </c>
      <c r="F660" s="1287">
        <v>0</v>
      </c>
      <c r="G660" s="1287">
        <v>6</v>
      </c>
      <c r="H660" s="1287">
        <v>6</v>
      </c>
      <c r="I660" s="1287" t="s">
        <v>1560</v>
      </c>
      <c r="J660" s="1287" t="s">
        <v>1464</v>
      </c>
      <c r="K660" s="1281" t="s">
        <v>7522</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2172</v>
      </c>
      <c r="AC660" s="241" t="s">
        <v>2206</v>
      </c>
      <c r="AD660" s="1536"/>
      <c r="AE660" s="1423"/>
      <c r="AG660" s="961" t="str">
        <f t="shared" si="67"/>
        <v>Atlatl</v>
      </c>
      <c r="AH660" s="87" t="str">
        <f t="shared" si="68"/>
        <v/>
      </c>
      <c r="AI660" s="87" t="str">
        <f t="shared" si="69"/>
        <v>Gosse Messer</v>
      </c>
      <c r="AJ660" s="1419">
        <f>IF(OR($L660=AJ$627,$L660="",$D660=$AL$626),MAX(AJ$629:AJ659)+1,0)</f>
        <v>0</v>
      </c>
      <c r="AK660" s="1420">
        <f>IF(OR($L660=AK$627,$L660="",$D660=$AL$626),MAX(AK$629:AK659)+1,0)</f>
        <v>0</v>
      </c>
      <c r="AL660" s="1421">
        <f>IF(OR($L660=AL$627,$L660="",$D660=$AL$626),MAX(AL$629:AL659)+1,0)</f>
        <v>24</v>
      </c>
      <c r="AM660" s="5701"/>
      <c r="AN660" s="961" t="str">
        <f t="shared" si="70"/>
        <v>Atlatl</v>
      </c>
      <c r="AO660" s="87" t="str">
        <f t="shared" si="71"/>
        <v/>
      </c>
      <c r="AP660" s="87" t="str">
        <f t="shared" si="72"/>
        <v>Gosse Messer</v>
      </c>
      <c r="AQ660" s="1419">
        <f>IF(OR($L660=AQ$627,$L660="",$D660=$AS$626),MAX(AQ$629:AQ659)+1,0)</f>
        <v>0</v>
      </c>
      <c r="AR660" s="1420">
        <f>IF(OR($L660=AR$627,$L660="",$D660=$AS$626),MAX(AR$629:AR659)+1,0)</f>
        <v>0</v>
      </c>
      <c r="AS660" s="1421">
        <f>IF(OR($L660=AS$627,$L660="",$D660=$AS$626),MAX(AS$629:AS659)+1,0)</f>
        <v>24</v>
      </c>
      <c r="AT660" s="5701"/>
      <c r="AU660" s="961" t="str">
        <f t="shared" si="73"/>
        <v>Atlatl</v>
      </c>
      <c r="AV660" s="87" t="str">
        <f t="shared" si="74"/>
        <v/>
      </c>
      <c r="AW660" s="87" t="str">
        <f t="shared" si="75"/>
        <v>Gosse Messer</v>
      </c>
      <c r="AX660" s="1419">
        <f>IF(OR($L660=AX$627,$L660="",$D660=$AZ$626),MAX(AX$629:AX659)+1,0)</f>
        <v>0</v>
      </c>
      <c r="AY660" s="1420">
        <f>IF(OR($L660=AY$627,$L660="",$D660=$AZ$626),MAX(AY$629:AY659)+1,0)</f>
        <v>0</v>
      </c>
      <c r="AZ660" s="1421">
        <f>IF(OR($L660=AZ$627,$L660="",$D660=$AZ$626),MAX(AZ$629:AZ659)+1,0)</f>
        <v>24</v>
      </c>
      <c r="BA660" s="5701"/>
      <c r="BB660" s="961" t="str">
        <f t="shared" si="76"/>
        <v>Atlatl</v>
      </c>
      <c r="BC660" s="87" t="str">
        <f t="shared" si="77"/>
        <v/>
      </c>
      <c r="BD660" s="87" t="str">
        <f t="shared" si="78"/>
        <v>Gosse Messer</v>
      </c>
      <c r="BE660" s="1419">
        <f>IF(OR($L660=BE$627,$L660="",$D660=$BG$626),MAX(BE$629:BE659)+1,0)</f>
        <v>0</v>
      </c>
      <c r="BF660" s="1420">
        <f>IF(OR($L660=BF$627,$L660="",$D660=$BG$626),MAX(BF$629:BF659)+1,0)</f>
        <v>0</v>
      </c>
      <c r="BG660" s="1421">
        <f>IF(OR($L660=BG$627,$L660="",$D660=$BG$626),MAX(BG$629:BG659)+1,0)</f>
        <v>24</v>
      </c>
      <c r="BH660" s="5701"/>
      <c r="BI660" s="961" t="str">
        <f t="shared" si="79"/>
        <v>Atlatl</v>
      </c>
      <c r="BJ660" s="87" t="str">
        <f t="shared" si="80"/>
        <v/>
      </c>
      <c r="BK660" s="87" t="str">
        <f t="shared" si="81"/>
        <v>Gosse Messer</v>
      </c>
      <c r="BL660" s="1419">
        <f>IF(OR($L660=BL$627,$L660="",$D660=$BN$626),MAX(BL$629:BL659)+1,0)</f>
        <v>0</v>
      </c>
      <c r="BM660" s="1420">
        <f>IF(OR($L660=BM$627,$L660="",$D660=$BN$626),MAX(BM$629:BM659)+1,0)</f>
        <v>0</v>
      </c>
      <c r="BN660" s="1421">
        <f>IF(OR($L660=BN$627,$L660="",$D660=$BN$626),MAX(BN$629:BN659)+1,0)</f>
        <v>24</v>
      </c>
      <c r="BO660" s="5701"/>
      <c r="BP660" s="961" t="str">
        <f t="shared" si="82"/>
        <v>Atlatl</v>
      </c>
      <c r="BQ660" s="87" t="str">
        <f t="shared" si="83"/>
        <v/>
      </c>
      <c r="BR660" s="87" t="str">
        <f t="shared" si="84"/>
        <v>Gosse Messer</v>
      </c>
      <c r="BS660" s="1419">
        <f>IF(OR($L660=BS$627,$L660="",$D660=$BU$626),MAX(BS$629:BS659)+1,0)</f>
        <v>0</v>
      </c>
      <c r="BT660" s="1420">
        <f>IF(OR($L660=BT$627,$L660="",$D660=$BU$626),MAX(BT$629:BT659)+1,0)</f>
        <v>0</v>
      </c>
      <c r="BU660" s="1421">
        <f>IF(OR($L660=BU$627,$L660="",$D660=$BU$626),MAX(BU$629:BU659)+1,0)</f>
        <v>24</v>
      </c>
    </row>
    <row r="661" spans="1:73" ht="12.75" customHeight="1" x14ac:dyDescent="0.2">
      <c r="A661" s="242">
        <v>661</v>
      </c>
      <c r="B661" s="5664"/>
      <c r="C661" s="1288"/>
      <c r="D661" s="1289" t="s">
        <v>2170</v>
      </c>
      <c r="E661" s="1295">
        <v>25</v>
      </c>
      <c r="F661" s="1287">
        <v>20</v>
      </c>
      <c r="G661" s="1287">
        <v>3</v>
      </c>
      <c r="H661" s="1287">
        <v>3</v>
      </c>
      <c r="I661" s="1287" t="s">
        <v>1561</v>
      </c>
      <c r="J661" s="1287" t="s">
        <v>1464</v>
      </c>
      <c r="K661" s="1281" t="s">
        <v>7524</v>
      </c>
      <c r="L661" s="1287" t="str">
        <f t="shared" si="88"/>
        <v>Distinta</v>
      </c>
      <c r="M661" s="1296">
        <v>8</v>
      </c>
      <c r="N661" s="1296">
        <v>-3</v>
      </c>
      <c r="O661" s="1296">
        <v>15</v>
      </c>
      <c r="P661" s="1287"/>
      <c r="Q661" s="1287"/>
      <c r="R661" s="1296">
        <v>30</v>
      </c>
      <c r="S661" s="1287" t="s">
        <v>1464</v>
      </c>
      <c r="T661" s="1287">
        <v>30</v>
      </c>
      <c r="U661" s="1287"/>
      <c r="V661" s="1281" t="s">
        <v>8853</v>
      </c>
      <c r="W661" s="1281"/>
      <c r="X661" s="1282" t="str">
        <f t="shared" si="89"/>
        <v>Pequeña</v>
      </c>
      <c r="Z661" s="1418" t="str">
        <f t="shared" si="87"/>
        <v/>
      </c>
      <c r="AB661" s="961" t="s">
        <v>2173</v>
      </c>
      <c r="AC661" s="241" t="s">
        <v>2208</v>
      </c>
      <c r="AD661" s="1536"/>
      <c r="AE661" s="1423"/>
      <c r="AG661" s="961" t="str">
        <f t="shared" si="67"/>
        <v>Ballesta</v>
      </c>
      <c r="AH661" s="87" t="str">
        <f t="shared" si="68"/>
        <v/>
      </c>
      <c r="AI661" s="87" t="str">
        <f t="shared" si="69"/>
        <v>Gran martillo guerra</v>
      </c>
      <c r="AJ661" s="1419">
        <f>IF(OR($L661=AJ$627,$L661="",$D661=$AL$626),MAX(AJ$629:AJ660)+1,0)</f>
        <v>0</v>
      </c>
      <c r="AK661" s="1420">
        <f>IF(OR($L661=AK$627,$L661="",$D661=$AL$626),MAX(AK$629:AK660)+1,0)</f>
        <v>0</v>
      </c>
      <c r="AL661" s="1421">
        <f>IF(OR($L661=AL$627,$L661="",$D661=$AL$626),MAX(AL$629:AL660)+1,0)</f>
        <v>25</v>
      </c>
      <c r="AM661" s="5701"/>
      <c r="AN661" s="961" t="str">
        <f t="shared" si="70"/>
        <v>Ballesta</v>
      </c>
      <c r="AO661" s="87" t="str">
        <f t="shared" si="71"/>
        <v/>
      </c>
      <c r="AP661" s="87" t="str">
        <f t="shared" si="72"/>
        <v>Gran martillo guerra</v>
      </c>
      <c r="AQ661" s="1419">
        <f>IF(OR($L661=AQ$627,$L661="",$D661=$AS$626),MAX(AQ$629:AQ660)+1,0)</f>
        <v>0</v>
      </c>
      <c r="AR661" s="1420">
        <f>IF(OR($L661=AR$627,$L661="",$D661=$AS$626),MAX(AR$629:AR660)+1,0)</f>
        <v>0</v>
      </c>
      <c r="AS661" s="1421">
        <f>IF(OR($L661=AS$627,$L661="",$D661=$AS$626),MAX(AS$629:AS660)+1,0)</f>
        <v>25</v>
      </c>
      <c r="AT661" s="5701"/>
      <c r="AU661" s="961" t="str">
        <f t="shared" si="73"/>
        <v>Ballesta</v>
      </c>
      <c r="AV661" s="87" t="str">
        <f t="shared" si="74"/>
        <v/>
      </c>
      <c r="AW661" s="87" t="str">
        <f t="shared" si="75"/>
        <v>Gran martillo guerra</v>
      </c>
      <c r="AX661" s="1419">
        <f>IF(OR($L661=AX$627,$L661="",$D661=$AZ$626),MAX(AX$629:AX660)+1,0)</f>
        <v>0</v>
      </c>
      <c r="AY661" s="1420">
        <f>IF(OR($L661=AY$627,$L661="",$D661=$AZ$626),MAX(AY$629:AY660)+1,0)</f>
        <v>0</v>
      </c>
      <c r="AZ661" s="1421">
        <f>IF(OR($L661=AZ$627,$L661="",$D661=$AZ$626),MAX(AZ$629:AZ660)+1,0)</f>
        <v>25</v>
      </c>
      <c r="BA661" s="5701"/>
      <c r="BB661" s="961" t="str">
        <f t="shared" si="76"/>
        <v>Ballesta</v>
      </c>
      <c r="BC661" s="87" t="str">
        <f t="shared" si="77"/>
        <v/>
      </c>
      <c r="BD661" s="87" t="str">
        <f t="shared" si="78"/>
        <v>Gran martillo guerra</v>
      </c>
      <c r="BE661" s="1419">
        <f>IF(OR($L661=BE$627,$L661="",$D661=$BG$626),MAX(BE$629:BE660)+1,0)</f>
        <v>0</v>
      </c>
      <c r="BF661" s="1420">
        <f>IF(OR($L661=BF$627,$L661="",$D661=$BG$626),MAX(BF$629:BF660)+1,0)</f>
        <v>0</v>
      </c>
      <c r="BG661" s="1421">
        <f>IF(OR($L661=BG$627,$L661="",$D661=$BG$626),MAX(BG$629:BG660)+1,0)</f>
        <v>25</v>
      </c>
      <c r="BH661" s="5701"/>
      <c r="BI661" s="961" t="str">
        <f t="shared" si="79"/>
        <v>Ballesta</v>
      </c>
      <c r="BJ661" s="87" t="str">
        <f t="shared" si="80"/>
        <v/>
      </c>
      <c r="BK661" s="87" t="str">
        <f t="shared" si="81"/>
        <v>Gran martillo guerra</v>
      </c>
      <c r="BL661" s="1419">
        <f>IF(OR($L661=BL$627,$L661="",$D661=$BN$626),MAX(BL$629:BL660)+1,0)</f>
        <v>0</v>
      </c>
      <c r="BM661" s="1420">
        <f>IF(OR($L661=BM$627,$L661="",$D661=$BN$626),MAX(BM$629:BM660)+1,0)</f>
        <v>0</v>
      </c>
      <c r="BN661" s="1421">
        <f>IF(OR($L661=BN$627,$L661="",$D661=$BN$626),MAX(BN$629:BN660)+1,0)</f>
        <v>25</v>
      </c>
      <c r="BO661" s="5701"/>
      <c r="BP661" s="961" t="str">
        <f t="shared" si="82"/>
        <v>Ballesta</v>
      </c>
      <c r="BQ661" s="87" t="str">
        <f t="shared" si="83"/>
        <v/>
      </c>
      <c r="BR661" s="87" t="str">
        <f t="shared" si="84"/>
        <v>Gran martillo guerra</v>
      </c>
      <c r="BS661" s="1419">
        <f>IF(OR($L661=BS$627,$L661="",$D661=$BU$626),MAX(BS$629:BS660)+1,0)</f>
        <v>0</v>
      </c>
      <c r="BT661" s="1420">
        <f>IF(OR($L661=BT$627,$L661="",$D661=$BU$626),MAX(BT$629:BT660)+1,0)</f>
        <v>0</v>
      </c>
      <c r="BU661" s="1421">
        <f>IF(OR($L661=BU$627,$L661="",$D661=$BU$626),MAX(BU$629:BU660)+1,0)</f>
        <v>25</v>
      </c>
    </row>
    <row r="662" spans="1:73" ht="12.75" customHeight="1" x14ac:dyDescent="0.2">
      <c r="A662" s="242">
        <v>662</v>
      </c>
      <c r="B662" s="5664"/>
      <c r="C662" s="1288"/>
      <c r="D662" s="1289" t="s">
        <v>2171</v>
      </c>
      <c r="E662" s="1295">
        <v>40</v>
      </c>
      <c r="F662" s="1287">
        <v>15</v>
      </c>
      <c r="G662" s="1287">
        <v>4</v>
      </c>
      <c r="H662" s="1287">
        <v>4</v>
      </c>
      <c r="I662" s="1287" t="s">
        <v>1561</v>
      </c>
      <c r="J662" s="1287" t="s">
        <v>1560</v>
      </c>
      <c r="K662" s="1281" t="s">
        <v>7522</v>
      </c>
      <c r="L662" s="1287" t="str">
        <f t="shared" si="88"/>
        <v>Distinta</v>
      </c>
      <c r="M662" s="1296">
        <v>11</v>
      </c>
      <c r="N662" s="1296">
        <v>2</v>
      </c>
      <c r="O662" s="1296">
        <v>20</v>
      </c>
      <c r="P662" s="1287"/>
      <c r="Q662" s="1287"/>
      <c r="R662" s="1287" t="s">
        <v>1464</v>
      </c>
      <c r="S662" s="1287" t="s">
        <v>1464</v>
      </c>
      <c r="T662" s="1287" t="s">
        <v>1464</v>
      </c>
      <c r="U662" s="1287"/>
      <c r="V662" s="1281" t="s">
        <v>2168</v>
      </c>
      <c r="W662" s="1281"/>
      <c r="X662" s="1282" t="str">
        <f t="shared" si="89"/>
        <v>Mediana</v>
      </c>
      <c r="Z662" s="1418" t="str">
        <f t="shared" si="87"/>
        <v/>
      </c>
      <c r="AB662" s="961" t="s">
        <v>2174</v>
      </c>
      <c r="AC662" s="241" t="s">
        <v>2214</v>
      </c>
      <c r="AD662" s="1536"/>
      <c r="AE662" s="1423"/>
      <c r="AG662" s="961" t="str">
        <f t="shared" ref="AG662:AG693" si="90">IF(ISNA(INDEX(Lista_Armas,MATCH($A33,AJ$630:AJ$766,0))),"",INDEX(Lista_Armas,MATCH($A33,AJ$630:AJ$766,0)))</f>
        <v>Ballesta de mano</v>
      </c>
      <c r="AH662" s="87" t="str">
        <f t="shared" ref="AH662:AH693" si="91">IF(ISNA(INDEX(Lista_Armas,MATCH($A33,AK$630:AK$766,0))),"",INDEX(Lista_Armas,MATCH($A33,AK$630:AK$766,0)))</f>
        <v/>
      </c>
      <c r="AI662" s="87" t="str">
        <f t="shared" ref="AI662:AI693" si="92">IF(ISNA(INDEX(Lista_Armas,MATCH($A33,AL$630:AL$766,0))),"",INDEX(Lista_Armas,MATCH($A33,AL$630:AL$766,0)))</f>
        <v>Hacha a dos manos</v>
      </c>
      <c r="AJ662" s="1419">
        <f>IF(OR($L662=AJ$627,$L662="",$D662=$AL$626),MAX(AJ$629:AJ661)+1,0)</f>
        <v>0</v>
      </c>
      <c r="AK662" s="1420">
        <f>IF(OR($L662=AK$627,$L662="",$D662=$AL$626),MAX(AK$629:AK661)+1,0)</f>
        <v>0</v>
      </c>
      <c r="AL662" s="1421">
        <f>IF(OR($L662=AL$627,$L662="",$D662=$AL$626),MAX(AL$629:AL661)+1,0)</f>
        <v>26</v>
      </c>
      <c r="AM662" s="5701"/>
      <c r="AN662" s="961" t="str">
        <f t="shared" ref="AN662:AN693" si="93">IF(ISNA(INDEX(Lista_Armas,MATCH($A33,AQ$630:AQ$766,0))),"",INDEX(Lista_Armas,MATCH($A33,AQ$630:AQ$766,0)))</f>
        <v>Ballesta de mano</v>
      </c>
      <c r="AO662" s="87" t="str">
        <f t="shared" ref="AO662:AO693" si="94">IF(ISNA(INDEX(Lista_Armas,MATCH($A33,AR$630:AR$766,0))),"",INDEX(Lista_Armas,MATCH($A33,AR$630:AR$766,0)))</f>
        <v/>
      </c>
      <c r="AP662" s="87" t="str">
        <f t="shared" ref="AP662:AP693" si="95">IF(ISNA(INDEX(Lista_Armas,MATCH($A33,AS$630:AS$766,0))),"",INDEX(Lista_Armas,MATCH($A33,AS$630:AS$766,0)))</f>
        <v>Hacha a dos manos</v>
      </c>
      <c r="AQ662" s="1419">
        <f>IF(OR($L662=AQ$627,$L662="",$D662=$AS$626),MAX(AQ$629:AQ661)+1,0)</f>
        <v>0</v>
      </c>
      <c r="AR662" s="1420">
        <f>IF(OR($L662=AR$627,$L662="",$D662=$AS$626),MAX(AR$629:AR661)+1,0)</f>
        <v>0</v>
      </c>
      <c r="AS662" s="1421">
        <f>IF(OR($L662=AS$627,$L662="",$D662=$AS$626),MAX(AS$629:AS661)+1,0)</f>
        <v>26</v>
      </c>
      <c r="AT662" s="5701"/>
      <c r="AU662" s="961" t="str">
        <f t="shared" ref="AU662:AU693" si="96">IF(ISNA(INDEX(Lista_Armas,MATCH($A33,AX$630:AX$766,0))),"",INDEX(Lista_Armas,MATCH($A33,AX$630:AX$766,0)))</f>
        <v>Ballesta de mano</v>
      </c>
      <c r="AV662" s="87" t="str">
        <f t="shared" ref="AV662:AV693" si="97">IF(ISNA(INDEX(Lista_Armas,MATCH($A33,AY$630:AY$766,0))),"",INDEX(Lista_Armas,MATCH($A33,AY$630:AY$766,0)))</f>
        <v/>
      </c>
      <c r="AW662" s="87" t="str">
        <f t="shared" ref="AW662:AW693" si="98">IF(ISNA(INDEX(Lista_Armas,MATCH($A33,AZ$630:AZ$766,0))),"",INDEX(Lista_Armas,MATCH($A33,AZ$630:AZ$766,0)))</f>
        <v>Hacha a dos manos</v>
      </c>
      <c r="AX662" s="1419">
        <f>IF(OR($L662=AX$627,$L662="",$D662=$AZ$626),MAX(AX$629:AX661)+1,0)</f>
        <v>0</v>
      </c>
      <c r="AY662" s="1420">
        <f>IF(OR($L662=AY$627,$L662="",$D662=$AZ$626),MAX(AY$629:AY661)+1,0)</f>
        <v>0</v>
      </c>
      <c r="AZ662" s="1421">
        <f>IF(OR($L662=AZ$627,$L662="",$D662=$AZ$626),MAX(AZ$629:AZ661)+1,0)</f>
        <v>26</v>
      </c>
      <c r="BA662" s="5701"/>
      <c r="BB662" s="961" t="str">
        <f t="shared" ref="BB662:BB693" si="99">IF(ISNA(INDEX(Lista_Armas,MATCH($A33,BE$630:BE$766,0))),"",INDEX(Lista_Armas,MATCH($A33,BE$630:BE$766,0)))</f>
        <v>Ballesta de mano</v>
      </c>
      <c r="BC662" s="87" t="str">
        <f t="shared" ref="BC662:BC693" si="100">IF(ISNA(INDEX(Lista_Armas,MATCH($A33,BF$630:BF$766,0))),"",INDEX(Lista_Armas,MATCH($A33,BF$630:BF$766,0)))</f>
        <v/>
      </c>
      <c r="BD662" s="87" t="str">
        <f t="shared" ref="BD662:BD693" si="101">IF(ISNA(INDEX(Lista_Armas,MATCH($A33,BG$630:BG$766,0))),"",INDEX(Lista_Armas,MATCH($A33,BG$630:BG$766,0)))</f>
        <v>Hacha a dos manos</v>
      </c>
      <c r="BE662" s="1419">
        <f>IF(OR($L662=BE$627,$L662="",$D662=$BG$626),MAX(BE$629:BE661)+1,0)</f>
        <v>0</v>
      </c>
      <c r="BF662" s="1420">
        <f>IF(OR($L662=BF$627,$L662="",$D662=$BG$626),MAX(BF$629:BF661)+1,0)</f>
        <v>0</v>
      </c>
      <c r="BG662" s="1421">
        <f>IF(OR($L662=BG$627,$L662="",$D662=$BG$626),MAX(BG$629:BG661)+1,0)</f>
        <v>26</v>
      </c>
      <c r="BH662" s="5701"/>
      <c r="BI662" s="961" t="str">
        <f t="shared" ref="BI662:BI693" si="102">IF(ISNA(INDEX(Lista_Armas,MATCH($A33,BL$630:BL$766,0))),"",INDEX(Lista_Armas,MATCH($A33,BL$630:BL$766,0)))</f>
        <v>Ballesta de mano</v>
      </c>
      <c r="BJ662" s="87" t="str">
        <f t="shared" ref="BJ662:BJ693" si="103">IF(ISNA(INDEX(Lista_Armas,MATCH($A33,BM$630:BM$766,0))),"",INDEX(Lista_Armas,MATCH($A33,BM$630:BM$766,0)))</f>
        <v/>
      </c>
      <c r="BK662" s="87" t="str">
        <f t="shared" ref="BK662:BK693" si="104">IF(ISNA(INDEX(Lista_Armas,MATCH($A33,BN$630:BN$766,0))),"",INDEX(Lista_Armas,MATCH($A33,BN$630:BN$766,0)))</f>
        <v>Hacha a dos manos</v>
      </c>
      <c r="BL662" s="1419">
        <f>IF(OR($L662=BL$627,$L662="",$D662=$BN$626),MAX(BL$629:BL661)+1,0)</f>
        <v>0</v>
      </c>
      <c r="BM662" s="1420">
        <f>IF(OR($L662=BM$627,$L662="",$D662=$BN$626),MAX(BM$629:BM661)+1,0)</f>
        <v>0</v>
      </c>
      <c r="BN662" s="1421">
        <f>IF(OR($L662=BN$627,$L662="",$D662=$BN$626),MAX(BN$629:BN661)+1,0)</f>
        <v>26</v>
      </c>
      <c r="BO662" s="5701"/>
      <c r="BP662" s="961" t="str">
        <f t="shared" ref="BP662:BP693" si="105">IF(ISNA(INDEX(Lista_Armas,MATCH($A33,BS$630:BS$766,0))),"",INDEX(Lista_Armas,MATCH($A33,BS$630:BS$766,0)))</f>
        <v>Ballesta de mano</v>
      </c>
      <c r="BQ662" s="87" t="str">
        <f t="shared" ref="BQ662:BQ693" si="106">IF(ISNA(INDEX(Lista_Armas,MATCH($A33,BT$630:BT$766,0))),"",INDEX(Lista_Armas,MATCH($A33,BT$630:BT$766,0)))</f>
        <v/>
      </c>
      <c r="BR662" s="87" t="str">
        <f t="shared" ref="BR662:BR693" si="107">IF(ISNA(INDEX(Lista_Armas,MATCH($A33,BU$630:BU$766,0))),"",INDEX(Lista_Armas,MATCH($A33,BU$630:BU$766,0)))</f>
        <v>Hacha a dos manos</v>
      </c>
      <c r="BS662" s="1419">
        <f>IF(OR($L662=BS$627,$L662="",$D662=$BU$626),MAX(BS$629:BS661)+1,0)</f>
        <v>0</v>
      </c>
      <c r="BT662" s="1420">
        <f>IF(OR($L662=BT$627,$L662="",$D662=$BU$626),MAX(BT$629:BT661)+1,0)</f>
        <v>0</v>
      </c>
      <c r="BU662" s="1421">
        <f>IF(OR($L662=BU$627,$L662="",$D662=$BU$626),MAX(BU$629:BU661)+1,0)</f>
        <v>26</v>
      </c>
    </row>
    <row r="663" spans="1:73" ht="12.75" customHeight="1" x14ac:dyDescent="0.2">
      <c r="A663" s="242">
        <v>663</v>
      </c>
      <c r="B663" s="5664"/>
      <c r="C663" s="1288"/>
      <c r="D663" s="1289" t="s">
        <v>7248</v>
      </c>
      <c r="E663" s="1295">
        <v>60</v>
      </c>
      <c r="F663" s="1287">
        <v>-10</v>
      </c>
      <c r="G663" s="1287">
        <v>7</v>
      </c>
      <c r="H663" s="1287">
        <v>7</v>
      </c>
      <c r="I663" s="1287" t="s">
        <v>1560</v>
      </c>
      <c r="J663" s="1287" t="s">
        <v>1464</v>
      </c>
      <c r="K663" s="1281" t="s">
        <v>7528</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7234</v>
      </c>
      <c r="AC663" s="241" t="s">
        <v>2215</v>
      </c>
      <c r="AD663" s="1536"/>
      <c r="AE663" s="1423"/>
      <c r="AG663" s="961" t="str">
        <f t="shared" si="90"/>
        <v>Ballesta de repetición</v>
      </c>
      <c r="AH663" s="87" t="str">
        <f t="shared" si="91"/>
        <v/>
      </c>
      <c r="AI663" s="87" t="str">
        <f t="shared" si="92"/>
        <v>Hacha de guerra</v>
      </c>
      <c r="AJ663" s="1419">
        <f>IF(OR($L663=AJ$627,$L663="",$D663=$AL$626),MAX(AJ$629:AJ662)+1,0)</f>
        <v>0</v>
      </c>
      <c r="AK663" s="1420">
        <f>IF(OR($L663=AK$627,$L663="",$D663=$AL$626),MAX(AK$629:AK662)+1,0)</f>
        <v>0</v>
      </c>
      <c r="AL663" s="1421">
        <f>IF(OR($L663=AL$627,$L663="",$D663=$AL$626),MAX(AL$629:AL662)+1,0)</f>
        <v>27</v>
      </c>
      <c r="AM663" s="5701"/>
      <c r="AN663" s="961" t="str">
        <f t="shared" si="93"/>
        <v>Ballesta de repetición</v>
      </c>
      <c r="AO663" s="87" t="str">
        <f t="shared" si="94"/>
        <v/>
      </c>
      <c r="AP663" s="87" t="str">
        <f t="shared" si="95"/>
        <v>Hacha de guerra</v>
      </c>
      <c r="AQ663" s="1419">
        <f>IF(OR($L663=AQ$627,$L663="",$D663=$AS$626),MAX(AQ$629:AQ662)+1,0)</f>
        <v>0</v>
      </c>
      <c r="AR663" s="1420">
        <f>IF(OR($L663=AR$627,$L663="",$D663=$AS$626),MAX(AR$629:AR662)+1,0)</f>
        <v>0</v>
      </c>
      <c r="AS663" s="1421">
        <f>IF(OR($L663=AS$627,$L663="",$D663=$AS$626),MAX(AS$629:AS662)+1,0)</f>
        <v>27</v>
      </c>
      <c r="AT663" s="5701"/>
      <c r="AU663" s="961" t="str">
        <f t="shared" si="96"/>
        <v>Ballesta de repetición</v>
      </c>
      <c r="AV663" s="87" t="str">
        <f t="shared" si="97"/>
        <v/>
      </c>
      <c r="AW663" s="87" t="str">
        <f t="shared" si="98"/>
        <v>Hacha de guerra</v>
      </c>
      <c r="AX663" s="1419">
        <f>IF(OR($L663=AX$627,$L663="",$D663=$AZ$626),MAX(AX$629:AX662)+1,0)</f>
        <v>0</v>
      </c>
      <c r="AY663" s="1420">
        <f>IF(OR($L663=AY$627,$L663="",$D663=$AZ$626),MAX(AY$629:AY662)+1,0)</f>
        <v>0</v>
      </c>
      <c r="AZ663" s="1421">
        <f>IF(OR($L663=AZ$627,$L663="",$D663=$AZ$626),MAX(AZ$629:AZ662)+1,0)</f>
        <v>27</v>
      </c>
      <c r="BA663" s="5701"/>
      <c r="BB663" s="961" t="str">
        <f t="shared" si="99"/>
        <v>Ballesta de repetición</v>
      </c>
      <c r="BC663" s="87" t="str">
        <f t="shared" si="100"/>
        <v/>
      </c>
      <c r="BD663" s="87" t="str">
        <f t="shared" si="101"/>
        <v>Hacha de guerra</v>
      </c>
      <c r="BE663" s="1419">
        <f>IF(OR($L663=BE$627,$L663="",$D663=$BG$626),MAX(BE$629:BE662)+1,0)</f>
        <v>0</v>
      </c>
      <c r="BF663" s="1420">
        <f>IF(OR($L663=BF$627,$L663="",$D663=$BG$626),MAX(BF$629:BF662)+1,0)</f>
        <v>0</v>
      </c>
      <c r="BG663" s="1421">
        <f>IF(OR($L663=BG$627,$L663="",$D663=$BG$626),MAX(BG$629:BG662)+1,0)</f>
        <v>27</v>
      </c>
      <c r="BH663" s="5701"/>
      <c r="BI663" s="961" t="str">
        <f t="shared" si="102"/>
        <v>Ballesta de repetición</v>
      </c>
      <c r="BJ663" s="87" t="str">
        <f t="shared" si="103"/>
        <v/>
      </c>
      <c r="BK663" s="87" t="str">
        <f t="shared" si="104"/>
        <v>Hacha de guerra</v>
      </c>
      <c r="BL663" s="1419">
        <f>IF(OR($L663=BL$627,$L663="",$D663=$BN$626),MAX(BL$629:BL662)+1,0)</f>
        <v>0</v>
      </c>
      <c r="BM663" s="1420">
        <f>IF(OR($L663=BM$627,$L663="",$D663=$BN$626),MAX(BM$629:BM662)+1,0)</f>
        <v>0</v>
      </c>
      <c r="BN663" s="1421">
        <f>IF(OR($L663=BN$627,$L663="",$D663=$BN$626),MAX(BN$629:BN662)+1,0)</f>
        <v>27</v>
      </c>
      <c r="BO663" s="5701"/>
      <c r="BP663" s="961" t="str">
        <f t="shared" si="105"/>
        <v>Ballesta de repetición</v>
      </c>
      <c r="BQ663" s="87" t="str">
        <f t="shared" si="106"/>
        <v/>
      </c>
      <c r="BR663" s="87" t="str">
        <f t="shared" si="107"/>
        <v>Hacha de guerra</v>
      </c>
      <c r="BS663" s="1419">
        <f>IF(OR($L663=BS$627,$L663="",$D663=$BU$626),MAX(BS$629:BS662)+1,0)</f>
        <v>0</v>
      </c>
      <c r="BT663" s="1420">
        <f>IF(OR($L663=BT$627,$L663="",$D663=$BU$626),MAX(BT$629:BT662)+1,0)</f>
        <v>0</v>
      </c>
      <c r="BU663" s="1421">
        <f>IF(OR($L663=BU$627,$L663="",$D663=$BU$626),MAX(BU$629:BU662)+1,0)</f>
        <v>27</v>
      </c>
    </row>
    <row r="664" spans="1:73" ht="12.75" customHeight="1" x14ac:dyDescent="0.2">
      <c r="A664" s="242">
        <v>664</v>
      </c>
      <c r="B664" s="5664"/>
      <c r="C664" s="1288"/>
      <c r="D664" s="1289" t="s">
        <v>2172</v>
      </c>
      <c r="E664" s="1295">
        <v>35</v>
      </c>
      <c r="F664" s="1287">
        <v>15</v>
      </c>
      <c r="G664" s="1287">
        <v>3</v>
      </c>
      <c r="H664" s="1287">
        <v>3</v>
      </c>
      <c r="I664" s="1287" t="s">
        <v>1561</v>
      </c>
      <c r="J664" s="1287" t="s">
        <v>1464</v>
      </c>
      <c r="K664" s="1281" t="s">
        <v>7529</v>
      </c>
      <c r="L664" s="1287" t="str">
        <f t="shared" si="88"/>
        <v>Distinta</v>
      </c>
      <c r="M664" s="1296">
        <v>9</v>
      </c>
      <c r="N664" s="1296">
        <v>-2</v>
      </c>
      <c r="O664" s="1296">
        <v>20</v>
      </c>
      <c r="P664" s="1287"/>
      <c r="Q664" s="1287"/>
      <c r="R664" s="1287" t="s">
        <v>1464</v>
      </c>
      <c r="S664" s="1287" t="s">
        <v>1464</v>
      </c>
      <c r="T664" s="1287" t="s">
        <v>1464</v>
      </c>
      <c r="U664" s="1287"/>
      <c r="V664" s="1281" t="s">
        <v>2168</v>
      </c>
      <c r="W664" s="1281"/>
      <c r="X664" s="1282" t="str">
        <f t="shared" si="89"/>
        <v>Pequeña</v>
      </c>
      <c r="Z664" s="1418" t="str">
        <f t="shared" si="87"/>
        <v/>
      </c>
      <c r="AB664" s="961" t="s">
        <v>7235</v>
      </c>
      <c r="AC664" s="241" t="s">
        <v>2219</v>
      </c>
      <c r="AD664" s="1536"/>
      <c r="AE664" s="1423"/>
      <c r="AG664" s="961" t="str">
        <f t="shared" si="90"/>
        <v>Ballesta pesada</v>
      </c>
      <c r="AH664" s="87" t="str">
        <f t="shared" si="91"/>
        <v/>
      </c>
      <c r="AI664" s="87" t="str">
        <f t="shared" si="92"/>
        <v>Hacha de mano</v>
      </c>
      <c r="AJ664" s="1419">
        <f>IF(OR($L664=AJ$627,$L664="",$D664=$AL$626),MAX(AJ$629:AJ663)+1,0)</f>
        <v>0</v>
      </c>
      <c r="AK664" s="1420">
        <f>IF(OR($L664=AK$627,$L664="",$D664=$AL$626),MAX(AK$629:AK663)+1,0)</f>
        <v>0</v>
      </c>
      <c r="AL664" s="1421">
        <f>IF(OR($L664=AL$627,$L664="",$D664=$AL$626),MAX(AL$629:AL663)+1,0)</f>
        <v>28</v>
      </c>
      <c r="AM664" s="5701"/>
      <c r="AN664" s="961" t="str">
        <f t="shared" si="93"/>
        <v>Ballesta pesada</v>
      </c>
      <c r="AO664" s="87" t="str">
        <f t="shared" si="94"/>
        <v/>
      </c>
      <c r="AP664" s="87" t="str">
        <f t="shared" si="95"/>
        <v>Hacha de mano</v>
      </c>
      <c r="AQ664" s="1419">
        <f>IF(OR($L664=AQ$627,$L664="",$D664=$AS$626),MAX(AQ$629:AQ663)+1,0)</f>
        <v>0</v>
      </c>
      <c r="AR664" s="1420">
        <f>IF(OR($L664=AR$627,$L664="",$D664=$AS$626),MAX(AR$629:AR663)+1,0)</f>
        <v>0</v>
      </c>
      <c r="AS664" s="1421">
        <f>IF(OR($L664=AS$627,$L664="",$D664=$AS$626),MAX(AS$629:AS663)+1,0)</f>
        <v>28</v>
      </c>
      <c r="AT664" s="5701"/>
      <c r="AU664" s="961" t="str">
        <f t="shared" si="96"/>
        <v>Ballesta pesada</v>
      </c>
      <c r="AV664" s="87" t="str">
        <f t="shared" si="97"/>
        <v/>
      </c>
      <c r="AW664" s="87" t="str">
        <f t="shared" si="98"/>
        <v>Hacha de mano</v>
      </c>
      <c r="AX664" s="1419">
        <f>IF(OR($L664=AX$627,$L664="",$D664=$AZ$626),MAX(AX$629:AX663)+1,0)</f>
        <v>0</v>
      </c>
      <c r="AY664" s="1420">
        <f>IF(OR($L664=AY$627,$L664="",$D664=$AZ$626),MAX(AY$629:AY663)+1,0)</f>
        <v>0</v>
      </c>
      <c r="AZ664" s="1421">
        <f>IF(OR($L664=AZ$627,$L664="",$D664=$AZ$626),MAX(AZ$629:AZ663)+1,0)</f>
        <v>28</v>
      </c>
      <c r="BA664" s="5701"/>
      <c r="BB664" s="961" t="str">
        <f t="shared" si="99"/>
        <v>Ballesta pesada</v>
      </c>
      <c r="BC664" s="87" t="str">
        <f t="shared" si="100"/>
        <v/>
      </c>
      <c r="BD664" s="87" t="str">
        <f t="shared" si="101"/>
        <v>Hacha de mano</v>
      </c>
      <c r="BE664" s="1419">
        <f>IF(OR($L664=BE$627,$L664="",$D664=$BG$626),MAX(BE$629:BE663)+1,0)</f>
        <v>0</v>
      </c>
      <c r="BF664" s="1420">
        <f>IF(OR($L664=BF$627,$L664="",$D664=$BG$626),MAX(BF$629:BF663)+1,0)</f>
        <v>0</v>
      </c>
      <c r="BG664" s="1421">
        <f>IF(OR($L664=BG$627,$L664="",$D664=$BG$626),MAX(BG$629:BG663)+1,0)</f>
        <v>28</v>
      </c>
      <c r="BH664" s="5701"/>
      <c r="BI664" s="961" t="str">
        <f t="shared" si="102"/>
        <v>Ballesta pesada</v>
      </c>
      <c r="BJ664" s="87" t="str">
        <f t="shared" si="103"/>
        <v/>
      </c>
      <c r="BK664" s="87" t="str">
        <f t="shared" si="104"/>
        <v>Hacha de mano</v>
      </c>
      <c r="BL664" s="1419">
        <f>IF(OR($L664=BL$627,$L664="",$D664=$BN$626),MAX(BL$629:BL663)+1,0)</f>
        <v>0</v>
      </c>
      <c r="BM664" s="1420">
        <f>IF(OR($L664=BM$627,$L664="",$D664=$BN$626),MAX(BM$629:BM663)+1,0)</f>
        <v>0</v>
      </c>
      <c r="BN664" s="1421">
        <f>IF(OR($L664=BN$627,$L664="",$D664=$BN$626),MAX(BN$629:BN663)+1,0)</f>
        <v>28</v>
      </c>
      <c r="BO664" s="5701"/>
      <c r="BP664" s="961" t="str">
        <f t="shared" si="105"/>
        <v>Ballesta pesada</v>
      </c>
      <c r="BQ664" s="87" t="str">
        <f t="shared" si="106"/>
        <v/>
      </c>
      <c r="BR664" s="87" t="str">
        <f t="shared" si="107"/>
        <v>Hacha de mano</v>
      </c>
      <c r="BS664" s="1419">
        <f>IF(OR($L664=BS$627,$L664="",$D664=$BU$626),MAX(BS$629:BS663)+1,0)</f>
        <v>0</v>
      </c>
      <c r="BT664" s="1420">
        <f>IF(OR($L664=BT$627,$L664="",$D664=$BU$626),MAX(BT$629:BT663)+1,0)</f>
        <v>0</v>
      </c>
      <c r="BU664" s="1421">
        <f>IF(OR($L664=BU$627,$L664="",$D664=$BU$626),MAX(BU$629:BU663)+1,0)</f>
        <v>28</v>
      </c>
    </row>
    <row r="665" spans="1:73" ht="12.75" customHeight="1" x14ac:dyDescent="0.2">
      <c r="A665" s="242">
        <v>665</v>
      </c>
      <c r="B665" s="5664"/>
      <c r="C665" s="1288"/>
      <c r="D665" s="1289" t="s">
        <v>2173</v>
      </c>
      <c r="E665" s="1295">
        <v>30</v>
      </c>
      <c r="F665" s="1287">
        <v>10</v>
      </c>
      <c r="G665" s="1287">
        <v>3</v>
      </c>
      <c r="H665" s="1287">
        <v>3</v>
      </c>
      <c r="I665" s="1287" t="s">
        <v>1561</v>
      </c>
      <c r="J665" s="1287" t="s">
        <v>1464</v>
      </c>
      <c r="K665" s="1281" t="s">
        <v>7524</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2176</v>
      </c>
      <c r="AC665" s="241" t="s">
        <v>2222</v>
      </c>
      <c r="AD665" s="1536"/>
      <c r="AE665" s="1423"/>
      <c r="AG665" s="961" t="str">
        <f t="shared" si="90"/>
        <v>Daikyu</v>
      </c>
      <c r="AH665" s="87" t="str">
        <f t="shared" si="91"/>
        <v/>
      </c>
      <c r="AI665" s="87" t="str">
        <f t="shared" si="92"/>
        <v>Hu Die Dao</v>
      </c>
      <c r="AJ665" s="1419">
        <f>IF(OR($L665=AJ$627,$L665="",$D665=$AL$626),MAX(AJ$629:AJ664)+1,0)</f>
        <v>0</v>
      </c>
      <c r="AK665" s="1420">
        <f>IF(OR($L665=AK$627,$L665="",$D665=$AL$626),MAX(AK$629:AK664)+1,0)</f>
        <v>0</v>
      </c>
      <c r="AL665" s="1421">
        <f>IF(OR($L665=AL$627,$L665="",$D665=$AL$626),MAX(AL$629:AL664)+1,0)</f>
        <v>29</v>
      </c>
      <c r="AM665" s="5701"/>
      <c r="AN665" s="961" t="str">
        <f t="shared" si="93"/>
        <v>Daikyu</v>
      </c>
      <c r="AO665" s="87" t="str">
        <f t="shared" si="94"/>
        <v/>
      </c>
      <c r="AP665" s="87" t="str">
        <f t="shared" si="95"/>
        <v>Hu Die Dao</v>
      </c>
      <c r="AQ665" s="1419">
        <f>IF(OR($L665=AQ$627,$L665="",$D665=$AS$626),MAX(AQ$629:AQ664)+1,0)</f>
        <v>0</v>
      </c>
      <c r="AR665" s="1420">
        <f>IF(OR($L665=AR$627,$L665="",$D665=$AS$626),MAX(AR$629:AR664)+1,0)</f>
        <v>0</v>
      </c>
      <c r="AS665" s="1421">
        <f>IF(OR($L665=AS$627,$L665="",$D665=$AS$626),MAX(AS$629:AS664)+1,0)</f>
        <v>29</v>
      </c>
      <c r="AT665" s="5701"/>
      <c r="AU665" s="961" t="str">
        <f t="shared" si="96"/>
        <v>Daikyu</v>
      </c>
      <c r="AV665" s="87" t="str">
        <f t="shared" si="97"/>
        <v/>
      </c>
      <c r="AW665" s="87" t="str">
        <f t="shared" si="98"/>
        <v>Hu Die Dao</v>
      </c>
      <c r="AX665" s="1419">
        <f>IF(OR($L665=AX$627,$L665="",$D665=$AZ$626),MAX(AX$629:AX664)+1,0)</f>
        <v>0</v>
      </c>
      <c r="AY665" s="1420">
        <f>IF(OR($L665=AY$627,$L665="",$D665=$AZ$626),MAX(AY$629:AY664)+1,0)</f>
        <v>0</v>
      </c>
      <c r="AZ665" s="1421">
        <f>IF(OR($L665=AZ$627,$L665="",$D665=$AZ$626),MAX(AZ$629:AZ664)+1,0)</f>
        <v>29</v>
      </c>
      <c r="BA665" s="5701"/>
      <c r="BB665" s="961" t="str">
        <f t="shared" si="99"/>
        <v>Daikyu</v>
      </c>
      <c r="BC665" s="87" t="str">
        <f t="shared" si="100"/>
        <v/>
      </c>
      <c r="BD665" s="87" t="str">
        <f t="shared" si="101"/>
        <v>Hu Die Dao</v>
      </c>
      <c r="BE665" s="1419">
        <f>IF(OR($L665=BE$627,$L665="",$D665=$BG$626),MAX(BE$629:BE664)+1,0)</f>
        <v>0</v>
      </c>
      <c r="BF665" s="1420">
        <f>IF(OR($L665=BF$627,$L665="",$D665=$BG$626),MAX(BF$629:BF664)+1,0)</f>
        <v>0</v>
      </c>
      <c r="BG665" s="1421">
        <f>IF(OR($L665=BG$627,$L665="",$D665=$BG$626),MAX(BG$629:BG664)+1,0)</f>
        <v>29</v>
      </c>
      <c r="BH665" s="5701"/>
      <c r="BI665" s="961" t="str">
        <f t="shared" si="102"/>
        <v>Daikyu</v>
      </c>
      <c r="BJ665" s="87" t="str">
        <f t="shared" si="103"/>
        <v/>
      </c>
      <c r="BK665" s="87" t="str">
        <f t="shared" si="104"/>
        <v>Hu Die Dao</v>
      </c>
      <c r="BL665" s="1419">
        <f>IF(OR($L665=BL$627,$L665="",$D665=$BN$626),MAX(BL$629:BL664)+1,0)</f>
        <v>0</v>
      </c>
      <c r="BM665" s="1420">
        <f>IF(OR($L665=BM$627,$L665="",$D665=$BN$626),MAX(BM$629:BM664)+1,0)</f>
        <v>0</v>
      </c>
      <c r="BN665" s="1421">
        <f>IF(OR($L665=BN$627,$L665="",$D665=$BN$626),MAX(BN$629:BN664)+1,0)</f>
        <v>29</v>
      </c>
      <c r="BO665" s="5701"/>
      <c r="BP665" s="961" t="str">
        <f t="shared" si="105"/>
        <v>Daikyu</v>
      </c>
      <c r="BQ665" s="87" t="str">
        <f t="shared" si="106"/>
        <v/>
      </c>
      <c r="BR665" s="87" t="str">
        <f t="shared" si="107"/>
        <v>Hu Die Dao</v>
      </c>
      <c r="BS665" s="1419">
        <f>IF(OR($L665=BS$627,$L665="",$D665=$BU$626),MAX(BS$629:BS664)+1,0)</f>
        <v>0</v>
      </c>
      <c r="BT665" s="1420">
        <f>IF(OR($L665=BT$627,$L665="",$D665=$BU$626),MAX(BT$629:BT664)+1,0)</f>
        <v>0</v>
      </c>
      <c r="BU665" s="1421">
        <f>IF(OR($L665=BU$627,$L665="",$D665=$BU$626),MAX(BU$629:BU664)+1,0)</f>
        <v>29</v>
      </c>
    </row>
    <row r="666" spans="1:73" ht="12.75" customHeight="1" x14ac:dyDescent="0.2">
      <c r="A666" s="242">
        <v>666</v>
      </c>
      <c r="B666" s="5664"/>
      <c r="C666" s="1288"/>
      <c r="D666" s="1289" t="s">
        <v>2174</v>
      </c>
      <c r="E666" s="1295">
        <v>30</v>
      </c>
      <c r="F666" s="1287">
        <v>0</v>
      </c>
      <c r="G666" s="1287">
        <v>5</v>
      </c>
      <c r="H666" s="1287">
        <v>5</v>
      </c>
      <c r="I666" s="1287" t="s">
        <v>1506</v>
      </c>
      <c r="J666" s="1287" t="s">
        <v>1464</v>
      </c>
      <c r="K666" s="1281" t="s">
        <v>7525</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2177</v>
      </c>
      <c r="AC666" s="241" t="s">
        <v>2224</v>
      </c>
      <c r="AD666" s="1536"/>
      <c r="AE666" s="1423"/>
      <c r="AG666" s="961" t="str">
        <f t="shared" si="90"/>
        <v>Honda</v>
      </c>
      <c r="AH666" s="87" t="str">
        <f t="shared" si="91"/>
        <v/>
      </c>
      <c r="AI666" s="87" t="str">
        <f t="shared" si="92"/>
        <v>Katzbalger</v>
      </c>
      <c r="AJ666" s="1419">
        <f>IF(OR($L666=AJ$627,$L666="",$D666=$AL$626),MAX(AJ$629:AJ665)+1,0)</f>
        <v>0</v>
      </c>
      <c r="AK666" s="1420">
        <f>IF(OR($L666=AK$627,$L666="",$D666=$AL$626),MAX(AK$629:AK665)+1,0)</f>
        <v>0</v>
      </c>
      <c r="AL666" s="1421">
        <f>IF(OR($L666=AL$627,$L666="",$D666=$AL$626),MAX(AL$629:AL665)+1,0)</f>
        <v>30</v>
      </c>
      <c r="AM666" s="5701"/>
      <c r="AN666" s="961" t="str">
        <f t="shared" si="93"/>
        <v>Honda</v>
      </c>
      <c r="AO666" s="87" t="str">
        <f t="shared" si="94"/>
        <v/>
      </c>
      <c r="AP666" s="87" t="str">
        <f t="shared" si="95"/>
        <v>Katzbalger</v>
      </c>
      <c r="AQ666" s="1419">
        <f>IF(OR($L666=AQ$627,$L666="",$D666=$AS$626),MAX(AQ$629:AQ665)+1,0)</f>
        <v>0</v>
      </c>
      <c r="AR666" s="1420">
        <f>IF(OR($L666=AR$627,$L666="",$D666=$AS$626),MAX(AR$629:AR665)+1,0)</f>
        <v>0</v>
      </c>
      <c r="AS666" s="1421">
        <f>IF(OR($L666=AS$627,$L666="",$D666=$AS$626),MAX(AS$629:AS665)+1,0)</f>
        <v>30</v>
      </c>
      <c r="AT666" s="5701"/>
      <c r="AU666" s="961" t="str">
        <f t="shared" si="96"/>
        <v>Honda</v>
      </c>
      <c r="AV666" s="87" t="str">
        <f t="shared" si="97"/>
        <v/>
      </c>
      <c r="AW666" s="87" t="str">
        <f t="shared" si="98"/>
        <v>Katzbalger</v>
      </c>
      <c r="AX666" s="1419">
        <f>IF(OR($L666=AX$627,$L666="",$D666=$AZ$626),MAX(AX$629:AX665)+1,0)</f>
        <v>0</v>
      </c>
      <c r="AY666" s="1420">
        <f>IF(OR($L666=AY$627,$L666="",$D666=$AZ$626),MAX(AY$629:AY665)+1,0)</f>
        <v>0</v>
      </c>
      <c r="AZ666" s="1421">
        <f>IF(OR($L666=AZ$627,$L666="",$D666=$AZ$626),MAX(AZ$629:AZ665)+1,0)</f>
        <v>30</v>
      </c>
      <c r="BA666" s="5701"/>
      <c r="BB666" s="961" t="str">
        <f t="shared" si="99"/>
        <v>Honda</v>
      </c>
      <c r="BC666" s="87" t="str">
        <f t="shared" si="100"/>
        <v/>
      </c>
      <c r="BD666" s="87" t="str">
        <f t="shared" si="101"/>
        <v>Katzbalger</v>
      </c>
      <c r="BE666" s="1419">
        <f>IF(OR($L666=BE$627,$L666="",$D666=$BG$626),MAX(BE$629:BE665)+1,0)</f>
        <v>0</v>
      </c>
      <c r="BF666" s="1420">
        <f>IF(OR($L666=BF$627,$L666="",$D666=$BG$626),MAX(BF$629:BF665)+1,0)</f>
        <v>0</v>
      </c>
      <c r="BG666" s="1421">
        <f>IF(OR($L666=BG$627,$L666="",$D666=$BG$626),MAX(BG$629:BG665)+1,0)</f>
        <v>30</v>
      </c>
      <c r="BH666" s="5701"/>
      <c r="BI666" s="961" t="str">
        <f t="shared" si="102"/>
        <v>Honda</v>
      </c>
      <c r="BJ666" s="87" t="str">
        <f t="shared" si="103"/>
        <v/>
      </c>
      <c r="BK666" s="87" t="str">
        <f t="shared" si="104"/>
        <v>Katzbalger</v>
      </c>
      <c r="BL666" s="1419">
        <f>IF(OR($L666=BL$627,$L666="",$D666=$BN$626),MAX(BL$629:BL665)+1,0)</f>
        <v>0</v>
      </c>
      <c r="BM666" s="1420">
        <f>IF(OR($L666=BM$627,$L666="",$D666=$BN$626),MAX(BM$629:BM665)+1,0)</f>
        <v>0</v>
      </c>
      <c r="BN666" s="1421">
        <f>IF(OR($L666=BN$627,$L666="",$D666=$BN$626),MAX(BN$629:BN665)+1,0)</f>
        <v>30</v>
      </c>
      <c r="BO666" s="5701"/>
      <c r="BP666" s="961" t="str">
        <f t="shared" si="105"/>
        <v>Honda</v>
      </c>
      <c r="BQ666" s="87" t="str">
        <f t="shared" si="106"/>
        <v/>
      </c>
      <c r="BR666" s="87" t="str">
        <f t="shared" si="107"/>
        <v>Katzbalger</v>
      </c>
      <c r="BS666" s="1419">
        <f>IF(OR($L666=BS$627,$L666="",$D666=$BU$626),MAX(BS$629:BS665)+1,0)</f>
        <v>0</v>
      </c>
      <c r="BT666" s="1420">
        <f>IF(OR($L666=BT$627,$L666="",$D666=$BU$626),MAX(BT$629:BT665)+1,0)</f>
        <v>0</v>
      </c>
      <c r="BU666" s="1421">
        <f>IF(OR($L666=BU$627,$L666="",$D666=$BU$626),MAX(BU$629:BU665)+1,0)</f>
        <v>30</v>
      </c>
    </row>
    <row r="667" spans="1:73" ht="12.75" customHeight="1" x14ac:dyDescent="0.2">
      <c r="A667" s="242">
        <v>667</v>
      </c>
      <c r="B667" s="5664"/>
      <c r="C667" s="1288"/>
      <c r="D667" s="1289" t="s">
        <v>7234</v>
      </c>
      <c r="E667" s="1295">
        <v>40</v>
      </c>
      <c r="F667" s="1287">
        <v>0</v>
      </c>
      <c r="G667" s="1287">
        <v>7</v>
      </c>
      <c r="H667" s="1287">
        <v>6</v>
      </c>
      <c r="I667" s="1287" t="s">
        <v>1561</v>
      </c>
      <c r="J667" s="1287" t="s">
        <v>1560</v>
      </c>
      <c r="K667" s="1281" t="s">
        <v>7519</v>
      </c>
      <c r="L667" s="1287" t="str">
        <f t="shared" si="88"/>
        <v>Similar</v>
      </c>
      <c r="M667" s="1296">
        <v>12</v>
      </c>
      <c r="N667" s="1296">
        <v>1</v>
      </c>
      <c r="O667" s="1296">
        <v>20</v>
      </c>
      <c r="P667" s="1287"/>
      <c r="Q667" s="1287"/>
      <c r="R667" s="1287" t="s">
        <v>1464</v>
      </c>
      <c r="S667" s="1287" t="s">
        <v>1464</v>
      </c>
      <c r="T667" s="1287" t="s">
        <v>1464</v>
      </c>
      <c r="U667" s="1287"/>
      <c r="V667" s="1281" t="s">
        <v>2164</v>
      </c>
      <c r="W667" s="1281"/>
      <c r="X667" s="1282" t="str">
        <f t="shared" si="89"/>
        <v>Grande</v>
      </c>
      <c r="Z667" s="1418" t="str">
        <f t="shared" ref="Z667:Z698" si="108">IF(AND(K667&lt;&gt;"Natural/-",ISNUMBER(SEARCH(D667,Armas_Conocidas))),", "&amp;K667,"")</f>
        <v/>
      </c>
      <c r="AB667" s="961" t="s">
        <v>2178</v>
      </c>
      <c r="AC667" s="241" t="s">
        <v>7249</v>
      </c>
      <c r="AD667" s="1536"/>
      <c r="AE667" s="1423"/>
      <c r="AG667" s="961" t="str">
        <f t="shared" si="90"/>
        <v>Pistola</v>
      </c>
      <c r="AH667" s="87" t="str">
        <f t="shared" si="91"/>
        <v/>
      </c>
      <c r="AI667" s="87" t="str">
        <f t="shared" si="92"/>
        <v>Kerambit</v>
      </c>
      <c r="AJ667" s="1419">
        <f>IF(OR($L667=AJ$627,$L667="",$D667=$AL$626),MAX(AJ$629:AJ666)+1,0)</f>
        <v>6</v>
      </c>
      <c r="AK667" s="1420">
        <f>IF(OR($L667=AK$627,$L667="",$D667=$AL$626),MAX(AK$629:AK666)+1,0)</f>
        <v>0</v>
      </c>
      <c r="AL667" s="1421">
        <f>IF(OR($L667=AL$627,$L667="",$D667=$AL$626),MAX(AL$629:AL666)+1,0)</f>
        <v>0</v>
      </c>
      <c r="AM667" s="5701"/>
      <c r="AN667" s="961" t="str">
        <f t="shared" si="93"/>
        <v>Pistola</v>
      </c>
      <c r="AO667" s="87" t="str">
        <f t="shared" si="94"/>
        <v/>
      </c>
      <c r="AP667" s="87" t="str">
        <f t="shared" si="95"/>
        <v>Kerambit</v>
      </c>
      <c r="AQ667" s="1419">
        <f>IF(OR($L667=AQ$627,$L667="",$D667=$AS$626),MAX(AQ$629:AQ666)+1,0)</f>
        <v>6</v>
      </c>
      <c r="AR667" s="1420">
        <f>IF(OR($L667=AR$627,$L667="",$D667=$AS$626),MAX(AR$629:AR666)+1,0)</f>
        <v>0</v>
      </c>
      <c r="AS667" s="1421">
        <f>IF(OR($L667=AS$627,$L667="",$D667=$AS$626),MAX(AS$629:AS666)+1,0)</f>
        <v>0</v>
      </c>
      <c r="AT667" s="5701"/>
      <c r="AU667" s="961" t="str">
        <f t="shared" si="96"/>
        <v>Pistola</v>
      </c>
      <c r="AV667" s="87" t="str">
        <f t="shared" si="97"/>
        <v/>
      </c>
      <c r="AW667" s="87" t="str">
        <f t="shared" si="98"/>
        <v>Kerambit</v>
      </c>
      <c r="AX667" s="1419">
        <f>IF(OR($L667=AX$627,$L667="",$D667=$AZ$626),MAX(AX$629:AX666)+1,0)</f>
        <v>6</v>
      </c>
      <c r="AY667" s="1420">
        <f>IF(OR($L667=AY$627,$L667="",$D667=$AZ$626),MAX(AY$629:AY666)+1,0)</f>
        <v>0</v>
      </c>
      <c r="AZ667" s="1421">
        <f>IF(OR($L667=AZ$627,$L667="",$D667=$AZ$626),MAX(AZ$629:AZ666)+1,0)</f>
        <v>0</v>
      </c>
      <c r="BA667" s="5701"/>
      <c r="BB667" s="961" t="str">
        <f t="shared" si="99"/>
        <v>Pistola</v>
      </c>
      <c r="BC667" s="87" t="str">
        <f t="shared" si="100"/>
        <v/>
      </c>
      <c r="BD667" s="87" t="str">
        <f t="shared" si="101"/>
        <v>Kerambit</v>
      </c>
      <c r="BE667" s="1419">
        <f>IF(OR($L667=BE$627,$L667="",$D667=$BG$626),MAX(BE$629:BE666)+1,0)</f>
        <v>6</v>
      </c>
      <c r="BF667" s="1420">
        <f>IF(OR($L667=BF$627,$L667="",$D667=$BG$626),MAX(BF$629:BF666)+1,0)</f>
        <v>0</v>
      </c>
      <c r="BG667" s="1421">
        <f>IF(OR($L667=BG$627,$L667="",$D667=$BG$626),MAX(BG$629:BG666)+1,0)</f>
        <v>0</v>
      </c>
      <c r="BH667" s="5701"/>
      <c r="BI667" s="961" t="str">
        <f t="shared" si="102"/>
        <v>Pistola</v>
      </c>
      <c r="BJ667" s="87" t="str">
        <f t="shared" si="103"/>
        <v/>
      </c>
      <c r="BK667" s="87" t="str">
        <f t="shared" si="104"/>
        <v>Kerambit</v>
      </c>
      <c r="BL667" s="1419">
        <f>IF(OR($L667=BL$627,$L667="",$D667=$BN$626),MAX(BL$629:BL666)+1,0)</f>
        <v>6</v>
      </c>
      <c r="BM667" s="1420">
        <f>IF(OR($L667=BM$627,$L667="",$D667=$BN$626),MAX(BM$629:BM666)+1,0)</f>
        <v>0</v>
      </c>
      <c r="BN667" s="1421">
        <f>IF(OR($L667=BN$627,$L667="",$D667=$BN$626),MAX(BN$629:BN666)+1,0)</f>
        <v>0</v>
      </c>
      <c r="BO667" s="5701"/>
      <c r="BP667" s="961" t="str">
        <f t="shared" si="105"/>
        <v>Pistola</v>
      </c>
      <c r="BQ667" s="87" t="str">
        <f t="shared" si="106"/>
        <v/>
      </c>
      <c r="BR667" s="87" t="str">
        <f t="shared" si="107"/>
        <v>Kerambit</v>
      </c>
      <c r="BS667" s="1419">
        <f>IF(OR($L667=BS$627,$L667="",$D667=$BU$626),MAX(BS$629:BS666)+1,0)</f>
        <v>6</v>
      </c>
      <c r="BT667" s="1420">
        <f>IF(OR($L667=BT$627,$L667="",$D667=$BU$626),MAX(BT$629:BT666)+1,0)</f>
        <v>0</v>
      </c>
      <c r="BU667" s="1421">
        <f>IF(OR($L667=BU$627,$L667="",$D667=$BU$626),MAX(BU$629:BU666)+1,0)</f>
        <v>0</v>
      </c>
    </row>
    <row r="668" spans="1:73" ht="12.75" customHeight="1" x14ac:dyDescent="0.2">
      <c r="A668" s="242">
        <v>668</v>
      </c>
      <c r="B668" s="5664"/>
      <c r="C668" s="1288"/>
      <c r="D668" s="1289" t="s">
        <v>7235</v>
      </c>
      <c r="E668" s="1295">
        <v>35</v>
      </c>
      <c r="F668" s="1287">
        <v>5</v>
      </c>
      <c r="G668" s="1287">
        <v>6</v>
      </c>
      <c r="H668" s="1287">
        <v>4</v>
      </c>
      <c r="I668" s="1287" t="s">
        <v>1561</v>
      </c>
      <c r="J668" s="1287" t="s">
        <v>1506</v>
      </c>
      <c r="K668" s="1281" t="s">
        <v>7519</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Similar</v>
      </c>
      <c r="M668" s="1296">
        <v>10</v>
      </c>
      <c r="N668" s="1296">
        <v>2</v>
      </c>
      <c r="O668" s="1296">
        <v>20</v>
      </c>
      <c r="P668" s="1287"/>
      <c r="Q668" s="1287"/>
      <c r="R668" s="1287" t="s">
        <v>1464</v>
      </c>
      <c r="S668" s="1287" t="s">
        <v>1464</v>
      </c>
      <c r="T668" s="1287" t="s">
        <v>1464</v>
      </c>
      <c r="U668" s="1287"/>
      <c r="V668" s="1281" t="s">
        <v>7280</v>
      </c>
      <c r="W668" s="1281"/>
      <c r="X668" s="1282" t="str">
        <f t="shared" si="89"/>
        <v>Grande</v>
      </c>
      <c r="Z668" s="1418" t="str">
        <f t="shared" si="108"/>
        <v/>
      </c>
      <c r="AB668" s="961" t="s">
        <v>2180</v>
      </c>
      <c r="AC668" s="241" t="s">
        <v>7250</v>
      </c>
      <c r="AD668" s="1536"/>
      <c r="AE668" s="1423"/>
      <c r="AG668" s="961" t="str">
        <f t="shared" si="90"/>
        <v>&gt; ARMAS DE ASEDIO</v>
      </c>
      <c r="AH668" s="87" t="str">
        <f t="shared" si="91"/>
        <v/>
      </c>
      <c r="AI668" s="87" t="str">
        <f t="shared" si="92"/>
        <v>Koncerz</v>
      </c>
      <c r="AJ668" s="1419">
        <f>IF(OR($L668=AJ$627,$L668="",$D668=$AL$626),MAX(AJ$629:AJ667)+1,0)</f>
        <v>7</v>
      </c>
      <c r="AK668" s="1420">
        <f>IF(OR($L668=AK$627,$L668="",$D668=$AL$626),MAX(AK$629:AK667)+1,0)</f>
        <v>0</v>
      </c>
      <c r="AL668" s="1421">
        <f>IF(OR($L668=AL$627,$L668="",$D668=$AL$626),MAX(AL$629:AL667)+1,0)</f>
        <v>0</v>
      </c>
      <c r="AM668" s="5701"/>
      <c r="AN668" s="961" t="str">
        <f t="shared" si="93"/>
        <v>&gt; ARMAS DE ASEDIO</v>
      </c>
      <c r="AO668" s="87" t="str">
        <f t="shared" si="94"/>
        <v/>
      </c>
      <c r="AP668" s="87" t="str">
        <f t="shared" si="95"/>
        <v>Koncerz</v>
      </c>
      <c r="AQ668" s="1419">
        <f>IF(OR($L668=AQ$627,$L668="",$D668=$AS$626),MAX(AQ$629:AQ667)+1,0)</f>
        <v>7</v>
      </c>
      <c r="AR668" s="1420">
        <f>IF(OR($L668=AR$627,$L668="",$D668=$AS$626),MAX(AR$629:AR667)+1,0)</f>
        <v>0</v>
      </c>
      <c r="AS668" s="1421">
        <f>IF(OR($L668=AS$627,$L668="",$D668=$AS$626),MAX(AS$629:AS667)+1,0)</f>
        <v>0</v>
      </c>
      <c r="AT668" s="5701"/>
      <c r="AU668" s="961" t="str">
        <f t="shared" si="96"/>
        <v>&gt; ARMAS DE ASEDIO</v>
      </c>
      <c r="AV668" s="87" t="str">
        <f t="shared" si="97"/>
        <v/>
      </c>
      <c r="AW668" s="87" t="str">
        <f t="shared" si="98"/>
        <v>Koncerz</v>
      </c>
      <c r="AX668" s="1419">
        <f>IF(OR($L668=AX$627,$L668="",$D668=$AZ$626),MAX(AX$629:AX667)+1,0)</f>
        <v>7</v>
      </c>
      <c r="AY668" s="1420">
        <f>IF(OR($L668=AY$627,$L668="",$D668=$AZ$626),MAX(AY$629:AY667)+1,0)</f>
        <v>0</v>
      </c>
      <c r="AZ668" s="1421">
        <f>IF(OR($L668=AZ$627,$L668="",$D668=$AZ$626),MAX(AZ$629:AZ667)+1,0)</f>
        <v>0</v>
      </c>
      <c r="BA668" s="5701"/>
      <c r="BB668" s="961" t="str">
        <f t="shared" si="99"/>
        <v>&gt; ARMAS DE ASEDIO</v>
      </c>
      <c r="BC668" s="87" t="str">
        <f t="shared" si="100"/>
        <v/>
      </c>
      <c r="BD668" s="87" t="str">
        <f t="shared" si="101"/>
        <v>Koncerz</v>
      </c>
      <c r="BE668" s="1419">
        <f>IF(OR($L668=BE$627,$L668="",$D668=$BG$626),MAX(BE$629:BE667)+1,0)</f>
        <v>7</v>
      </c>
      <c r="BF668" s="1420">
        <f>IF(OR($L668=BF$627,$L668="",$D668=$BG$626),MAX(BF$629:BF667)+1,0)</f>
        <v>0</v>
      </c>
      <c r="BG668" s="1421">
        <f>IF(OR($L668=BG$627,$L668="",$D668=$BG$626),MAX(BG$629:BG667)+1,0)</f>
        <v>0</v>
      </c>
      <c r="BH668" s="5701"/>
      <c r="BI668" s="961" t="str">
        <f t="shared" si="102"/>
        <v>&gt; ARMAS DE ASEDIO</v>
      </c>
      <c r="BJ668" s="87" t="str">
        <f t="shared" si="103"/>
        <v/>
      </c>
      <c r="BK668" s="87" t="str">
        <f t="shared" si="104"/>
        <v>Koncerz</v>
      </c>
      <c r="BL668" s="1419">
        <f>IF(OR($L668=BL$627,$L668="",$D668=$BN$626),MAX(BL$629:BL667)+1,0)</f>
        <v>7</v>
      </c>
      <c r="BM668" s="1420">
        <f>IF(OR($L668=BM$627,$L668="",$D668=$BN$626),MAX(BM$629:BM667)+1,0)</f>
        <v>0</v>
      </c>
      <c r="BN668" s="1421">
        <f>IF(OR($L668=BN$627,$L668="",$D668=$BN$626),MAX(BN$629:BN667)+1,0)</f>
        <v>0</v>
      </c>
      <c r="BO668" s="5701"/>
      <c r="BP668" s="961" t="str">
        <f t="shared" si="105"/>
        <v>&gt; ARMAS DE ASEDIO</v>
      </c>
      <c r="BQ668" s="87" t="str">
        <f t="shared" si="106"/>
        <v/>
      </c>
      <c r="BR668" s="87" t="str">
        <f t="shared" si="107"/>
        <v>Koncerz</v>
      </c>
      <c r="BS668" s="1419">
        <f>IF(OR($L668=BS$627,$L668="",$D668=$BU$626),MAX(BS$629:BS667)+1,0)</f>
        <v>7</v>
      </c>
      <c r="BT668" s="1420">
        <f>IF(OR($L668=BT$627,$L668="",$D668=$BU$626),MAX(BT$629:BT667)+1,0)</f>
        <v>0</v>
      </c>
      <c r="BU668" s="1421">
        <f>IF(OR($L668=BU$627,$L668="",$D668=$BU$626),MAX(BU$629:BU667)+1,0)</f>
        <v>0</v>
      </c>
    </row>
    <row r="669" spans="1:73" ht="12.75" customHeight="1" x14ac:dyDescent="0.2">
      <c r="A669" s="242">
        <v>669</v>
      </c>
      <c r="B669" s="5664"/>
      <c r="C669" s="1288"/>
      <c r="D669" s="1289" t="s">
        <v>7237</v>
      </c>
      <c r="E669" s="1295">
        <v>75</v>
      </c>
      <c r="F669" s="1287">
        <v>-30</v>
      </c>
      <c r="G669" s="1287">
        <v>9</v>
      </c>
      <c r="H669" s="1287">
        <v>6</v>
      </c>
      <c r="I669" s="1287" t="s">
        <v>1560</v>
      </c>
      <c r="J669" s="1287" t="s">
        <v>1464</v>
      </c>
      <c r="K669" s="1281" t="s">
        <v>7526</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2181</v>
      </c>
      <c r="AC669" s="241" t="s">
        <v>7252</v>
      </c>
      <c r="AD669" s="1536"/>
      <c r="AE669" s="1423"/>
      <c r="AG669" s="961" t="str">
        <f t="shared" si="90"/>
        <v>Balista ligera</v>
      </c>
      <c r="AH669" s="87" t="str">
        <f t="shared" si="91"/>
        <v/>
      </c>
      <c r="AI669" s="87" t="str">
        <f t="shared" si="92"/>
        <v>Kukri</v>
      </c>
      <c r="AJ669" s="1419">
        <f>IF(OR($L669=AJ$627,$L669="",$D669=$AL$626),MAX(AJ$629:AJ668)+1,0)</f>
        <v>0</v>
      </c>
      <c r="AK669" s="1420">
        <f>IF(OR($L669=AK$627,$L669="",$D669=$AL$626),MAX(AK$629:AK668)+1,0)</f>
        <v>0</v>
      </c>
      <c r="AL669" s="1421">
        <f>IF(OR($L669=AL$627,$L669="",$D669=$AL$626),MAX(AL$629:AL668)+1,0)</f>
        <v>31</v>
      </c>
      <c r="AM669" s="5701"/>
      <c r="AN669" s="961" t="str">
        <f t="shared" si="93"/>
        <v>Balista ligera</v>
      </c>
      <c r="AO669" s="87" t="str">
        <f t="shared" si="94"/>
        <v/>
      </c>
      <c r="AP669" s="87" t="str">
        <f t="shared" si="95"/>
        <v>Kukri</v>
      </c>
      <c r="AQ669" s="1419">
        <f>IF(OR($L669=AQ$627,$L669="",$D669=$AS$626),MAX(AQ$629:AQ668)+1,0)</f>
        <v>0</v>
      </c>
      <c r="AR669" s="1420">
        <f>IF(OR($L669=AR$627,$L669="",$D669=$AS$626),MAX(AR$629:AR668)+1,0)</f>
        <v>0</v>
      </c>
      <c r="AS669" s="1421">
        <f>IF(OR($L669=AS$627,$L669="",$D669=$AS$626),MAX(AS$629:AS668)+1,0)</f>
        <v>31</v>
      </c>
      <c r="AT669" s="5701"/>
      <c r="AU669" s="961" t="str">
        <f t="shared" si="96"/>
        <v>Balista ligera</v>
      </c>
      <c r="AV669" s="87" t="str">
        <f t="shared" si="97"/>
        <v/>
      </c>
      <c r="AW669" s="87" t="str">
        <f t="shared" si="98"/>
        <v>Kukri</v>
      </c>
      <c r="AX669" s="1419">
        <f>IF(OR($L669=AX$627,$L669="",$D669=$AZ$626),MAX(AX$629:AX668)+1,0)</f>
        <v>0</v>
      </c>
      <c r="AY669" s="1420">
        <f>IF(OR($L669=AY$627,$L669="",$D669=$AZ$626),MAX(AY$629:AY668)+1,0)</f>
        <v>0</v>
      </c>
      <c r="AZ669" s="1421">
        <f>IF(OR($L669=AZ$627,$L669="",$D669=$AZ$626),MAX(AZ$629:AZ668)+1,0)</f>
        <v>31</v>
      </c>
      <c r="BA669" s="5701"/>
      <c r="BB669" s="961" t="str">
        <f t="shared" si="99"/>
        <v>Balista ligera</v>
      </c>
      <c r="BC669" s="87" t="str">
        <f t="shared" si="100"/>
        <v/>
      </c>
      <c r="BD669" s="87" t="str">
        <f t="shared" si="101"/>
        <v>Kukri</v>
      </c>
      <c r="BE669" s="1419">
        <f>IF(OR($L669=BE$627,$L669="",$D669=$BG$626),MAX(BE$629:BE668)+1,0)</f>
        <v>0</v>
      </c>
      <c r="BF669" s="1420">
        <f>IF(OR($L669=BF$627,$L669="",$D669=$BG$626),MAX(BF$629:BF668)+1,0)</f>
        <v>0</v>
      </c>
      <c r="BG669" s="1421">
        <f>IF(OR($L669=BG$627,$L669="",$D669=$BG$626),MAX(BG$629:BG668)+1,0)</f>
        <v>31</v>
      </c>
      <c r="BH669" s="5701"/>
      <c r="BI669" s="961" t="str">
        <f t="shared" si="102"/>
        <v>Balista ligera</v>
      </c>
      <c r="BJ669" s="87" t="str">
        <f t="shared" si="103"/>
        <v/>
      </c>
      <c r="BK669" s="87" t="str">
        <f t="shared" si="104"/>
        <v>Kukri</v>
      </c>
      <c r="BL669" s="1419">
        <f>IF(OR($L669=BL$627,$L669="",$D669=$BN$626),MAX(BL$629:BL668)+1,0)</f>
        <v>0</v>
      </c>
      <c r="BM669" s="1420">
        <f>IF(OR($L669=BM$627,$L669="",$D669=$BN$626),MAX(BM$629:BM668)+1,0)</f>
        <v>0</v>
      </c>
      <c r="BN669" s="1421">
        <f>IF(OR($L669=BN$627,$L669="",$D669=$BN$626),MAX(BN$629:BN668)+1,0)</f>
        <v>31</v>
      </c>
      <c r="BO669" s="5701"/>
      <c r="BP669" s="961" t="str">
        <f t="shared" si="105"/>
        <v>Balista ligera</v>
      </c>
      <c r="BQ669" s="87" t="str">
        <f t="shared" si="106"/>
        <v/>
      </c>
      <c r="BR669" s="87" t="str">
        <f t="shared" si="107"/>
        <v>Kukri</v>
      </c>
      <c r="BS669" s="1419">
        <f>IF(OR($L669=BS$627,$L669="",$D669=$BU$626),MAX(BS$629:BS668)+1,0)</f>
        <v>0</v>
      </c>
      <c r="BT669" s="1420">
        <f>IF(OR($L669=BT$627,$L669="",$D669=$BU$626),MAX(BT$629:BT668)+1,0)</f>
        <v>0</v>
      </c>
      <c r="BU669" s="1421">
        <f>IF(OR($L669=BU$627,$L669="",$D669=$BU$626),MAX(BU$629:BU668)+1,0)</f>
        <v>31</v>
      </c>
    </row>
    <row r="670" spans="1:73" ht="12.75" customHeight="1" x14ac:dyDescent="0.2">
      <c r="A670" s="242">
        <v>670</v>
      </c>
      <c r="B670" s="5664"/>
      <c r="C670" s="1288"/>
      <c r="D670" s="1289" t="s">
        <v>2176</v>
      </c>
      <c r="E670" s="1295">
        <v>70</v>
      </c>
      <c r="F670" s="1287">
        <v>-35</v>
      </c>
      <c r="G670" s="1287">
        <v>10</v>
      </c>
      <c r="H670" s="1287">
        <v>7</v>
      </c>
      <c r="I670" s="1287" t="s">
        <v>1506</v>
      </c>
      <c r="J670" s="1287" t="s">
        <v>1464</v>
      </c>
      <c r="K670" s="1281" t="s">
        <v>7525</v>
      </c>
      <c r="L670" s="1287" t="str">
        <f t="shared" si="109"/>
        <v>Distinta</v>
      </c>
      <c r="M670" s="1296">
        <v>16</v>
      </c>
      <c r="N670" s="1296">
        <v>6</v>
      </c>
      <c r="O670" s="1296">
        <v>20</v>
      </c>
      <c r="P670" s="1287"/>
      <c r="Q670" s="1287"/>
      <c r="R670" s="1287" t="s">
        <v>1464</v>
      </c>
      <c r="S670" s="1287" t="s">
        <v>1464</v>
      </c>
      <c r="T670" s="1287" t="s">
        <v>1464</v>
      </c>
      <c r="U670" s="1287"/>
      <c r="V670" s="1281" t="s">
        <v>2164</v>
      </c>
      <c r="W670" s="1281"/>
      <c r="X670" s="1282" t="str">
        <f t="shared" si="89"/>
        <v>Mediana</v>
      </c>
      <c r="Z670" s="1418" t="str">
        <f t="shared" si="108"/>
        <v/>
      </c>
      <c r="AB670" s="961" t="s">
        <v>7253</v>
      </c>
      <c r="AC670" s="241" t="s">
        <v>7254</v>
      </c>
      <c r="AD670" s="1536"/>
      <c r="AE670" s="1423"/>
      <c r="AG670" s="961" t="str">
        <f t="shared" si="90"/>
        <v>Balista pesada</v>
      </c>
      <c r="AH670" s="87" t="str">
        <f t="shared" si="91"/>
        <v/>
      </c>
      <c r="AI670" s="87" t="str">
        <f t="shared" si="92"/>
        <v>Látigo</v>
      </c>
      <c r="AJ670" s="1419">
        <f>IF(OR($L670=AJ$627,$L670="",$D670=$AL$626),MAX(AJ$629:AJ669)+1,0)</f>
        <v>0</v>
      </c>
      <c r="AK670" s="1420">
        <f>IF(OR($L670=AK$627,$L670="",$D670=$AL$626),MAX(AK$629:AK669)+1,0)</f>
        <v>0</v>
      </c>
      <c r="AL670" s="1421">
        <f>IF(OR($L670=AL$627,$L670="",$D670=$AL$626),MAX(AL$629:AL669)+1,0)</f>
        <v>32</v>
      </c>
      <c r="AM670" s="5701"/>
      <c r="AN670" s="961" t="str">
        <f t="shared" si="93"/>
        <v>Balista pesada</v>
      </c>
      <c r="AO670" s="87" t="str">
        <f t="shared" si="94"/>
        <v/>
      </c>
      <c r="AP670" s="87" t="str">
        <f t="shared" si="95"/>
        <v>Látigo</v>
      </c>
      <c r="AQ670" s="1419">
        <f>IF(OR($L670=AQ$627,$L670="",$D670=$AS$626),MAX(AQ$629:AQ669)+1,0)</f>
        <v>0</v>
      </c>
      <c r="AR670" s="1420">
        <f>IF(OR($L670=AR$627,$L670="",$D670=$AS$626),MAX(AR$629:AR669)+1,0)</f>
        <v>0</v>
      </c>
      <c r="AS670" s="1421">
        <f>IF(OR($L670=AS$627,$L670="",$D670=$AS$626),MAX(AS$629:AS669)+1,0)</f>
        <v>32</v>
      </c>
      <c r="AT670" s="5701"/>
      <c r="AU670" s="961" t="str">
        <f t="shared" si="96"/>
        <v>Balista pesada</v>
      </c>
      <c r="AV670" s="87" t="str">
        <f t="shared" si="97"/>
        <v/>
      </c>
      <c r="AW670" s="87" t="str">
        <f t="shared" si="98"/>
        <v>Látigo</v>
      </c>
      <c r="AX670" s="1419">
        <f>IF(OR($L670=AX$627,$L670="",$D670=$AZ$626),MAX(AX$629:AX669)+1,0)</f>
        <v>0</v>
      </c>
      <c r="AY670" s="1420">
        <f>IF(OR($L670=AY$627,$L670="",$D670=$AZ$626),MAX(AY$629:AY669)+1,0)</f>
        <v>0</v>
      </c>
      <c r="AZ670" s="1421">
        <f>IF(OR($L670=AZ$627,$L670="",$D670=$AZ$626),MAX(AZ$629:AZ669)+1,0)</f>
        <v>32</v>
      </c>
      <c r="BA670" s="5701"/>
      <c r="BB670" s="961" t="str">
        <f t="shared" si="99"/>
        <v>Balista pesada</v>
      </c>
      <c r="BC670" s="87" t="str">
        <f t="shared" si="100"/>
        <v/>
      </c>
      <c r="BD670" s="87" t="str">
        <f t="shared" si="101"/>
        <v>Látigo</v>
      </c>
      <c r="BE670" s="1419">
        <f>IF(OR($L670=BE$627,$L670="",$D670=$BG$626),MAX(BE$629:BE669)+1,0)</f>
        <v>0</v>
      </c>
      <c r="BF670" s="1420">
        <f>IF(OR($L670=BF$627,$L670="",$D670=$BG$626),MAX(BF$629:BF669)+1,0)</f>
        <v>0</v>
      </c>
      <c r="BG670" s="1421">
        <f>IF(OR($L670=BG$627,$L670="",$D670=$BG$626),MAX(BG$629:BG669)+1,0)</f>
        <v>32</v>
      </c>
      <c r="BH670" s="5701"/>
      <c r="BI670" s="961" t="str">
        <f t="shared" si="102"/>
        <v>Balista pesada</v>
      </c>
      <c r="BJ670" s="87" t="str">
        <f t="shared" si="103"/>
        <v/>
      </c>
      <c r="BK670" s="87" t="str">
        <f t="shared" si="104"/>
        <v>Látigo</v>
      </c>
      <c r="BL670" s="1419">
        <f>IF(OR($L670=BL$627,$L670="",$D670=$BN$626),MAX(BL$629:BL669)+1,0)</f>
        <v>0</v>
      </c>
      <c r="BM670" s="1420">
        <f>IF(OR($L670=BM$627,$L670="",$D670=$BN$626),MAX(BM$629:BM669)+1,0)</f>
        <v>0</v>
      </c>
      <c r="BN670" s="1421">
        <f>IF(OR($L670=BN$627,$L670="",$D670=$BN$626),MAX(BN$629:BN669)+1,0)</f>
        <v>32</v>
      </c>
      <c r="BO670" s="5701"/>
      <c r="BP670" s="961" t="str">
        <f t="shared" si="105"/>
        <v>Balista pesada</v>
      </c>
      <c r="BQ670" s="87" t="str">
        <f t="shared" si="106"/>
        <v/>
      </c>
      <c r="BR670" s="87" t="str">
        <f t="shared" si="107"/>
        <v>Látigo</v>
      </c>
      <c r="BS670" s="1419">
        <f>IF(OR($L670=BS$627,$L670="",$D670=$BU$626),MAX(BS$629:BS669)+1,0)</f>
        <v>0</v>
      </c>
      <c r="BT670" s="1420">
        <f>IF(OR($L670=BT$627,$L670="",$D670=$BU$626),MAX(BT$629:BT669)+1,0)</f>
        <v>0</v>
      </c>
      <c r="BU670" s="1421">
        <f>IF(OR($L670=BU$627,$L670="",$D670=$BU$626),MAX(BU$629:BU669)+1,0)</f>
        <v>32</v>
      </c>
    </row>
    <row r="671" spans="1:73" ht="12.75" customHeight="1" x14ac:dyDescent="0.2">
      <c r="A671" s="242">
        <v>671</v>
      </c>
      <c r="B671" s="5664"/>
      <c r="C671" s="1288"/>
      <c r="D671" s="1289" t="s">
        <v>2177</v>
      </c>
      <c r="E671" s="1295">
        <v>35</v>
      </c>
      <c r="F671" s="1287">
        <v>0</v>
      </c>
      <c r="G671" s="1287">
        <v>9</v>
      </c>
      <c r="H671" s="1287">
        <v>5</v>
      </c>
      <c r="I671" s="1287" t="s">
        <v>1560</v>
      </c>
      <c r="J671" s="1287" t="s">
        <v>1506</v>
      </c>
      <c r="K671" s="1281" t="s">
        <v>7518</v>
      </c>
      <c r="L671" s="1287" t="str">
        <f t="shared" si="109"/>
        <v>Mixta</v>
      </c>
      <c r="M671" s="1296">
        <v>12</v>
      </c>
      <c r="N671" s="1296">
        <v>2</v>
      </c>
      <c r="O671" s="1296">
        <v>25</v>
      </c>
      <c r="P671" s="1287"/>
      <c r="Q671" s="1287"/>
      <c r="R671" s="1287" t="s">
        <v>1464</v>
      </c>
      <c r="S671" s="1287" t="s">
        <v>1464</v>
      </c>
      <c r="T671" s="1287" t="s">
        <v>1464</v>
      </c>
      <c r="U671" s="1287"/>
      <c r="V671" s="1281" t="s">
        <v>2164</v>
      </c>
      <c r="W671" s="1281"/>
      <c r="X671" s="1282" t="str">
        <f t="shared" si="89"/>
        <v>Grande</v>
      </c>
      <c r="Z671" s="1418" t="str">
        <f t="shared" si="108"/>
        <v/>
      </c>
      <c r="AB671" s="961" t="s">
        <v>2182</v>
      </c>
      <c r="AC671" s="241" t="s">
        <v>7255</v>
      </c>
      <c r="AD671" s="1536"/>
      <c r="AE671" s="1423"/>
      <c r="AG671" s="961" t="str">
        <f t="shared" si="90"/>
        <v>Cañón</v>
      </c>
      <c r="AH671" s="87" t="str">
        <f t="shared" si="91"/>
        <v/>
      </c>
      <c r="AI671" s="87" t="str">
        <f t="shared" si="92"/>
        <v>Lazo</v>
      </c>
      <c r="AJ671" s="1419">
        <f>IF(OR($L671=AJ$627,$L671="",$D671=$AL$626),MAX(AJ$629:AJ670)+1,0)</f>
        <v>0</v>
      </c>
      <c r="AK671" s="1420">
        <f>IF(OR($L671=AK$627,$L671="",$D671=$AL$626),MAX(AK$629:AK670)+1,0)</f>
        <v>4</v>
      </c>
      <c r="AL671" s="1421">
        <f>IF(OR($L671=AL$627,$L671="",$D671=$AL$626),MAX(AL$629:AL670)+1,0)</f>
        <v>0</v>
      </c>
      <c r="AM671" s="5701"/>
      <c r="AN671" s="961" t="str">
        <f t="shared" si="93"/>
        <v>Cañón</v>
      </c>
      <c r="AO671" s="87" t="str">
        <f t="shared" si="94"/>
        <v/>
      </c>
      <c r="AP671" s="87" t="str">
        <f t="shared" si="95"/>
        <v>Lazo</v>
      </c>
      <c r="AQ671" s="1419">
        <f>IF(OR($L671=AQ$627,$L671="",$D671=$AS$626),MAX(AQ$629:AQ670)+1,0)</f>
        <v>0</v>
      </c>
      <c r="AR671" s="1420">
        <f>IF(OR($L671=AR$627,$L671="",$D671=$AS$626),MAX(AR$629:AR670)+1,0)</f>
        <v>4</v>
      </c>
      <c r="AS671" s="1421">
        <f>IF(OR($L671=AS$627,$L671="",$D671=$AS$626),MAX(AS$629:AS670)+1,0)</f>
        <v>0</v>
      </c>
      <c r="AT671" s="5701"/>
      <c r="AU671" s="961" t="str">
        <f t="shared" si="96"/>
        <v>Cañón</v>
      </c>
      <c r="AV671" s="87" t="str">
        <f t="shared" si="97"/>
        <v/>
      </c>
      <c r="AW671" s="87" t="str">
        <f t="shared" si="98"/>
        <v>Lazo</v>
      </c>
      <c r="AX671" s="1419">
        <f>IF(OR($L671=AX$627,$L671="",$D671=$AZ$626),MAX(AX$629:AX670)+1,0)</f>
        <v>0</v>
      </c>
      <c r="AY671" s="1420">
        <f>IF(OR($L671=AY$627,$L671="",$D671=$AZ$626),MAX(AY$629:AY670)+1,0)</f>
        <v>4</v>
      </c>
      <c r="AZ671" s="1421">
        <f>IF(OR($L671=AZ$627,$L671="",$D671=$AZ$626),MAX(AZ$629:AZ670)+1,0)</f>
        <v>0</v>
      </c>
      <c r="BA671" s="5701"/>
      <c r="BB671" s="961" t="str">
        <f t="shared" si="99"/>
        <v>Cañón</v>
      </c>
      <c r="BC671" s="87" t="str">
        <f t="shared" si="100"/>
        <v/>
      </c>
      <c r="BD671" s="87" t="str">
        <f t="shared" si="101"/>
        <v>Lazo</v>
      </c>
      <c r="BE671" s="1419">
        <f>IF(OR($L671=BE$627,$L671="",$D671=$BG$626),MAX(BE$629:BE670)+1,0)</f>
        <v>0</v>
      </c>
      <c r="BF671" s="1420">
        <f>IF(OR($L671=BF$627,$L671="",$D671=$BG$626),MAX(BF$629:BF670)+1,0)</f>
        <v>4</v>
      </c>
      <c r="BG671" s="1421">
        <f>IF(OR($L671=BG$627,$L671="",$D671=$BG$626),MAX(BG$629:BG670)+1,0)</f>
        <v>0</v>
      </c>
      <c r="BH671" s="5701"/>
      <c r="BI671" s="961" t="str">
        <f t="shared" si="102"/>
        <v>Cañón</v>
      </c>
      <c r="BJ671" s="87" t="str">
        <f t="shared" si="103"/>
        <v/>
      </c>
      <c r="BK671" s="87" t="str">
        <f t="shared" si="104"/>
        <v>Lazo</v>
      </c>
      <c r="BL671" s="1419">
        <f>IF(OR($L671=BL$627,$L671="",$D671=$BN$626),MAX(BL$629:BL670)+1,0)</f>
        <v>0</v>
      </c>
      <c r="BM671" s="1420">
        <f>IF(OR($L671=BM$627,$L671="",$D671=$BN$626),MAX(BM$629:BM670)+1,0)</f>
        <v>4</v>
      </c>
      <c r="BN671" s="1421">
        <f>IF(OR($L671=BN$627,$L671="",$D671=$BN$626),MAX(BN$629:BN670)+1,0)</f>
        <v>0</v>
      </c>
      <c r="BO671" s="5701"/>
      <c r="BP671" s="961" t="str">
        <f t="shared" si="105"/>
        <v>Cañón</v>
      </c>
      <c r="BQ671" s="87" t="str">
        <f t="shared" si="106"/>
        <v/>
      </c>
      <c r="BR671" s="87" t="str">
        <f t="shared" si="107"/>
        <v>Lazo</v>
      </c>
      <c r="BS671" s="1419">
        <f>IF(OR($L671=BS$627,$L671="",$D671=$BU$626),MAX(BS$629:BS670)+1,0)</f>
        <v>0</v>
      </c>
      <c r="BT671" s="1420">
        <f>IF(OR($L671=BT$627,$L671="",$D671=$BU$626),MAX(BT$629:BT670)+1,0)</f>
        <v>4</v>
      </c>
      <c r="BU671" s="1421">
        <f>IF(OR($L671=BU$627,$L671="",$D671=$BU$626),MAX(BU$629:BU670)+1,0)</f>
        <v>0</v>
      </c>
    </row>
    <row r="672" spans="1:73" ht="12.75" customHeight="1" x14ac:dyDescent="0.2">
      <c r="A672" s="242">
        <v>672</v>
      </c>
      <c r="B672" s="5664"/>
      <c r="C672" s="1288"/>
      <c r="D672" s="1289" t="s">
        <v>7239</v>
      </c>
      <c r="E672" s="1295">
        <v>65</v>
      </c>
      <c r="F672" s="1287">
        <v>-20</v>
      </c>
      <c r="G672" s="1287">
        <v>11</v>
      </c>
      <c r="H672" s="1287">
        <v>7</v>
      </c>
      <c r="I672" s="1287" t="s">
        <v>1560</v>
      </c>
      <c r="J672" s="1287" t="s">
        <v>1561</v>
      </c>
      <c r="K672" s="1281" t="s">
        <v>7519</v>
      </c>
      <c r="L672" s="1287" t="str">
        <f t="shared" si="109"/>
        <v>Similar</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7256</v>
      </c>
      <c r="AC672" s="241" t="s">
        <v>7257</v>
      </c>
      <c r="AD672" s="1536"/>
      <c r="AE672" s="1423"/>
      <c r="AG672" s="961" t="str">
        <f t="shared" si="90"/>
        <v/>
      </c>
      <c r="AH672" s="87" t="str">
        <f t="shared" si="91"/>
        <v/>
      </c>
      <c r="AI672" s="87" t="str">
        <f t="shared" si="92"/>
        <v>Liu Xing Chui</v>
      </c>
      <c r="AJ672" s="1419">
        <f>IF(OR($L672=AJ$627,$L672="",$D672=$AL$626),MAX(AJ$629:AJ671)+1,0)</f>
        <v>8</v>
      </c>
      <c r="AK672" s="1420">
        <f>IF(OR($L672=AK$627,$L672="",$D672=$AL$626),MAX(AK$629:AK671)+1,0)</f>
        <v>0</v>
      </c>
      <c r="AL672" s="1421">
        <f>IF(OR($L672=AL$627,$L672="",$D672=$AL$626),MAX(AL$629:AL671)+1,0)</f>
        <v>0</v>
      </c>
      <c r="AM672" s="5701"/>
      <c r="AN672" s="961" t="str">
        <f t="shared" si="93"/>
        <v/>
      </c>
      <c r="AO672" s="87" t="str">
        <f t="shared" si="94"/>
        <v/>
      </c>
      <c r="AP672" s="87" t="str">
        <f t="shared" si="95"/>
        <v>Liu Xing Chui</v>
      </c>
      <c r="AQ672" s="1419">
        <f>IF(OR($L672=AQ$627,$L672="",$D672=$AS$626),MAX(AQ$629:AQ671)+1,0)</f>
        <v>8</v>
      </c>
      <c r="AR672" s="1420">
        <f>IF(OR($L672=AR$627,$L672="",$D672=$AS$626),MAX(AR$629:AR671)+1,0)</f>
        <v>0</v>
      </c>
      <c r="AS672" s="1421">
        <f>IF(OR($L672=AS$627,$L672="",$D672=$AS$626),MAX(AS$629:AS671)+1,0)</f>
        <v>0</v>
      </c>
      <c r="AT672" s="5701"/>
      <c r="AU672" s="961" t="str">
        <f t="shared" si="96"/>
        <v/>
      </c>
      <c r="AV672" s="87" t="str">
        <f t="shared" si="97"/>
        <v/>
      </c>
      <c r="AW672" s="87" t="str">
        <f t="shared" si="98"/>
        <v>Liu Xing Chui</v>
      </c>
      <c r="AX672" s="1419">
        <f>IF(OR($L672=AX$627,$L672="",$D672=$AZ$626),MAX(AX$629:AX671)+1,0)</f>
        <v>8</v>
      </c>
      <c r="AY672" s="1420">
        <f>IF(OR($L672=AY$627,$L672="",$D672=$AZ$626),MAX(AY$629:AY671)+1,0)</f>
        <v>0</v>
      </c>
      <c r="AZ672" s="1421">
        <f>IF(OR($L672=AZ$627,$L672="",$D672=$AZ$626),MAX(AZ$629:AZ671)+1,0)</f>
        <v>0</v>
      </c>
      <c r="BA672" s="5701"/>
      <c r="BB672" s="961" t="str">
        <f t="shared" si="99"/>
        <v/>
      </c>
      <c r="BC672" s="87" t="str">
        <f t="shared" si="100"/>
        <v/>
      </c>
      <c r="BD672" s="87" t="str">
        <f t="shared" si="101"/>
        <v>Liu Xing Chui</v>
      </c>
      <c r="BE672" s="1419">
        <f>IF(OR($L672=BE$627,$L672="",$D672=$BG$626),MAX(BE$629:BE671)+1,0)</f>
        <v>8</v>
      </c>
      <c r="BF672" s="1420">
        <f>IF(OR($L672=BF$627,$L672="",$D672=$BG$626),MAX(BF$629:BF671)+1,0)</f>
        <v>0</v>
      </c>
      <c r="BG672" s="1421">
        <f>IF(OR($L672=BG$627,$L672="",$D672=$BG$626),MAX(BG$629:BG671)+1,0)</f>
        <v>0</v>
      </c>
      <c r="BH672" s="5701"/>
      <c r="BI672" s="961" t="str">
        <f t="shared" si="102"/>
        <v/>
      </c>
      <c r="BJ672" s="87" t="str">
        <f t="shared" si="103"/>
        <v/>
      </c>
      <c r="BK672" s="87" t="str">
        <f t="shared" si="104"/>
        <v>Liu Xing Chui</v>
      </c>
      <c r="BL672" s="1419">
        <f>IF(OR($L672=BL$627,$L672="",$D672=$BN$626),MAX(BL$629:BL671)+1,0)</f>
        <v>8</v>
      </c>
      <c r="BM672" s="1420">
        <f>IF(OR($L672=BM$627,$L672="",$D672=$BN$626),MAX(BM$629:BM671)+1,0)</f>
        <v>0</v>
      </c>
      <c r="BN672" s="1421">
        <f>IF(OR($L672=BN$627,$L672="",$D672=$BN$626),MAX(BN$629:BN671)+1,0)</f>
        <v>0</v>
      </c>
      <c r="BO672" s="5701"/>
      <c r="BP672" s="961" t="str">
        <f t="shared" si="105"/>
        <v/>
      </c>
      <c r="BQ672" s="87" t="str">
        <f t="shared" si="106"/>
        <v/>
      </c>
      <c r="BR672" s="87" t="str">
        <f t="shared" si="107"/>
        <v>Liu Xing Chui</v>
      </c>
      <c r="BS672" s="1419">
        <f>IF(OR($L672=BS$627,$L672="",$D672=$BU$626),MAX(BS$629:BS671)+1,0)</f>
        <v>8</v>
      </c>
      <c r="BT672" s="1420">
        <f>IF(OR($L672=BT$627,$L672="",$D672=$BU$626),MAX(BT$629:BT671)+1,0)</f>
        <v>0</v>
      </c>
      <c r="BU672" s="1421">
        <f>IF(OR($L672=BU$627,$L672="",$D672=$BU$626),MAX(BU$629:BU671)+1,0)</f>
        <v>0</v>
      </c>
    </row>
    <row r="673" spans="1:73" ht="12.75" customHeight="1" x14ac:dyDescent="0.2">
      <c r="A673" s="242">
        <v>673</v>
      </c>
      <c r="B673" s="5664"/>
      <c r="C673" s="1288"/>
      <c r="D673" s="1289" t="s">
        <v>2178</v>
      </c>
      <c r="E673" s="1295">
        <v>100</v>
      </c>
      <c r="F673" s="1287">
        <v>-70</v>
      </c>
      <c r="G673" s="1287">
        <v>11</v>
      </c>
      <c r="H673" s="1287">
        <v>9</v>
      </c>
      <c r="I673" s="1287" t="s">
        <v>1560</v>
      </c>
      <c r="J673" s="1287" t="s">
        <v>1506</v>
      </c>
      <c r="K673" s="1281" t="s">
        <v>7530</v>
      </c>
      <c r="L673" s="1287" t="str">
        <f t="shared" si="109"/>
        <v>Distinta</v>
      </c>
      <c r="M673" s="1296">
        <v>17</v>
      </c>
      <c r="N673" s="1296">
        <v>7</v>
      </c>
      <c r="O673" s="1296">
        <v>30</v>
      </c>
      <c r="P673" s="1287"/>
      <c r="Q673" s="1287"/>
      <c r="R673" s="1287" t="s">
        <v>1464</v>
      </c>
      <c r="S673" s="1287" t="s">
        <v>1464</v>
      </c>
      <c r="T673" s="1287" t="s">
        <v>1464</v>
      </c>
      <c r="U673" s="1287"/>
      <c r="V673" s="1281" t="s">
        <v>2164</v>
      </c>
      <c r="W673" s="1281"/>
      <c r="X673" s="1282" t="str">
        <f t="shared" si="89"/>
        <v>Grande</v>
      </c>
      <c r="Z673" s="1418" t="str">
        <f t="shared" si="108"/>
        <v/>
      </c>
      <c r="AB673" s="961" t="s">
        <v>7258</v>
      </c>
      <c r="AC673" s="241" t="s">
        <v>2262</v>
      </c>
      <c r="AD673" s="1536"/>
      <c r="AE673" s="1423"/>
      <c r="AG673" s="961" t="str">
        <f t="shared" si="90"/>
        <v/>
      </c>
      <c r="AH673" s="87" t="str">
        <f t="shared" si="91"/>
        <v/>
      </c>
      <c r="AI673" s="87" t="str">
        <f t="shared" si="92"/>
        <v>Lujiaodao</v>
      </c>
      <c r="AJ673" s="1419">
        <f>IF(OR($L673=AJ$627,$L673="",$D673=$AL$626),MAX(AJ$629:AJ672)+1,0)</f>
        <v>0</v>
      </c>
      <c r="AK673" s="1420">
        <f>IF(OR($L673=AK$627,$L673="",$D673=$AL$626),MAX(AK$629:AK672)+1,0)</f>
        <v>0</v>
      </c>
      <c r="AL673" s="1421">
        <f>IF(OR($L673=AL$627,$L673="",$D673=$AL$626),MAX(AL$629:AL672)+1,0)</f>
        <v>33</v>
      </c>
      <c r="AM673" s="5701"/>
      <c r="AN673" s="961" t="str">
        <f t="shared" si="93"/>
        <v/>
      </c>
      <c r="AO673" s="87" t="str">
        <f t="shared" si="94"/>
        <v/>
      </c>
      <c r="AP673" s="87" t="str">
        <f t="shared" si="95"/>
        <v>Lujiaodao</v>
      </c>
      <c r="AQ673" s="1419">
        <f>IF(OR($L673=AQ$627,$L673="",$D673=$AS$626),MAX(AQ$629:AQ672)+1,0)</f>
        <v>0</v>
      </c>
      <c r="AR673" s="1420">
        <f>IF(OR($L673=AR$627,$L673="",$D673=$AS$626),MAX(AR$629:AR672)+1,0)</f>
        <v>0</v>
      </c>
      <c r="AS673" s="1421">
        <f>IF(OR($L673=AS$627,$L673="",$D673=$AS$626),MAX(AS$629:AS672)+1,0)</f>
        <v>33</v>
      </c>
      <c r="AT673" s="5701"/>
      <c r="AU673" s="961" t="str">
        <f t="shared" si="96"/>
        <v/>
      </c>
      <c r="AV673" s="87" t="str">
        <f t="shared" si="97"/>
        <v/>
      </c>
      <c r="AW673" s="87" t="str">
        <f t="shared" si="98"/>
        <v>Lujiaodao</v>
      </c>
      <c r="AX673" s="1419">
        <f>IF(OR($L673=AX$627,$L673="",$D673=$AZ$626),MAX(AX$629:AX672)+1,0)</f>
        <v>0</v>
      </c>
      <c r="AY673" s="1420">
        <f>IF(OR($L673=AY$627,$L673="",$D673=$AZ$626),MAX(AY$629:AY672)+1,0)</f>
        <v>0</v>
      </c>
      <c r="AZ673" s="1421">
        <f>IF(OR($L673=AZ$627,$L673="",$D673=$AZ$626),MAX(AZ$629:AZ672)+1,0)</f>
        <v>33</v>
      </c>
      <c r="BA673" s="5701"/>
      <c r="BB673" s="961" t="str">
        <f t="shared" si="99"/>
        <v/>
      </c>
      <c r="BC673" s="87" t="str">
        <f t="shared" si="100"/>
        <v/>
      </c>
      <c r="BD673" s="87" t="str">
        <f t="shared" si="101"/>
        <v>Lujiaodao</v>
      </c>
      <c r="BE673" s="1419">
        <f>IF(OR($L673=BE$627,$L673="",$D673=$BG$626),MAX(BE$629:BE672)+1,0)</f>
        <v>0</v>
      </c>
      <c r="BF673" s="1420">
        <f>IF(OR($L673=BF$627,$L673="",$D673=$BG$626),MAX(BF$629:BF672)+1,0)</f>
        <v>0</v>
      </c>
      <c r="BG673" s="1421">
        <f>IF(OR($L673=BG$627,$L673="",$D673=$BG$626),MAX(BG$629:BG672)+1,0)</f>
        <v>33</v>
      </c>
      <c r="BH673" s="5701"/>
      <c r="BI673" s="961" t="str">
        <f t="shared" si="102"/>
        <v/>
      </c>
      <c r="BJ673" s="87" t="str">
        <f t="shared" si="103"/>
        <v/>
      </c>
      <c r="BK673" s="87" t="str">
        <f t="shared" si="104"/>
        <v>Lujiaodao</v>
      </c>
      <c r="BL673" s="1419">
        <f>IF(OR($L673=BL$627,$L673="",$D673=$BN$626),MAX(BL$629:BL672)+1,0)</f>
        <v>0</v>
      </c>
      <c r="BM673" s="1420">
        <f>IF(OR($L673=BM$627,$L673="",$D673=$BN$626),MAX(BM$629:BM672)+1,0)</f>
        <v>0</v>
      </c>
      <c r="BN673" s="1421">
        <f>IF(OR($L673=BN$627,$L673="",$D673=$BN$626),MAX(BN$629:BN672)+1,0)</f>
        <v>33</v>
      </c>
      <c r="BO673" s="5701"/>
      <c r="BP673" s="961" t="str">
        <f t="shared" si="105"/>
        <v/>
      </c>
      <c r="BQ673" s="87" t="str">
        <f t="shared" si="106"/>
        <v/>
      </c>
      <c r="BR673" s="87" t="str">
        <f t="shared" si="107"/>
        <v>Lujiaodao</v>
      </c>
      <c r="BS673" s="1419">
        <f>IF(OR($L673=BS$627,$L673="",$D673=$BU$626),MAX(BS$629:BS672)+1,0)</f>
        <v>0</v>
      </c>
      <c r="BT673" s="1420">
        <f>IF(OR($L673=BT$627,$L673="",$D673=$BU$626),MAX(BT$629:BT672)+1,0)</f>
        <v>0</v>
      </c>
      <c r="BU673" s="1421">
        <f>IF(OR($L673=BU$627,$L673="",$D673=$BU$626),MAX(BU$629:BU672)+1,0)</f>
        <v>33</v>
      </c>
    </row>
    <row r="674" spans="1:73" ht="12.75" customHeight="1" x14ac:dyDescent="0.2">
      <c r="A674" s="242">
        <v>674</v>
      </c>
      <c r="B674" s="5664"/>
      <c r="C674" s="1288"/>
      <c r="D674" s="1289" t="s">
        <v>2180</v>
      </c>
      <c r="E674" s="1295">
        <v>70</v>
      </c>
      <c r="F674" s="1287">
        <v>-30</v>
      </c>
      <c r="G674" s="1287">
        <v>7</v>
      </c>
      <c r="H674" s="1287">
        <v>7</v>
      </c>
      <c r="I674" s="1287" t="s">
        <v>1560</v>
      </c>
      <c r="J674" s="1287" t="s">
        <v>1506</v>
      </c>
      <c r="K674" s="1281" t="s">
        <v>7531</v>
      </c>
      <c r="L674" s="1287" t="str">
        <f t="shared" si="109"/>
        <v>Distinta</v>
      </c>
      <c r="M674" s="1296">
        <v>15</v>
      </c>
      <c r="N674" s="1296">
        <v>5</v>
      </c>
      <c r="O674" s="1296">
        <v>25</v>
      </c>
      <c r="P674" s="1287"/>
      <c r="Q674" s="1287"/>
      <c r="R674" s="1296">
        <v>100</v>
      </c>
      <c r="S674" s="1287" t="s">
        <v>1464</v>
      </c>
      <c r="T674" s="1296">
        <v>5</v>
      </c>
      <c r="U674" s="1287"/>
      <c r="V674" s="1281" t="s">
        <v>8854</v>
      </c>
      <c r="W674" s="1281"/>
      <c r="X674" s="1282" t="str">
        <f t="shared" si="89"/>
        <v>Mediana</v>
      </c>
      <c r="Z674" s="1418" t="str">
        <f t="shared" si="108"/>
        <v/>
      </c>
      <c r="AB674" s="961" t="s">
        <v>7259</v>
      </c>
      <c r="AC674" s="241" t="s">
        <v>2267</v>
      </c>
      <c r="AD674" s="1536"/>
      <c r="AE674" s="1423"/>
      <c r="AG674" s="961" t="str">
        <f t="shared" si="90"/>
        <v/>
      </c>
      <c r="AH674" s="87" t="str">
        <f t="shared" si="91"/>
        <v/>
      </c>
      <c r="AI674" s="87" t="str">
        <f t="shared" si="92"/>
        <v>Mangual</v>
      </c>
      <c r="AJ674" s="1419">
        <f>IF(OR($L674=AJ$627,$L674="",$D674=$AL$626),MAX(AJ$629:AJ673)+1,0)</f>
        <v>0</v>
      </c>
      <c r="AK674" s="1420">
        <f>IF(OR($L674=AK$627,$L674="",$D674=$AL$626),MAX(AK$629:AK673)+1,0)</f>
        <v>0</v>
      </c>
      <c r="AL674" s="1421">
        <f>IF(OR($L674=AL$627,$L674="",$D674=$AL$626),MAX(AL$629:AL673)+1,0)</f>
        <v>34</v>
      </c>
      <c r="AM674" s="5701"/>
      <c r="AN674" s="961" t="str">
        <f t="shared" si="93"/>
        <v/>
      </c>
      <c r="AO674" s="87" t="str">
        <f t="shared" si="94"/>
        <v/>
      </c>
      <c r="AP674" s="87" t="str">
        <f t="shared" si="95"/>
        <v>Mangual</v>
      </c>
      <c r="AQ674" s="1419">
        <f>IF(OR($L674=AQ$627,$L674="",$D674=$AS$626),MAX(AQ$629:AQ673)+1,0)</f>
        <v>0</v>
      </c>
      <c r="AR674" s="1420">
        <f>IF(OR($L674=AR$627,$L674="",$D674=$AS$626),MAX(AR$629:AR673)+1,0)</f>
        <v>0</v>
      </c>
      <c r="AS674" s="1421">
        <f>IF(OR($L674=AS$627,$L674="",$D674=$AS$626),MAX(AS$629:AS673)+1,0)</f>
        <v>34</v>
      </c>
      <c r="AT674" s="5701"/>
      <c r="AU674" s="961" t="str">
        <f t="shared" si="96"/>
        <v/>
      </c>
      <c r="AV674" s="87" t="str">
        <f t="shared" si="97"/>
        <v/>
      </c>
      <c r="AW674" s="87" t="str">
        <f t="shared" si="98"/>
        <v>Mangual</v>
      </c>
      <c r="AX674" s="1419">
        <f>IF(OR($L674=AX$627,$L674="",$D674=$AZ$626),MAX(AX$629:AX673)+1,0)</f>
        <v>0</v>
      </c>
      <c r="AY674" s="1420">
        <f>IF(OR($L674=AY$627,$L674="",$D674=$AZ$626),MAX(AY$629:AY673)+1,0)</f>
        <v>0</v>
      </c>
      <c r="AZ674" s="1421">
        <f>IF(OR($L674=AZ$627,$L674="",$D674=$AZ$626),MAX(AZ$629:AZ673)+1,0)</f>
        <v>34</v>
      </c>
      <c r="BA674" s="5701"/>
      <c r="BB674" s="961" t="str">
        <f t="shared" si="99"/>
        <v/>
      </c>
      <c r="BC674" s="87" t="str">
        <f t="shared" si="100"/>
        <v/>
      </c>
      <c r="BD674" s="87" t="str">
        <f t="shared" si="101"/>
        <v>Mangual</v>
      </c>
      <c r="BE674" s="1419">
        <f>IF(OR($L674=BE$627,$L674="",$D674=$BG$626),MAX(BE$629:BE673)+1,0)</f>
        <v>0</v>
      </c>
      <c r="BF674" s="1420">
        <f>IF(OR($L674=BF$627,$L674="",$D674=$BG$626),MAX(BF$629:BF673)+1,0)</f>
        <v>0</v>
      </c>
      <c r="BG674" s="1421">
        <f>IF(OR($L674=BG$627,$L674="",$D674=$BG$626),MAX(BG$629:BG673)+1,0)</f>
        <v>34</v>
      </c>
      <c r="BH674" s="5701"/>
      <c r="BI674" s="961" t="str">
        <f t="shared" si="102"/>
        <v/>
      </c>
      <c r="BJ674" s="87" t="str">
        <f t="shared" si="103"/>
        <v/>
      </c>
      <c r="BK674" s="87" t="str">
        <f t="shared" si="104"/>
        <v>Mangual</v>
      </c>
      <c r="BL674" s="1419">
        <f>IF(OR($L674=BL$627,$L674="",$D674=$BN$626),MAX(BL$629:BL673)+1,0)</f>
        <v>0</v>
      </c>
      <c r="BM674" s="1420">
        <f>IF(OR($L674=BM$627,$L674="",$D674=$BN$626),MAX(BM$629:BM673)+1,0)</f>
        <v>0</v>
      </c>
      <c r="BN674" s="1421">
        <f>IF(OR($L674=BN$627,$L674="",$D674=$BN$626),MAX(BN$629:BN673)+1,0)</f>
        <v>34</v>
      </c>
      <c r="BO674" s="5701"/>
      <c r="BP674" s="961" t="str">
        <f t="shared" si="105"/>
        <v/>
      </c>
      <c r="BQ674" s="87" t="str">
        <f t="shared" si="106"/>
        <v/>
      </c>
      <c r="BR674" s="87" t="str">
        <f t="shared" si="107"/>
        <v>Mangual</v>
      </c>
      <c r="BS674" s="1419">
        <f>IF(OR($L674=BS$627,$L674="",$D674=$BU$626),MAX(BS$629:BS673)+1,0)</f>
        <v>0</v>
      </c>
      <c r="BT674" s="1420">
        <f>IF(OR($L674=BT$627,$L674="",$D674=$BU$626),MAX(BT$629:BT673)+1,0)</f>
        <v>0</v>
      </c>
      <c r="BU674" s="1421">
        <f>IF(OR($L674=BU$627,$L674="",$D674=$BU$626),MAX(BU$629:BU673)+1,0)</f>
        <v>34</v>
      </c>
    </row>
    <row r="675" spans="1:73" ht="12.75" customHeight="1" x14ac:dyDescent="0.2">
      <c r="A675" s="242">
        <v>675</v>
      </c>
      <c r="B675" s="5664"/>
      <c r="C675" s="1288"/>
      <c r="D675" s="1289" t="s">
        <v>2181</v>
      </c>
      <c r="E675" s="1295">
        <v>45</v>
      </c>
      <c r="F675" s="1287">
        <v>0</v>
      </c>
      <c r="G675" s="1287">
        <v>5</v>
      </c>
      <c r="H675" s="1287">
        <v>5</v>
      </c>
      <c r="I675" s="1287" t="s">
        <v>1560</v>
      </c>
      <c r="J675" s="1287" t="s">
        <v>1464</v>
      </c>
      <c r="K675" s="1281" t="s">
        <v>7531</v>
      </c>
      <c r="L675" s="1287" t="str">
        <f t="shared" si="109"/>
        <v>Distinta</v>
      </c>
      <c r="M675" s="1296">
        <v>13</v>
      </c>
      <c r="N675" s="1296">
        <v>4</v>
      </c>
      <c r="O675" s="1296">
        <v>15</v>
      </c>
      <c r="P675" s="1287"/>
      <c r="Q675" s="1287"/>
      <c r="R675" s="1296">
        <v>80</v>
      </c>
      <c r="S675" s="1287" t="s">
        <v>1464</v>
      </c>
      <c r="T675" s="1296">
        <v>10</v>
      </c>
      <c r="U675" s="1287"/>
      <c r="V675" s="1281" t="s">
        <v>8855</v>
      </c>
      <c r="W675" s="1281"/>
      <c r="X675" s="1282" t="str">
        <f t="shared" si="89"/>
        <v>Mediana</v>
      </c>
      <c r="Z675" s="1418" t="str">
        <f t="shared" si="108"/>
        <v/>
      </c>
      <c r="AB675" s="961" t="s">
        <v>7260</v>
      </c>
      <c r="AC675" s="241" t="s">
        <v>2269</v>
      </c>
      <c r="AD675" s="1536"/>
      <c r="AE675" s="1423"/>
      <c r="AG675" s="961" t="str">
        <f t="shared" si="90"/>
        <v/>
      </c>
      <c r="AH675" s="87" t="str">
        <f t="shared" si="91"/>
        <v/>
      </c>
      <c r="AI675" s="87" t="str">
        <f t="shared" si="92"/>
        <v>Martillo de guerra</v>
      </c>
      <c r="AJ675" s="1419">
        <f>IF(OR($L675=AJ$627,$L675="",$D675=$AL$626),MAX(AJ$629:AJ674)+1,0)</f>
        <v>0</v>
      </c>
      <c r="AK675" s="1420">
        <f>IF(OR($L675=AK$627,$L675="",$D675=$AL$626),MAX(AK$629:AK674)+1,0)</f>
        <v>0</v>
      </c>
      <c r="AL675" s="1421">
        <f>IF(OR($L675=AL$627,$L675="",$D675=$AL$626),MAX(AL$629:AL674)+1,0)</f>
        <v>35</v>
      </c>
      <c r="AM675" s="5701"/>
      <c r="AN675" s="961" t="str">
        <f t="shared" si="93"/>
        <v/>
      </c>
      <c r="AO675" s="87" t="str">
        <f t="shared" si="94"/>
        <v/>
      </c>
      <c r="AP675" s="87" t="str">
        <f t="shared" si="95"/>
        <v>Martillo de guerra</v>
      </c>
      <c r="AQ675" s="1419">
        <f>IF(OR($L675=AQ$627,$L675="",$D675=$AS$626),MAX(AQ$629:AQ674)+1,0)</f>
        <v>0</v>
      </c>
      <c r="AR675" s="1420">
        <f>IF(OR($L675=AR$627,$L675="",$D675=$AS$626),MAX(AR$629:AR674)+1,0)</f>
        <v>0</v>
      </c>
      <c r="AS675" s="1421">
        <f>IF(OR($L675=AS$627,$L675="",$D675=$AS$626),MAX(AS$629:AS674)+1,0)</f>
        <v>35</v>
      </c>
      <c r="AT675" s="5701"/>
      <c r="AU675" s="961" t="str">
        <f t="shared" si="96"/>
        <v/>
      </c>
      <c r="AV675" s="87" t="str">
        <f t="shared" si="97"/>
        <v/>
      </c>
      <c r="AW675" s="87" t="str">
        <f t="shared" si="98"/>
        <v>Martillo de guerra</v>
      </c>
      <c r="AX675" s="1419">
        <f>IF(OR($L675=AX$627,$L675="",$D675=$AZ$626),MAX(AX$629:AX674)+1,0)</f>
        <v>0</v>
      </c>
      <c r="AY675" s="1420">
        <f>IF(OR($L675=AY$627,$L675="",$D675=$AZ$626),MAX(AY$629:AY674)+1,0)</f>
        <v>0</v>
      </c>
      <c r="AZ675" s="1421">
        <f>IF(OR($L675=AZ$627,$L675="",$D675=$AZ$626),MAX(AZ$629:AZ674)+1,0)</f>
        <v>35</v>
      </c>
      <c r="BA675" s="5701"/>
      <c r="BB675" s="961" t="str">
        <f t="shared" si="99"/>
        <v/>
      </c>
      <c r="BC675" s="87" t="str">
        <f t="shared" si="100"/>
        <v/>
      </c>
      <c r="BD675" s="87" t="str">
        <f t="shared" si="101"/>
        <v>Martillo de guerra</v>
      </c>
      <c r="BE675" s="1419">
        <f>IF(OR($L675=BE$627,$L675="",$D675=$BG$626),MAX(BE$629:BE674)+1,0)</f>
        <v>0</v>
      </c>
      <c r="BF675" s="1420">
        <f>IF(OR($L675=BF$627,$L675="",$D675=$BG$626),MAX(BF$629:BF674)+1,0)</f>
        <v>0</v>
      </c>
      <c r="BG675" s="1421">
        <f>IF(OR($L675=BG$627,$L675="",$D675=$BG$626),MAX(BG$629:BG674)+1,0)</f>
        <v>35</v>
      </c>
      <c r="BH675" s="5701"/>
      <c r="BI675" s="961" t="str">
        <f t="shared" si="102"/>
        <v/>
      </c>
      <c r="BJ675" s="87" t="str">
        <f t="shared" si="103"/>
        <v/>
      </c>
      <c r="BK675" s="87" t="str">
        <f t="shared" si="104"/>
        <v>Martillo de guerra</v>
      </c>
      <c r="BL675" s="1419">
        <f>IF(OR($L675=BL$627,$L675="",$D675=$BN$626),MAX(BL$629:BL674)+1,0)</f>
        <v>0</v>
      </c>
      <c r="BM675" s="1420">
        <f>IF(OR($L675=BM$627,$L675="",$D675=$BN$626),MAX(BM$629:BM674)+1,0)</f>
        <v>0</v>
      </c>
      <c r="BN675" s="1421">
        <f>IF(OR($L675=BN$627,$L675="",$D675=$BN$626),MAX(BN$629:BN674)+1,0)</f>
        <v>35</v>
      </c>
      <c r="BO675" s="5701"/>
      <c r="BP675" s="961" t="str">
        <f t="shared" si="105"/>
        <v/>
      </c>
      <c r="BQ675" s="87" t="str">
        <f t="shared" si="106"/>
        <v/>
      </c>
      <c r="BR675" s="87" t="str">
        <f t="shared" si="107"/>
        <v>Martillo de guerra</v>
      </c>
      <c r="BS675" s="1419">
        <f>IF(OR($L675=BS$627,$L675="",$D675=$BU$626),MAX(BS$629:BS674)+1,0)</f>
        <v>0</v>
      </c>
      <c r="BT675" s="1420">
        <f>IF(OR($L675=BT$627,$L675="",$D675=$BU$626),MAX(BT$629:BT674)+1,0)</f>
        <v>0</v>
      </c>
      <c r="BU675" s="1421">
        <f>IF(OR($L675=BU$627,$L675="",$D675=$BU$626),MAX(BU$629:BU674)+1,0)</f>
        <v>35</v>
      </c>
    </row>
    <row r="676" spans="1:73" ht="12.75" customHeight="1" x14ac:dyDescent="0.2">
      <c r="A676" s="242">
        <v>676</v>
      </c>
      <c r="B676" s="5664"/>
      <c r="C676" s="1288"/>
      <c r="D676" s="1289" t="s">
        <v>7253</v>
      </c>
      <c r="E676" s="1295">
        <v>30</v>
      </c>
      <c r="F676" s="1287">
        <v>15</v>
      </c>
      <c r="G676" s="1287">
        <v>5</v>
      </c>
      <c r="H676" s="1287">
        <v>5</v>
      </c>
      <c r="I676" s="1287" t="s">
        <v>1560</v>
      </c>
      <c r="J676" s="1287" t="s">
        <v>1506</v>
      </c>
      <c r="K676" s="1281" t="s">
        <v>7524</v>
      </c>
      <c r="L676" s="1287" t="str">
        <f t="shared" si="109"/>
        <v>Distinta</v>
      </c>
      <c r="M676" s="1296">
        <v>10</v>
      </c>
      <c r="N676" s="1296">
        <v>-2</v>
      </c>
      <c r="O676" s="1296">
        <v>20</v>
      </c>
      <c r="P676" s="1287"/>
      <c r="Q676" s="1287"/>
      <c r="R676" s="1287" t="s">
        <v>1464</v>
      </c>
      <c r="S676" s="1287" t="s">
        <v>1464</v>
      </c>
      <c r="T676" s="1287" t="s">
        <v>1464</v>
      </c>
      <c r="U676" s="1287"/>
      <c r="V676" s="1281" t="s">
        <v>7281</v>
      </c>
      <c r="W676" s="1281"/>
      <c r="X676" s="1282" t="str">
        <f t="shared" si="89"/>
        <v>Pequeña</v>
      </c>
      <c r="Z676" s="1418" t="str">
        <f t="shared" si="108"/>
        <v/>
      </c>
      <c r="AB676" s="961" t="s">
        <v>2183</v>
      </c>
      <c r="AC676" s="241" t="s">
        <v>2271</v>
      </c>
      <c r="AD676" s="1536"/>
      <c r="AE676" s="1423"/>
      <c r="AG676" s="961" t="str">
        <f t="shared" si="90"/>
        <v/>
      </c>
      <c r="AH676" s="87" t="str">
        <f t="shared" si="91"/>
        <v/>
      </c>
      <c r="AI676" s="87" t="str">
        <f t="shared" si="92"/>
        <v>Mayal</v>
      </c>
      <c r="AJ676" s="1419">
        <f>IF(OR($L676=AJ$627,$L676="",$D676=$AL$626),MAX(AJ$629:AJ675)+1,0)</f>
        <v>0</v>
      </c>
      <c r="AK676" s="1420">
        <f>IF(OR($L676=AK$627,$L676="",$D676=$AL$626),MAX(AK$629:AK675)+1,0)</f>
        <v>0</v>
      </c>
      <c r="AL676" s="1421">
        <f>IF(OR($L676=AL$627,$L676="",$D676=$AL$626),MAX(AL$629:AL675)+1,0)</f>
        <v>36</v>
      </c>
      <c r="AM676" s="5701"/>
      <c r="AN676" s="961" t="str">
        <f t="shared" si="93"/>
        <v/>
      </c>
      <c r="AO676" s="87" t="str">
        <f t="shared" si="94"/>
        <v/>
      </c>
      <c r="AP676" s="87" t="str">
        <f t="shared" si="95"/>
        <v>Mayal</v>
      </c>
      <c r="AQ676" s="1419">
        <f>IF(OR($L676=AQ$627,$L676="",$D676=$AS$626),MAX(AQ$629:AQ675)+1,0)</f>
        <v>0</v>
      </c>
      <c r="AR676" s="1420">
        <f>IF(OR($L676=AR$627,$L676="",$D676=$AS$626),MAX(AR$629:AR675)+1,0)</f>
        <v>0</v>
      </c>
      <c r="AS676" s="1421">
        <f>IF(OR($L676=AS$627,$L676="",$D676=$AS$626),MAX(AS$629:AS675)+1,0)</f>
        <v>36</v>
      </c>
      <c r="AT676" s="5701"/>
      <c r="AU676" s="961" t="str">
        <f t="shared" si="96"/>
        <v/>
      </c>
      <c r="AV676" s="87" t="str">
        <f t="shared" si="97"/>
        <v/>
      </c>
      <c r="AW676" s="87" t="str">
        <f t="shared" si="98"/>
        <v>Mayal</v>
      </c>
      <c r="AX676" s="1419">
        <f>IF(OR($L676=AX$627,$L676="",$D676=$AZ$626),MAX(AX$629:AX675)+1,0)</f>
        <v>0</v>
      </c>
      <c r="AY676" s="1420">
        <f>IF(OR($L676=AY$627,$L676="",$D676=$AZ$626),MAX(AY$629:AY675)+1,0)</f>
        <v>0</v>
      </c>
      <c r="AZ676" s="1421">
        <f>IF(OR($L676=AZ$627,$L676="",$D676=$AZ$626),MAX(AZ$629:AZ675)+1,0)</f>
        <v>36</v>
      </c>
      <c r="BA676" s="5701"/>
      <c r="BB676" s="961" t="str">
        <f t="shared" si="99"/>
        <v/>
      </c>
      <c r="BC676" s="87" t="str">
        <f t="shared" si="100"/>
        <v/>
      </c>
      <c r="BD676" s="87" t="str">
        <f t="shared" si="101"/>
        <v>Mayal</v>
      </c>
      <c r="BE676" s="1419">
        <f>IF(OR($L676=BE$627,$L676="",$D676=$BG$626),MAX(BE$629:BE675)+1,0)</f>
        <v>0</v>
      </c>
      <c r="BF676" s="1420">
        <f>IF(OR($L676=BF$627,$L676="",$D676=$BG$626),MAX(BF$629:BF675)+1,0)</f>
        <v>0</v>
      </c>
      <c r="BG676" s="1421">
        <f>IF(OR($L676=BG$627,$L676="",$D676=$BG$626),MAX(BG$629:BG675)+1,0)</f>
        <v>36</v>
      </c>
      <c r="BH676" s="5701"/>
      <c r="BI676" s="961" t="str">
        <f t="shared" si="102"/>
        <v/>
      </c>
      <c r="BJ676" s="87" t="str">
        <f t="shared" si="103"/>
        <v/>
      </c>
      <c r="BK676" s="87" t="str">
        <f t="shared" si="104"/>
        <v>Mayal</v>
      </c>
      <c r="BL676" s="1419">
        <f>IF(OR($L676=BL$627,$L676="",$D676=$BN$626),MAX(BL$629:BL675)+1,0)</f>
        <v>0</v>
      </c>
      <c r="BM676" s="1420">
        <f>IF(OR($L676=BM$627,$L676="",$D676=$BN$626),MAX(BM$629:BM675)+1,0)</f>
        <v>0</v>
      </c>
      <c r="BN676" s="1421">
        <f>IF(OR($L676=BN$627,$L676="",$D676=$BN$626),MAX(BN$629:BN675)+1,0)</f>
        <v>36</v>
      </c>
      <c r="BO676" s="5701"/>
      <c r="BP676" s="961" t="str">
        <f t="shared" si="105"/>
        <v/>
      </c>
      <c r="BQ676" s="87" t="str">
        <f t="shared" si="106"/>
        <v/>
      </c>
      <c r="BR676" s="87" t="str">
        <f t="shared" si="107"/>
        <v>Mayal</v>
      </c>
      <c r="BS676" s="1419">
        <f>IF(OR($L676=BS$627,$L676="",$D676=$BU$626),MAX(BS$629:BS675)+1,0)</f>
        <v>0</v>
      </c>
      <c r="BT676" s="1420">
        <f>IF(OR($L676=BT$627,$L676="",$D676=$BU$626),MAX(BT$629:BT675)+1,0)</f>
        <v>0</v>
      </c>
      <c r="BU676" s="1421">
        <f>IF(OR($L676=BU$627,$L676="",$D676=$BU$626),MAX(BU$629:BU675)+1,0)</f>
        <v>36</v>
      </c>
    </row>
    <row r="677" spans="1:73" ht="12.75" customHeight="1" x14ac:dyDescent="0.2">
      <c r="A677" s="242">
        <v>677</v>
      </c>
      <c r="B677" s="5664"/>
      <c r="C677" s="1288"/>
      <c r="D677" s="1289" t="s">
        <v>2182</v>
      </c>
      <c r="E677" s="1295">
        <v>35</v>
      </c>
      <c r="F677" s="1287">
        <v>5</v>
      </c>
      <c r="G677" s="1287">
        <v>4</v>
      </c>
      <c r="H677" s="1287">
        <v>4</v>
      </c>
      <c r="I677" s="1287" t="s">
        <v>1561</v>
      </c>
      <c r="J677" s="1287" t="s">
        <v>1464</v>
      </c>
      <c r="K677" s="1281" t="s">
        <v>7519</v>
      </c>
      <c r="L677" s="1287" t="str">
        <f t="shared" si="109"/>
        <v>Conocida</v>
      </c>
      <c r="M677" s="1296">
        <v>10</v>
      </c>
      <c r="N677" s="1296">
        <v>-2</v>
      </c>
      <c r="O677" s="1296">
        <v>20</v>
      </c>
      <c r="P677" s="1287"/>
      <c r="Q677" s="1287"/>
      <c r="R677" s="1296">
        <v>100</v>
      </c>
      <c r="S677" s="1287" t="s">
        <v>1464</v>
      </c>
      <c r="T677" s="1296">
        <v>30</v>
      </c>
      <c r="U677" s="1287"/>
      <c r="V677" s="1281" t="s">
        <v>8854</v>
      </c>
      <c r="W677" s="1281"/>
      <c r="X677" s="1282" t="str">
        <f t="shared" si="89"/>
        <v>Grande</v>
      </c>
      <c r="Z677" s="1418" t="str">
        <f t="shared" si="108"/>
        <v>, Asta/-</v>
      </c>
      <c r="AB677" s="961" t="s">
        <v>2184</v>
      </c>
      <c r="AC677" s="241" t="s">
        <v>2272</v>
      </c>
      <c r="AD677" s="1536"/>
      <c r="AE677" s="1423"/>
      <c r="AG677" s="961" t="str">
        <f t="shared" si="90"/>
        <v/>
      </c>
      <c r="AH677" s="87" t="str">
        <f t="shared" si="91"/>
        <v/>
      </c>
      <c r="AI677" s="87" t="str">
        <f t="shared" si="92"/>
        <v>Maza Barra</v>
      </c>
      <c r="AJ677" s="1419">
        <f>IF(OR($L677=AJ$627,$L677="",$D677=$AL$626),MAX(AJ$629:AJ676)+1,0)</f>
        <v>0</v>
      </c>
      <c r="AK677" s="1420">
        <f>IF(OR($L677=AK$627,$L677="",$D677=$AL$626),MAX(AK$629:AK676)+1,0)</f>
        <v>0</v>
      </c>
      <c r="AL677" s="1421">
        <f>IF(OR($L677=AL$627,$L677="",$D677=$AL$626),MAX(AL$629:AL676)+1,0)</f>
        <v>0</v>
      </c>
      <c r="AM677" s="5701"/>
      <c r="AN677" s="961" t="str">
        <f t="shared" si="93"/>
        <v/>
      </c>
      <c r="AO677" s="87" t="str">
        <f t="shared" si="94"/>
        <v/>
      </c>
      <c r="AP677" s="87" t="str">
        <f t="shared" si="95"/>
        <v>Maza Barra</v>
      </c>
      <c r="AQ677" s="1419">
        <f>IF(OR($L677=AQ$627,$L677="",$D677=$AS$626),MAX(AQ$629:AQ676)+1,0)</f>
        <v>0</v>
      </c>
      <c r="AR677" s="1420">
        <f>IF(OR($L677=AR$627,$L677="",$D677=$AS$626),MAX(AR$629:AR676)+1,0)</f>
        <v>0</v>
      </c>
      <c r="AS677" s="1421">
        <f>IF(OR($L677=AS$627,$L677="",$D677=$AS$626),MAX(AS$629:AS676)+1,0)</f>
        <v>0</v>
      </c>
      <c r="AT677" s="5701"/>
      <c r="AU677" s="961" t="str">
        <f t="shared" si="96"/>
        <v/>
      </c>
      <c r="AV677" s="87" t="str">
        <f t="shared" si="97"/>
        <v/>
      </c>
      <c r="AW677" s="87" t="str">
        <f t="shared" si="98"/>
        <v>Maza Barra</v>
      </c>
      <c r="AX677" s="1419">
        <f>IF(OR($L677=AX$627,$L677="",$D677=$AZ$626),MAX(AX$629:AX676)+1,0)</f>
        <v>0</v>
      </c>
      <c r="AY677" s="1420">
        <f>IF(OR($L677=AY$627,$L677="",$D677=$AZ$626),MAX(AY$629:AY676)+1,0)</f>
        <v>0</v>
      </c>
      <c r="AZ677" s="1421">
        <f>IF(OR($L677=AZ$627,$L677="",$D677=$AZ$626),MAX(AZ$629:AZ676)+1,0)</f>
        <v>0</v>
      </c>
      <c r="BA677" s="5701"/>
      <c r="BB677" s="961" t="str">
        <f t="shared" si="99"/>
        <v/>
      </c>
      <c r="BC677" s="87" t="str">
        <f t="shared" si="100"/>
        <v/>
      </c>
      <c r="BD677" s="87" t="str">
        <f t="shared" si="101"/>
        <v>Maza Barra</v>
      </c>
      <c r="BE677" s="1419">
        <f>IF(OR($L677=BE$627,$L677="",$D677=$BG$626),MAX(BE$629:BE676)+1,0)</f>
        <v>0</v>
      </c>
      <c r="BF677" s="1420">
        <f>IF(OR($L677=BF$627,$L677="",$D677=$BG$626),MAX(BF$629:BF676)+1,0)</f>
        <v>0</v>
      </c>
      <c r="BG677" s="1421">
        <f>IF(OR($L677=BG$627,$L677="",$D677=$BG$626),MAX(BG$629:BG676)+1,0)</f>
        <v>0</v>
      </c>
      <c r="BH677" s="5701"/>
      <c r="BI677" s="961" t="str">
        <f t="shared" si="102"/>
        <v/>
      </c>
      <c r="BJ677" s="87" t="str">
        <f t="shared" si="103"/>
        <v/>
      </c>
      <c r="BK677" s="87" t="str">
        <f t="shared" si="104"/>
        <v>Maza Barra</v>
      </c>
      <c r="BL677" s="1419">
        <f>IF(OR($L677=BL$627,$L677="",$D677=$BN$626),MAX(BL$629:BL676)+1,0)</f>
        <v>0</v>
      </c>
      <c r="BM677" s="1420">
        <f>IF(OR($L677=BM$627,$L677="",$D677=$BN$626),MAX(BM$629:BM676)+1,0)</f>
        <v>0</v>
      </c>
      <c r="BN677" s="1421">
        <f>IF(OR($L677=BN$627,$L677="",$D677=$BN$626),MAX(BN$629:BN676)+1,0)</f>
        <v>0</v>
      </c>
      <c r="BO677" s="5701"/>
      <c r="BP677" s="961" t="str">
        <f t="shared" si="105"/>
        <v/>
      </c>
      <c r="BQ677" s="87" t="str">
        <f t="shared" si="106"/>
        <v/>
      </c>
      <c r="BR677" s="87" t="str">
        <f t="shared" si="107"/>
        <v>Maza Barra</v>
      </c>
      <c r="BS677" s="1419">
        <f>IF(OR($L677=BS$627,$L677="",$D677=$BU$626),MAX(BS$629:BS676)+1,0)</f>
        <v>0</v>
      </c>
      <c r="BT677" s="1420">
        <f>IF(OR($L677=BT$627,$L677="",$D677=$BU$626),MAX(BT$629:BT676)+1,0)</f>
        <v>0</v>
      </c>
      <c r="BU677" s="1421">
        <f>IF(OR($L677=BU$627,$L677="",$D677=$BU$626),MAX(BU$629:BU676)+1,0)</f>
        <v>0</v>
      </c>
    </row>
    <row r="678" spans="1:73" ht="12.75" customHeight="1" x14ac:dyDescent="0.2">
      <c r="A678" s="242">
        <v>678</v>
      </c>
      <c r="B678" s="5664"/>
      <c r="C678" s="1288"/>
      <c r="D678" s="1289" t="s">
        <v>7256</v>
      </c>
      <c r="E678" s="1295">
        <v>45</v>
      </c>
      <c r="F678" s="1287">
        <v>10</v>
      </c>
      <c r="G678" s="1287">
        <v>5</v>
      </c>
      <c r="H678" s="1287">
        <v>5</v>
      </c>
      <c r="I678" s="1287" t="s">
        <v>1560</v>
      </c>
      <c r="J678" s="1287" t="s">
        <v>1464</v>
      </c>
      <c r="K678" s="1281" t="s">
        <v>7524</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2186</v>
      </c>
      <c r="AC678" s="241" t="s">
        <v>2274</v>
      </c>
      <c r="AD678" s="1536"/>
      <c r="AE678" s="1423"/>
      <c r="AG678" s="961" t="str">
        <f t="shared" si="90"/>
        <v/>
      </c>
      <c r="AH678" s="87" t="str">
        <f t="shared" si="91"/>
        <v/>
      </c>
      <c r="AI678" s="87" t="str">
        <f t="shared" si="92"/>
        <v>Maza ligera</v>
      </c>
      <c r="AJ678" s="1419">
        <f>IF(OR($L678=AJ$627,$L678="",$D678=$AL$626),MAX(AJ$629:AJ677)+1,0)</f>
        <v>0</v>
      </c>
      <c r="AK678" s="1420">
        <f>IF(OR($L678=AK$627,$L678="",$D678=$AL$626),MAX(AK$629:AK677)+1,0)</f>
        <v>0</v>
      </c>
      <c r="AL678" s="1421">
        <f>IF(OR($L678=AL$627,$L678="",$D678=$AL$626),MAX(AL$629:AL677)+1,0)</f>
        <v>37</v>
      </c>
      <c r="AM678" s="5701"/>
      <c r="AN678" s="961" t="str">
        <f t="shared" si="93"/>
        <v/>
      </c>
      <c r="AO678" s="87" t="str">
        <f t="shared" si="94"/>
        <v/>
      </c>
      <c r="AP678" s="87" t="str">
        <f t="shared" si="95"/>
        <v>Maza ligera</v>
      </c>
      <c r="AQ678" s="1419">
        <f>IF(OR($L678=AQ$627,$L678="",$D678=$AS$626),MAX(AQ$629:AQ677)+1,0)</f>
        <v>0</v>
      </c>
      <c r="AR678" s="1420">
        <f>IF(OR($L678=AR$627,$L678="",$D678=$AS$626),MAX(AR$629:AR677)+1,0)</f>
        <v>0</v>
      </c>
      <c r="AS678" s="1421">
        <f>IF(OR($L678=AS$627,$L678="",$D678=$AS$626),MAX(AS$629:AS677)+1,0)</f>
        <v>37</v>
      </c>
      <c r="AT678" s="5701"/>
      <c r="AU678" s="961" t="str">
        <f t="shared" si="96"/>
        <v/>
      </c>
      <c r="AV678" s="87" t="str">
        <f t="shared" si="97"/>
        <v/>
      </c>
      <c r="AW678" s="87" t="str">
        <f t="shared" si="98"/>
        <v>Maza ligera</v>
      </c>
      <c r="AX678" s="1419">
        <f>IF(OR($L678=AX$627,$L678="",$D678=$AZ$626),MAX(AX$629:AX677)+1,0)</f>
        <v>0</v>
      </c>
      <c r="AY678" s="1420">
        <f>IF(OR($L678=AY$627,$L678="",$D678=$AZ$626),MAX(AY$629:AY677)+1,0)</f>
        <v>0</v>
      </c>
      <c r="AZ678" s="1421">
        <f>IF(OR($L678=AZ$627,$L678="",$D678=$AZ$626),MAX(AZ$629:AZ677)+1,0)</f>
        <v>37</v>
      </c>
      <c r="BA678" s="5701"/>
      <c r="BB678" s="961" t="str">
        <f t="shared" si="99"/>
        <v/>
      </c>
      <c r="BC678" s="87" t="str">
        <f t="shared" si="100"/>
        <v/>
      </c>
      <c r="BD678" s="87" t="str">
        <f t="shared" si="101"/>
        <v>Maza ligera</v>
      </c>
      <c r="BE678" s="1419">
        <f>IF(OR($L678=BE$627,$L678="",$D678=$BG$626),MAX(BE$629:BE677)+1,0)</f>
        <v>0</v>
      </c>
      <c r="BF678" s="1420">
        <f>IF(OR($L678=BF$627,$L678="",$D678=$BG$626),MAX(BF$629:BF677)+1,0)</f>
        <v>0</v>
      </c>
      <c r="BG678" s="1421">
        <f>IF(OR($L678=BG$627,$L678="",$D678=$BG$626),MAX(BG$629:BG677)+1,0)</f>
        <v>37</v>
      </c>
      <c r="BH678" s="5701"/>
      <c r="BI678" s="961" t="str">
        <f t="shared" si="102"/>
        <v/>
      </c>
      <c r="BJ678" s="87" t="str">
        <f t="shared" si="103"/>
        <v/>
      </c>
      <c r="BK678" s="87" t="str">
        <f t="shared" si="104"/>
        <v>Maza ligera</v>
      </c>
      <c r="BL678" s="1419">
        <f>IF(OR($L678=BL$627,$L678="",$D678=$BN$626),MAX(BL$629:BL677)+1,0)</f>
        <v>0</v>
      </c>
      <c r="BM678" s="1420">
        <f>IF(OR($L678=BM$627,$L678="",$D678=$BN$626),MAX(BM$629:BM677)+1,0)</f>
        <v>0</v>
      </c>
      <c r="BN678" s="1421">
        <f>IF(OR($L678=BN$627,$L678="",$D678=$BN$626),MAX(BN$629:BN677)+1,0)</f>
        <v>37</v>
      </c>
      <c r="BO678" s="5701"/>
      <c r="BP678" s="961" t="str">
        <f t="shared" si="105"/>
        <v/>
      </c>
      <c r="BQ678" s="87" t="str">
        <f t="shared" si="106"/>
        <v/>
      </c>
      <c r="BR678" s="87" t="str">
        <f t="shared" si="107"/>
        <v>Maza ligera</v>
      </c>
      <c r="BS678" s="1419">
        <f>IF(OR($L678=BS$627,$L678="",$D678=$BU$626),MAX(BS$629:BS677)+1,0)</f>
        <v>0</v>
      </c>
      <c r="BT678" s="1420">
        <f>IF(OR($L678=BT$627,$L678="",$D678=$BU$626),MAX(BT$629:BT677)+1,0)</f>
        <v>0</v>
      </c>
      <c r="BU678" s="1421">
        <f>IF(OR($L678=BU$627,$L678="",$D678=$BU$626),MAX(BU$629:BU677)+1,0)</f>
        <v>37</v>
      </c>
    </row>
    <row r="679" spans="1:73" ht="12.75" customHeight="1" x14ac:dyDescent="0.2">
      <c r="A679" s="242">
        <v>679</v>
      </c>
      <c r="B679" s="5664"/>
      <c r="C679" s="1288"/>
      <c r="D679" s="1289" t="s">
        <v>7258</v>
      </c>
      <c r="E679" s="1295">
        <v>25</v>
      </c>
      <c r="F679" s="1287">
        <v>20</v>
      </c>
      <c r="G679" s="1287">
        <v>4</v>
      </c>
      <c r="H679" s="1287">
        <v>4</v>
      </c>
      <c r="I679" s="1287" t="s">
        <v>1560</v>
      </c>
      <c r="J679" s="1287" t="s">
        <v>1506</v>
      </c>
      <c r="K679" s="1281" t="s">
        <v>7524</v>
      </c>
      <c r="L679" s="1287" t="str">
        <f t="shared" si="109"/>
        <v>Distinta</v>
      </c>
      <c r="M679" s="1296">
        <v>10</v>
      </c>
      <c r="N679" s="1296">
        <v>-2</v>
      </c>
      <c r="O679" s="1296">
        <v>15</v>
      </c>
      <c r="P679" s="1287"/>
      <c r="Q679" s="1287"/>
      <c r="R679" s="1287" t="s">
        <v>1464</v>
      </c>
      <c r="S679" s="1287" t="s">
        <v>1464</v>
      </c>
      <c r="T679" s="1287" t="s">
        <v>1464</v>
      </c>
      <c r="U679" s="1287"/>
      <c r="V679" s="1281" t="s">
        <v>7281</v>
      </c>
      <c r="W679" s="1281"/>
      <c r="X679" s="1282" t="str">
        <f t="shared" si="89"/>
        <v>Pequeña</v>
      </c>
      <c r="Z679" s="1418" t="str">
        <f t="shared" si="108"/>
        <v/>
      </c>
      <c r="AB679" s="961" t="s">
        <v>2188</v>
      </c>
      <c r="AC679" s="241" t="s">
        <v>2275</v>
      </c>
      <c r="AD679" s="1536"/>
      <c r="AE679" s="1423"/>
      <c r="AG679" s="961" t="str">
        <f t="shared" si="90"/>
        <v/>
      </c>
      <c r="AH679" s="87" t="str">
        <f t="shared" si="91"/>
        <v/>
      </c>
      <c r="AI679" s="87" t="str">
        <f t="shared" si="92"/>
        <v>Maza pesada</v>
      </c>
      <c r="AJ679" s="1419">
        <f>IF(OR($L679=AJ$627,$L679="",$D679=$AL$626),MAX(AJ$629:AJ678)+1,0)</f>
        <v>0</v>
      </c>
      <c r="AK679" s="1420">
        <f>IF(OR($L679=AK$627,$L679="",$D679=$AL$626),MAX(AK$629:AK678)+1,0)</f>
        <v>0</v>
      </c>
      <c r="AL679" s="1421">
        <f>IF(OR($L679=AL$627,$L679="",$D679=$AL$626),MAX(AL$629:AL678)+1,0)</f>
        <v>38</v>
      </c>
      <c r="AM679" s="5701"/>
      <c r="AN679" s="961" t="str">
        <f t="shared" si="93"/>
        <v/>
      </c>
      <c r="AO679" s="87" t="str">
        <f t="shared" si="94"/>
        <v/>
      </c>
      <c r="AP679" s="87" t="str">
        <f t="shared" si="95"/>
        <v>Maza pesada</v>
      </c>
      <c r="AQ679" s="1419">
        <f>IF(OR($L679=AQ$627,$L679="",$D679=$AS$626),MAX(AQ$629:AQ678)+1,0)</f>
        <v>0</v>
      </c>
      <c r="AR679" s="1420">
        <f>IF(OR($L679=AR$627,$L679="",$D679=$AS$626),MAX(AR$629:AR678)+1,0)</f>
        <v>0</v>
      </c>
      <c r="AS679" s="1421">
        <f>IF(OR($L679=AS$627,$L679="",$D679=$AS$626),MAX(AS$629:AS678)+1,0)</f>
        <v>38</v>
      </c>
      <c r="AT679" s="5701"/>
      <c r="AU679" s="961" t="str">
        <f t="shared" si="96"/>
        <v/>
      </c>
      <c r="AV679" s="87" t="str">
        <f t="shared" si="97"/>
        <v/>
      </c>
      <c r="AW679" s="87" t="str">
        <f t="shared" si="98"/>
        <v>Maza pesada</v>
      </c>
      <c r="AX679" s="1419">
        <f>IF(OR($L679=AX$627,$L679="",$D679=$AZ$626),MAX(AX$629:AX678)+1,0)</f>
        <v>0</v>
      </c>
      <c r="AY679" s="1420">
        <f>IF(OR($L679=AY$627,$L679="",$D679=$AZ$626),MAX(AY$629:AY678)+1,0)</f>
        <v>0</v>
      </c>
      <c r="AZ679" s="1421">
        <f>IF(OR($L679=AZ$627,$L679="",$D679=$AZ$626),MAX(AZ$629:AZ678)+1,0)</f>
        <v>38</v>
      </c>
      <c r="BA679" s="5701"/>
      <c r="BB679" s="961" t="str">
        <f t="shared" si="99"/>
        <v/>
      </c>
      <c r="BC679" s="87" t="str">
        <f t="shared" si="100"/>
        <v/>
      </c>
      <c r="BD679" s="87" t="str">
        <f t="shared" si="101"/>
        <v>Maza pesada</v>
      </c>
      <c r="BE679" s="1419">
        <f>IF(OR($L679=BE$627,$L679="",$D679=$BG$626),MAX(BE$629:BE678)+1,0)</f>
        <v>0</v>
      </c>
      <c r="BF679" s="1420">
        <f>IF(OR($L679=BF$627,$L679="",$D679=$BG$626),MAX(BF$629:BF678)+1,0)</f>
        <v>0</v>
      </c>
      <c r="BG679" s="1421">
        <f>IF(OR($L679=BG$627,$L679="",$D679=$BG$626),MAX(BG$629:BG678)+1,0)</f>
        <v>38</v>
      </c>
      <c r="BH679" s="5701"/>
      <c r="BI679" s="961" t="str">
        <f t="shared" si="102"/>
        <v/>
      </c>
      <c r="BJ679" s="87" t="str">
        <f t="shared" si="103"/>
        <v/>
      </c>
      <c r="BK679" s="87" t="str">
        <f t="shared" si="104"/>
        <v>Maza pesada</v>
      </c>
      <c r="BL679" s="1419">
        <f>IF(OR($L679=BL$627,$L679="",$D679=$BN$626),MAX(BL$629:BL678)+1,0)</f>
        <v>0</v>
      </c>
      <c r="BM679" s="1420">
        <f>IF(OR($L679=BM$627,$L679="",$D679=$BN$626),MAX(BM$629:BM678)+1,0)</f>
        <v>0</v>
      </c>
      <c r="BN679" s="1421">
        <f>IF(OR($L679=BN$627,$L679="",$D679=$BN$626),MAX(BN$629:BN678)+1,0)</f>
        <v>38</v>
      </c>
      <c r="BO679" s="5701"/>
      <c r="BP679" s="961" t="str">
        <f t="shared" si="105"/>
        <v/>
      </c>
      <c r="BQ679" s="87" t="str">
        <f t="shared" si="106"/>
        <v/>
      </c>
      <c r="BR679" s="87" t="str">
        <f t="shared" si="107"/>
        <v>Maza pesada</v>
      </c>
      <c r="BS679" s="1419">
        <f>IF(OR($L679=BS$627,$L679="",$D679=$BU$626),MAX(BS$629:BS678)+1,0)</f>
        <v>0</v>
      </c>
      <c r="BT679" s="1420">
        <f>IF(OR($L679=BT$627,$L679="",$D679=$BU$626),MAX(BT$629:BT678)+1,0)</f>
        <v>0</v>
      </c>
      <c r="BU679" s="1421">
        <f>IF(OR($L679=BU$627,$L679="",$D679=$BU$626),MAX(BU$629:BU678)+1,0)</f>
        <v>38</v>
      </c>
    </row>
    <row r="680" spans="1:73" ht="12.75" customHeight="1" x14ac:dyDescent="0.2">
      <c r="A680" s="242">
        <v>680</v>
      </c>
      <c r="B680" s="5664"/>
      <c r="C680" s="1288"/>
      <c r="D680" s="1289" t="s">
        <v>7259</v>
      </c>
      <c r="E680" s="1295">
        <v>60</v>
      </c>
      <c r="F680" s="1287">
        <v>-30</v>
      </c>
      <c r="G680" s="1287">
        <v>8</v>
      </c>
      <c r="H680" s="1287">
        <v>8</v>
      </c>
      <c r="I680" s="1287" t="s">
        <v>1561</v>
      </c>
      <c r="J680" s="1287" t="s">
        <v>1464</v>
      </c>
      <c r="K680" s="1281" t="s">
        <v>7522</v>
      </c>
      <c r="L680" s="1287" t="str">
        <f t="shared" si="109"/>
        <v>Distinta</v>
      </c>
      <c r="M680" s="1296">
        <v>9</v>
      </c>
      <c r="N680" s="1296">
        <v>2</v>
      </c>
      <c r="O680" s="1296">
        <v>20</v>
      </c>
      <c r="P680" s="1287"/>
      <c r="Q680" s="1287"/>
      <c r="R680" s="1287" t="s">
        <v>1464</v>
      </c>
      <c r="S680" s="1287" t="s">
        <v>1464</v>
      </c>
      <c r="T680" s="1287" t="s">
        <v>1464</v>
      </c>
      <c r="U680" s="1287"/>
      <c r="V680" s="1281" t="s">
        <v>2185</v>
      </c>
      <c r="W680" s="1281"/>
      <c r="X680" s="1282" t="str">
        <f t="shared" si="89"/>
        <v>Mediana</v>
      </c>
      <c r="Z680" s="1418" t="str">
        <f t="shared" si="108"/>
        <v/>
      </c>
      <c r="AB680" s="961" t="s">
        <v>7261</v>
      </c>
      <c r="AC680" s="241" t="s">
        <v>2286</v>
      </c>
      <c r="AD680" s="1536"/>
      <c r="AE680" s="1423"/>
      <c r="AG680" s="961" t="str">
        <f t="shared" si="90"/>
        <v/>
      </c>
      <c r="AH680" s="87" t="str">
        <f t="shared" si="91"/>
        <v/>
      </c>
      <c r="AI680" s="87" t="str">
        <f t="shared" si="92"/>
        <v>Montante</v>
      </c>
      <c r="AJ680" s="1419">
        <f>IF(OR($L680=AJ$627,$L680="",$D680=$AL$626),MAX(AJ$629:AJ679)+1,0)</f>
        <v>0</v>
      </c>
      <c r="AK680" s="1420">
        <f>IF(OR($L680=AK$627,$L680="",$D680=$AL$626),MAX(AK$629:AK679)+1,0)</f>
        <v>0</v>
      </c>
      <c r="AL680" s="1421">
        <f>IF(OR($L680=AL$627,$L680="",$D680=$AL$626),MAX(AL$629:AL679)+1,0)</f>
        <v>39</v>
      </c>
      <c r="AM680" s="5701"/>
      <c r="AN680" s="961" t="str">
        <f t="shared" si="93"/>
        <v/>
      </c>
      <c r="AO680" s="87" t="str">
        <f t="shared" si="94"/>
        <v/>
      </c>
      <c r="AP680" s="87" t="str">
        <f t="shared" si="95"/>
        <v>Montante</v>
      </c>
      <c r="AQ680" s="1419">
        <f>IF(OR($L680=AQ$627,$L680="",$D680=$AS$626),MAX(AQ$629:AQ679)+1,0)</f>
        <v>0</v>
      </c>
      <c r="AR680" s="1420">
        <f>IF(OR($L680=AR$627,$L680="",$D680=$AS$626),MAX(AR$629:AR679)+1,0)</f>
        <v>0</v>
      </c>
      <c r="AS680" s="1421">
        <f>IF(OR($L680=AS$627,$L680="",$D680=$AS$626),MAX(AS$629:AS679)+1,0)</f>
        <v>39</v>
      </c>
      <c r="AT680" s="5701"/>
      <c r="AU680" s="961" t="str">
        <f t="shared" si="96"/>
        <v/>
      </c>
      <c r="AV680" s="87" t="str">
        <f t="shared" si="97"/>
        <v/>
      </c>
      <c r="AW680" s="87" t="str">
        <f t="shared" si="98"/>
        <v>Montante</v>
      </c>
      <c r="AX680" s="1419">
        <f>IF(OR($L680=AX$627,$L680="",$D680=$AZ$626),MAX(AX$629:AX679)+1,0)</f>
        <v>0</v>
      </c>
      <c r="AY680" s="1420">
        <f>IF(OR($L680=AY$627,$L680="",$D680=$AZ$626),MAX(AY$629:AY679)+1,0)</f>
        <v>0</v>
      </c>
      <c r="AZ680" s="1421">
        <f>IF(OR($L680=AZ$627,$L680="",$D680=$AZ$626),MAX(AZ$629:AZ679)+1,0)</f>
        <v>39</v>
      </c>
      <c r="BA680" s="5701"/>
      <c r="BB680" s="961" t="str">
        <f t="shared" si="99"/>
        <v/>
      </c>
      <c r="BC680" s="87" t="str">
        <f t="shared" si="100"/>
        <v/>
      </c>
      <c r="BD680" s="87" t="str">
        <f t="shared" si="101"/>
        <v>Montante</v>
      </c>
      <c r="BE680" s="1419">
        <f>IF(OR($L680=BE$627,$L680="",$D680=$BG$626),MAX(BE$629:BE679)+1,0)</f>
        <v>0</v>
      </c>
      <c r="BF680" s="1420">
        <f>IF(OR($L680=BF$627,$L680="",$D680=$BG$626),MAX(BF$629:BF679)+1,0)</f>
        <v>0</v>
      </c>
      <c r="BG680" s="1421">
        <f>IF(OR($L680=BG$627,$L680="",$D680=$BG$626),MAX(BG$629:BG679)+1,0)</f>
        <v>39</v>
      </c>
      <c r="BH680" s="5701"/>
      <c r="BI680" s="961" t="str">
        <f t="shared" si="102"/>
        <v/>
      </c>
      <c r="BJ680" s="87" t="str">
        <f t="shared" si="103"/>
        <v/>
      </c>
      <c r="BK680" s="87" t="str">
        <f t="shared" si="104"/>
        <v>Montante</v>
      </c>
      <c r="BL680" s="1419">
        <f>IF(OR($L680=BL$627,$L680="",$D680=$BN$626),MAX(BL$629:BL679)+1,0)</f>
        <v>0</v>
      </c>
      <c r="BM680" s="1420">
        <f>IF(OR($L680=BM$627,$L680="",$D680=$BN$626),MAX(BM$629:BM679)+1,0)</f>
        <v>0</v>
      </c>
      <c r="BN680" s="1421">
        <f>IF(OR($L680=BN$627,$L680="",$D680=$BN$626),MAX(BN$629:BN679)+1,0)</f>
        <v>39</v>
      </c>
      <c r="BO680" s="5701"/>
      <c r="BP680" s="961" t="str">
        <f t="shared" si="105"/>
        <v/>
      </c>
      <c r="BQ680" s="87" t="str">
        <f t="shared" si="106"/>
        <v/>
      </c>
      <c r="BR680" s="87" t="str">
        <f t="shared" si="107"/>
        <v>Montante</v>
      </c>
      <c r="BS680" s="1419">
        <f>IF(OR($L680=BS$627,$L680="",$D680=$BU$626),MAX(BS$629:BS679)+1,0)</f>
        <v>0</v>
      </c>
      <c r="BT680" s="1420">
        <f>IF(OR($L680=BT$627,$L680="",$D680=$BU$626),MAX(BT$629:BT679)+1,0)</f>
        <v>0</v>
      </c>
      <c r="BU680" s="1421">
        <f>IF(OR($L680=BU$627,$L680="",$D680=$BU$626),MAX(BU$629:BU679)+1,0)</f>
        <v>39</v>
      </c>
    </row>
    <row r="681" spans="1:73" ht="12.75" customHeight="1" x14ac:dyDescent="0.2">
      <c r="A681" s="242">
        <v>681</v>
      </c>
      <c r="B681" s="5664"/>
      <c r="C681" s="1288"/>
      <c r="D681" s="1289" t="s">
        <v>7260</v>
      </c>
      <c r="E681" s="1295">
        <v>35</v>
      </c>
      <c r="F681" s="1287">
        <v>10</v>
      </c>
      <c r="G681" s="1287">
        <v>6</v>
      </c>
      <c r="H681" s="1287">
        <v>6</v>
      </c>
      <c r="I681" s="1287" t="s">
        <v>1560</v>
      </c>
      <c r="J681" s="1287" t="s">
        <v>1464</v>
      </c>
      <c r="K681" s="1281" t="s">
        <v>7524</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2190</v>
      </c>
      <c r="AC681" s="241"/>
      <c r="AD681" s="1536"/>
      <c r="AE681" s="1423"/>
      <c r="AG681" s="961" t="str">
        <f t="shared" si="90"/>
        <v/>
      </c>
      <c r="AH681" s="87" t="str">
        <f t="shared" si="91"/>
        <v/>
      </c>
      <c r="AI681" s="87" t="str">
        <f t="shared" si="92"/>
        <v>Pata</v>
      </c>
      <c r="AJ681" s="1419">
        <f>IF(OR($L681=AJ$627,$L681="",$D681=$AL$626),MAX(AJ$629:AJ680)+1,0)</f>
        <v>0</v>
      </c>
      <c r="AK681" s="1420">
        <f>IF(OR($L681=AK$627,$L681="",$D681=$AL$626),MAX(AK$629:AK680)+1,0)</f>
        <v>0</v>
      </c>
      <c r="AL681" s="1421">
        <f>IF(OR($L681=AL$627,$L681="",$D681=$AL$626),MAX(AL$629:AL680)+1,0)</f>
        <v>40</v>
      </c>
      <c r="AM681" s="5701"/>
      <c r="AN681" s="961" t="str">
        <f t="shared" si="93"/>
        <v/>
      </c>
      <c r="AO681" s="87" t="str">
        <f t="shared" si="94"/>
        <v/>
      </c>
      <c r="AP681" s="87" t="str">
        <f t="shared" si="95"/>
        <v>Pata</v>
      </c>
      <c r="AQ681" s="1419">
        <f>IF(OR($L681=AQ$627,$L681="",$D681=$AS$626),MAX(AQ$629:AQ680)+1,0)</f>
        <v>0</v>
      </c>
      <c r="AR681" s="1420">
        <f>IF(OR($L681=AR$627,$L681="",$D681=$AS$626),MAX(AR$629:AR680)+1,0)</f>
        <v>0</v>
      </c>
      <c r="AS681" s="1421">
        <f>IF(OR($L681=AS$627,$L681="",$D681=$AS$626),MAX(AS$629:AS680)+1,0)</f>
        <v>40</v>
      </c>
      <c r="AT681" s="5701"/>
      <c r="AU681" s="961" t="str">
        <f t="shared" si="96"/>
        <v/>
      </c>
      <c r="AV681" s="87" t="str">
        <f t="shared" si="97"/>
        <v/>
      </c>
      <c r="AW681" s="87" t="str">
        <f t="shared" si="98"/>
        <v>Pata</v>
      </c>
      <c r="AX681" s="1419">
        <f>IF(OR($L681=AX$627,$L681="",$D681=$AZ$626),MAX(AX$629:AX680)+1,0)</f>
        <v>0</v>
      </c>
      <c r="AY681" s="1420">
        <f>IF(OR($L681=AY$627,$L681="",$D681=$AZ$626),MAX(AY$629:AY680)+1,0)</f>
        <v>0</v>
      </c>
      <c r="AZ681" s="1421">
        <f>IF(OR($L681=AZ$627,$L681="",$D681=$AZ$626),MAX(AZ$629:AZ680)+1,0)</f>
        <v>40</v>
      </c>
      <c r="BA681" s="5701"/>
      <c r="BB681" s="961" t="str">
        <f t="shared" si="99"/>
        <v/>
      </c>
      <c r="BC681" s="87" t="str">
        <f t="shared" si="100"/>
        <v/>
      </c>
      <c r="BD681" s="87" t="str">
        <f t="shared" si="101"/>
        <v>Pata</v>
      </c>
      <c r="BE681" s="1419">
        <f>IF(OR($L681=BE$627,$L681="",$D681=$BG$626),MAX(BE$629:BE680)+1,0)</f>
        <v>0</v>
      </c>
      <c r="BF681" s="1420">
        <f>IF(OR($L681=BF$627,$L681="",$D681=$BG$626),MAX(BF$629:BF680)+1,0)</f>
        <v>0</v>
      </c>
      <c r="BG681" s="1421">
        <f>IF(OR($L681=BG$627,$L681="",$D681=$BG$626),MAX(BG$629:BG680)+1,0)</f>
        <v>40</v>
      </c>
      <c r="BH681" s="5701"/>
      <c r="BI681" s="961" t="str">
        <f t="shared" si="102"/>
        <v/>
      </c>
      <c r="BJ681" s="87" t="str">
        <f t="shared" si="103"/>
        <v/>
      </c>
      <c r="BK681" s="87" t="str">
        <f t="shared" si="104"/>
        <v>Pata</v>
      </c>
      <c r="BL681" s="1419">
        <f>IF(OR($L681=BL$627,$L681="",$D681=$BN$626),MAX(BL$629:BL680)+1,0)</f>
        <v>0</v>
      </c>
      <c r="BM681" s="1420">
        <f>IF(OR($L681=BM$627,$L681="",$D681=$BN$626),MAX(BM$629:BM680)+1,0)</f>
        <v>0</v>
      </c>
      <c r="BN681" s="1421">
        <f>IF(OR($L681=BN$627,$L681="",$D681=$BN$626),MAX(BN$629:BN680)+1,0)</f>
        <v>40</v>
      </c>
      <c r="BO681" s="5701"/>
      <c r="BP681" s="961" t="str">
        <f t="shared" si="105"/>
        <v/>
      </c>
      <c r="BQ681" s="87" t="str">
        <f t="shared" si="106"/>
        <v/>
      </c>
      <c r="BR681" s="87" t="str">
        <f t="shared" si="107"/>
        <v>Pata</v>
      </c>
      <c r="BS681" s="1419">
        <f>IF(OR($L681=BS$627,$L681="",$D681=$BU$626),MAX(BS$629:BS680)+1,0)</f>
        <v>0</v>
      </c>
      <c r="BT681" s="1420">
        <f>IF(OR($L681=BT$627,$L681="",$D681=$BU$626),MAX(BT$629:BT680)+1,0)</f>
        <v>0</v>
      </c>
      <c r="BU681" s="1421">
        <f>IF(OR($L681=BU$627,$L681="",$D681=$BU$626),MAX(BU$629:BU680)+1,0)</f>
        <v>40</v>
      </c>
    </row>
    <row r="682" spans="1:73" ht="12.75" customHeight="1" x14ac:dyDescent="0.2">
      <c r="A682" s="242">
        <v>682</v>
      </c>
      <c r="B682" s="5664"/>
      <c r="C682" s="1288"/>
      <c r="D682" s="1289" t="s">
        <v>2183</v>
      </c>
      <c r="E682" s="1295">
        <v>40</v>
      </c>
      <c r="F682" s="1287">
        <v>5</v>
      </c>
      <c r="G682" s="1287">
        <v>4</v>
      </c>
      <c r="H682" s="1287">
        <v>4</v>
      </c>
      <c r="I682" s="1287" t="s">
        <v>1561</v>
      </c>
      <c r="J682" s="1287" t="s">
        <v>1464</v>
      </c>
      <c r="K682" s="1281" t="s">
        <v>7519</v>
      </c>
      <c r="L682" s="1287" t="str">
        <f t="shared" si="109"/>
        <v>Conocida</v>
      </c>
      <c r="M682" s="1296">
        <v>13</v>
      </c>
      <c r="N682" s="1296">
        <v>2</v>
      </c>
      <c r="O682" s="1296">
        <v>25</v>
      </c>
      <c r="P682" s="1287"/>
      <c r="Q682" s="1287"/>
      <c r="R682" s="1296">
        <v>80</v>
      </c>
      <c r="S682" s="1287" t="s">
        <v>1464</v>
      </c>
      <c r="T682" s="1296">
        <v>30</v>
      </c>
      <c r="U682" s="1287"/>
      <c r="V682" s="1281" t="s">
        <v>8856</v>
      </c>
      <c r="W682" s="1281"/>
      <c r="X682" s="1282" t="str">
        <f t="shared" si="89"/>
        <v>Grande</v>
      </c>
      <c r="Z682" s="1418" t="str">
        <f t="shared" si="108"/>
        <v>, Asta/-</v>
      </c>
      <c r="AB682" s="961" t="s">
        <v>2192</v>
      </c>
      <c r="AC682" s="241"/>
      <c r="AD682" s="1536"/>
      <c r="AE682" s="1423"/>
      <c r="AG682" s="961" t="str">
        <f t="shared" si="90"/>
        <v/>
      </c>
      <c r="AH682" s="87" t="str">
        <f t="shared" si="91"/>
        <v/>
      </c>
      <c r="AI682" s="87" t="str">
        <f t="shared" si="92"/>
        <v>Red</v>
      </c>
      <c r="AJ682" s="1419">
        <f>IF(OR($L682=AJ$627,$L682="",$D682=$AL$626),MAX(AJ$629:AJ681)+1,0)</f>
        <v>0</v>
      </c>
      <c r="AK682" s="1420">
        <f>IF(OR($L682=AK$627,$L682="",$D682=$AL$626),MAX(AK$629:AK681)+1,0)</f>
        <v>0</v>
      </c>
      <c r="AL682" s="1421">
        <f>IF(OR($L682=AL$627,$L682="",$D682=$AL$626),MAX(AL$629:AL681)+1,0)</f>
        <v>0</v>
      </c>
      <c r="AM682" s="5701"/>
      <c r="AN682" s="961" t="str">
        <f t="shared" si="93"/>
        <v/>
      </c>
      <c r="AO682" s="87" t="str">
        <f t="shared" si="94"/>
        <v/>
      </c>
      <c r="AP682" s="87" t="str">
        <f t="shared" si="95"/>
        <v>Red</v>
      </c>
      <c r="AQ682" s="1419">
        <f>IF(OR($L682=AQ$627,$L682="",$D682=$AS$626),MAX(AQ$629:AQ681)+1,0)</f>
        <v>0</v>
      </c>
      <c r="AR682" s="1420">
        <f>IF(OR($L682=AR$627,$L682="",$D682=$AS$626),MAX(AR$629:AR681)+1,0)</f>
        <v>0</v>
      </c>
      <c r="AS682" s="1421">
        <f>IF(OR($L682=AS$627,$L682="",$D682=$AS$626),MAX(AS$629:AS681)+1,0)</f>
        <v>0</v>
      </c>
      <c r="AT682" s="5701"/>
      <c r="AU682" s="961" t="str">
        <f t="shared" si="96"/>
        <v/>
      </c>
      <c r="AV682" s="87" t="str">
        <f t="shared" si="97"/>
        <v/>
      </c>
      <c r="AW682" s="87" t="str">
        <f t="shared" si="98"/>
        <v>Red</v>
      </c>
      <c r="AX682" s="1419">
        <f>IF(OR($L682=AX$627,$L682="",$D682=$AZ$626),MAX(AX$629:AX681)+1,0)</f>
        <v>0</v>
      </c>
      <c r="AY682" s="1420">
        <f>IF(OR($L682=AY$627,$L682="",$D682=$AZ$626),MAX(AY$629:AY681)+1,0)</f>
        <v>0</v>
      </c>
      <c r="AZ682" s="1421">
        <f>IF(OR($L682=AZ$627,$L682="",$D682=$AZ$626),MAX(AZ$629:AZ681)+1,0)</f>
        <v>0</v>
      </c>
      <c r="BA682" s="5701"/>
      <c r="BB682" s="961" t="str">
        <f t="shared" si="99"/>
        <v/>
      </c>
      <c r="BC682" s="87" t="str">
        <f t="shared" si="100"/>
        <v/>
      </c>
      <c r="BD682" s="87" t="str">
        <f t="shared" si="101"/>
        <v>Red</v>
      </c>
      <c r="BE682" s="1419">
        <f>IF(OR($L682=BE$627,$L682="",$D682=$BG$626),MAX(BE$629:BE681)+1,0)</f>
        <v>0</v>
      </c>
      <c r="BF682" s="1420">
        <f>IF(OR($L682=BF$627,$L682="",$D682=$BG$626),MAX(BF$629:BF681)+1,0)</f>
        <v>0</v>
      </c>
      <c r="BG682" s="1421">
        <f>IF(OR($L682=BG$627,$L682="",$D682=$BG$626),MAX(BG$629:BG681)+1,0)</f>
        <v>0</v>
      </c>
      <c r="BH682" s="5701"/>
      <c r="BI682" s="961" t="str">
        <f t="shared" si="102"/>
        <v/>
      </c>
      <c r="BJ682" s="87" t="str">
        <f t="shared" si="103"/>
        <v/>
      </c>
      <c r="BK682" s="87" t="str">
        <f t="shared" si="104"/>
        <v>Red</v>
      </c>
      <c r="BL682" s="1419">
        <f>IF(OR($L682=BL$627,$L682="",$D682=$BN$626),MAX(BL$629:BL681)+1,0)</f>
        <v>0</v>
      </c>
      <c r="BM682" s="1420">
        <f>IF(OR($L682=BM$627,$L682="",$D682=$BN$626),MAX(BM$629:BM681)+1,0)</f>
        <v>0</v>
      </c>
      <c r="BN682" s="1421">
        <f>IF(OR($L682=BN$627,$L682="",$D682=$BN$626),MAX(BN$629:BN681)+1,0)</f>
        <v>0</v>
      </c>
      <c r="BO682" s="5701"/>
      <c r="BP682" s="961" t="str">
        <f t="shared" si="105"/>
        <v/>
      </c>
      <c r="BQ682" s="87" t="str">
        <f t="shared" si="106"/>
        <v/>
      </c>
      <c r="BR682" s="87" t="str">
        <f t="shared" si="107"/>
        <v>Red</v>
      </c>
      <c r="BS682" s="1419">
        <f>IF(OR($L682=BS$627,$L682="",$D682=$BU$626),MAX(BS$629:BS681)+1,0)</f>
        <v>0</v>
      </c>
      <c r="BT682" s="1420">
        <f>IF(OR($L682=BT$627,$L682="",$D682=$BU$626),MAX(BT$629:BT681)+1,0)</f>
        <v>0</v>
      </c>
      <c r="BU682" s="1421">
        <f>IF(OR($L682=BU$627,$L682="",$D682=$BU$626),MAX(BU$629:BU681)+1,0)</f>
        <v>0</v>
      </c>
    </row>
    <row r="683" spans="1:73" ht="12.75" customHeight="1" x14ac:dyDescent="0.2">
      <c r="A683" s="242">
        <v>683</v>
      </c>
      <c r="B683" s="5664"/>
      <c r="C683" s="1288"/>
      <c r="D683" s="1289" t="s">
        <v>2184</v>
      </c>
      <c r="E683" s="1295">
        <v>80</v>
      </c>
      <c r="F683" s="1287">
        <v>-30</v>
      </c>
      <c r="G683" s="1287">
        <v>8</v>
      </c>
      <c r="H683" s="1287">
        <v>8</v>
      </c>
      <c r="I683" s="1287" t="s">
        <v>1561</v>
      </c>
      <c r="J683" s="1287" t="s">
        <v>1464</v>
      </c>
      <c r="K683" s="1281" t="s">
        <v>7519</v>
      </c>
      <c r="L683" s="1287" t="str">
        <f t="shared" si="109"/>
        <v>Similar</v>
      </c>
      <c r="M683" s="1296">
        <v>12</v>
      </c>
      <c r="N683" s="1296">
        <v>7</v>
      </c>
      <c r="O683" s="1296">
        <v>25</v>
      </c>
      <c r="P683" s="1287"/>
      <c r="Q683" s="1287"/>
      <c r="R683" s="1287" t="s">
        <v>1464</v>
      </c>
      <c r="S683" s="1287" t="s">
        <v>1464</v>
      </c>
      <c r="T683" s="1287" t="s">
        <v>1464</v>
      </c>
      <c r="U683" s="1287"/>
      <c r="V683" s="1281" t="s">
        <v>2185</v>
      </c>
      <c r="W683" s="1281"/>
      <c r="X683" s="1282" t="str">
        <f t="shared" si="89"/>
        <v>Grande</v>
      </c>
      <c r="Z683" s="1418" t="str">
        <f t="shared" si="108"/>
        <v/>
      </c>
      <c r="AB683" s="961" t="s">
        <v>2193</v>
      </c>
      <c r="AC683" s="241"/>
      <c r="AD683" s="1536"/>
      <c r="AE683" s="1423"/>
      <c r="AG683" s="961" t="str">
        <f t="shared" si="90"/>
        <v/>
      </c>
      <c r="AH683" s="87" t="str">
        <f t="shared" si="91"/>
        <v/>
      </c>
      <c r="AI683" s="87" t="str">
        <f t="shared" si="92"/>
        <v>Sable</v>
      </c>
      <c r="AJ683" s="1419">
        <f>IF(OR($L683=AJ$627,$L683="",$D683=$AL$626),MAX(AJ$629:AJ682)+1,0)</f>
        <v>9</v>
      </c>
      <c r="AK683" s="1420">
        <f>IF(OR($L683=AK$627,$L683="",$D683=$AL$626),MAX(AK$629:AK682)+1,0)</f>
        <v>0</v>
      </c>
      <c r="AL683" s="1421">
        <f>IF(OR($L683=AL$627,$L683="",$D683=$AL$626),MAX(AL$629:AL682)+1,0)</f>
        <v>0</v>
      </c>
      <c r="AM683" s="5701"/>
      <c r="AN683" s="961" t="str">
        <f t="shared" si="93"/>
        <v/>
      </c>
      <c r="AO683" s="87" t="str">
        <f t="shared" si="94"/>
        <v/>
      </c>
      <c r="AP683" s="87" t="str">
        <f t="shared" si="95"/>
        <v>Sable</v>
      </c>
      <c r="AQ683" s="1419">
        <f>IF(OR($L683=AQ$627,$L683="",$D683=$AS$626),MAX(AQ$629:AQ682)+1,0)</f>
        <v>9</v>
      </c>
      <c r="AR683" s="1420">
        <f>IF(OR($L683=AR$627,$L683="",$D683=$AS$626),MAX(AR$629:AR682)+1,0)</f>
        <v>0</v>
      </c>
      <c r="AS683" s="1421">
        <f>IF(OR($L683=AS$627,$L683="",$D683=$AS$626),MAX(AS$629:AS682)+1,0)</f>
        <v>0</v>
      </c>
      <c r="AT683" s="5701"/>
      <c r="AU683" s="961" t="str">
        <f t="shared" si="96"/>
        <v/>
      </c>
      <c r="AV683" s="87" t="str">
        <f t="shared" si="97"/>
        <v/>
      </c>
      <c r="AW683" s="87" t="str">
        <f t="shared" si="98"/>
        <v>Sable</v>
      </c>
      <c r="AX683" s="1419">
        <f>IF(OR($L683=AX$627,$L683="",$D683=$AZ$626),MAX(AX$629:AX682)+1,0)</f>
        <v>9</v>
      </c>
      <c r="AY683" s="1420">
        <f>IF(OR($L683=AY$627,$L683="",$D683=$AZ$626),MAX(AY$629:AY682)+1,0)</f>
        <v>0</v>
      </c>
      <c r="AZ683" s="1421">
        <f>IF(OR($L683=AZ$627,$L683="",$D683=$AZ$626),MAX(AZ$629:AZ682)+1,0)</f>
        <v>0</v>
      </c>
      <c r="BA683" s="5701"/>
      <c r="BB683" s="961" t="str">
        <f t="shared" si="99"/>
        <v/>
      </c>
      <c r="BC683" s="87" t="str">
        <f t="shared" si="100"/>
        <v/>
      </c>
      <c r="BD683" s="87" t="str">
        <f t="shared" si="101"/>
        <v>Sable</v>
      </c>
      <c r="BE683" s="1419">
        <f>IF(OR($L683=BE$627,$L683="",$D683=$BG$626),MAX(BE$629:BE682)+1,0)</f>
        <v>9</v>
      </c>
      <c r="BF683" s="1420">
        <f>IF(OR($L683=BF$627,$L683="",$D683=$BG$626),MAX(BF$629:BF682)+1,0)</f>
        <v>0</v>
      </c>
      <c r="BG683" s="1421">
        <f>IF(OR($L683=BG$627,$L683="",$D683=$BG$626),MAX(BG$629:BG682)+1,0)</f>
        <v>0</v>
      </c>
      <c r="BH683" s="5701"/>
      <c r="BI683" s="961" t="str">
        <f t="shared" si="102"/>
        <v/>
      </c>
      <c r="BJ683" s="87" t="str">
        <f t="shared" si="103"/>
        <v/>
      </c>
      <c r="BK683" s="87" t="str">
        <f t="shared" si="104"/>
        <v>Sable</v>
      </c>
      <c r="BL683" s="1419">
        <f>IF(OR($L683=BL$627,$L683="",$D683=$BN$626),MAX(BL$629:BL682)+1,0)</f>
        <v>9</v>
      </c>
      <c r="BM683" s="1420">
        <f>IF(OR($L683=BM$627,$L683="",$D683=$BN$626),MAX(BM$629:BM682)+1,0)</f>
        <v>0</v>
      </c>
      <c r="BN683" s="1421">
        <f>IF(OR($L683=BN$627,$L683="",$D683=$BN$626),MAX(BN$629:BN682)+1,0)</f>
        <v>0</v>
      </c>
      <c r="BO683" s="5701"/>
      <c r="BP683" s="961" t="str">
        <f t="shared" si="105"/>
        <v/>
      </c>
      <c r="BQ683" s="87" t="str">
        <f t="shared" si="106"/>
        <v/>
      </c>
      <c r="BR683" s="87" t="str">
        <f t="shared" si="107"/>
        <v>Sable</v>
      </c>
      <c r="BS683" s="1419">
        <f>IF(OR($L683=BS$627,$L683="",$D683=$BU$626),MAX(BS$629:BS682)+1,0)</f>
        <v>9</v>
      </c>
      <c r="BT683" s="1420">
        <f>IF(OR($L683=BT$627,$L683="",$D683=$BU$626),MAX(BT$629:BT682)+1,0)</f>
        <v>0</v>
      </c>
      <c r="BU683" s="1421">
        <f>IF(OR($L683=BU$627,$L683="",$D683=$BU$626),MAX(BU$629:BU682)+1,0)</f>
        <v>0</v>
      </c>
    </row>
    <row r="684" spans="1:73" ht="12.75" customHeight="1" x14ac:dyDescent="0.2">
      <c r="A684" s="242">
        <v>684</v>
      </c>
      <c r="B684" s="5664"/>
      <c r="C684" s="1288"/>
      <c r="D684" s="1289" t="s">
        <v>2186</v>
      </c>
      <c r="E684" s="1295">
        <v>35</v>
      </c>
      <c r="F684" s="1287">
        <v>-20</v>
      </c>
      <c r="G684" s="1287">
        <v>4</v>
      </c>
      <c r="H684" s="1287">
        <v>4</v>
      </c>
      <c r="I684" s="1287" t="s">
        <v>1560</v>
      </c>
      <c r="J684" s="1287" t="s">
        <v>1506</v>
      </c>
      <c r="K684" s="1281" t="s">
        <v>7523</v>
      </c>
      <c r="L684" s="1287" t="str">
        <f t="shared" si="109"/>
        <v>Distinta</v>
      </c>
      <c r="M684" s="1296">
        <v>9</v>
      </c>
      <c r="N684" s="1296">
        <v>-3</v>
      </c>
      <c r="O684" s="1296">
        <v>20</v>
      </c>
      <c r="P684" s="1287"/>
      <c r="Q684" s="1287"/>
      <c r="R684" s="1287" t="s">
        <v>1464</v>
      </c>
      <c r="S684" s="1287" t="s">
        <v>1464</v>
      </c>
      <c r="T684" s="1287" t="s">
        <v>1464</v>
      </c>
      <c r="U684" s="1287"/>
      <c r="V684" s="1281" t="s">
        <v>2187</v>
      </c>
      <c r="W684" s="1281"/>
      <c r="X684" s="1282" t="str">
        <f t="shared" si="89"/>
        <v>Mediana</v>
      </c>
      <c r="Z684" s="1418" t="str">
        <f t="shared" si="108"/>
        <v/>
      </c>
      <c r="AB684" s="961" t="s">
        <v>7243</v>
      </c>
      <c r="AC684" s="241"/>
      <c r="AD684" s="1536"/>
      <c r="AE684" s="1423"/>
      <c r="AG684" s="961" t="str">
        <f t="shared" si="90"/>
        <v/>
      </c>
      <c r="AH684" s="87" t="str">
        <f t="shared" si="91"/>
        <v/>
      </c>
      <c r="AI684" s="87" t="str">
        <f t="shared" si="92"/>
        <v>Shang Gou</v>
      </c>
      <c r="AJ684" s="1419">
        <f>IF(OR($L684=AJ$627,$L684="",$D684=$AL$626),MAX(AJ$629:AJ683)+1,0)</f>
        <v>0</v>
      </c>
      <c r="AK684" s="1420">
        <f>IF(OR($L684=AK$627,$L684="",$D684=$AL$626),MAX(AK$629:AK683)+1,0)</f>
        <v>0</v>
      </c>
      <c r="AL684" s="1421">
        <f>IF(OR($L684=AL$627,$L684="",$D684=$AL$626),MAX(AL$629:AL683)+1,0)</f>
        <v>41</v>
      </c>
      <c r="AM684" s="5701"/>
      <c r="AN684" s="961" t="str">
        <f t="shared" si="93"/>
        <v/>
      </c>
      <c r="AO684" s="87" t="str">
        <f t="shared" si="94"/>
        <v/>
      </c>
      <c r="AP684" s="87" t="str">
        <f t="shared" si="95"/>
        <v>Shang Gou</v>
      </c>
      <c r="AQ684" s="1419">
        <f>IF(OR($L684=AQ$627,$L684="",$D684=$AS$626),MAX(AQ$629:AQ683)+1,0)</f>
        <v>0</v>
      </c>
      <c r="AR684" s="1420">
        <f>IF(OR($L684=AR$627,$L684="",$D684=$AS$626),MAX(AR$629:AR683)+1,0)</f>
        <v>0</v>
      </c>
      <c r="AS684" s="1421">
        <f>IF(OR($L684=AS$627,$L684="",$D684=$AS$626),MAX(AS$629:AS683)+1,0)</f>
        <v>41</v>
      </c>
      <c r="AT684" s="5701"/>
      <c r="AU684" s="961" t="str">
        <f t="shared" si="96"/>
        <v/>
      </c>
      <c r="AV684" s="87" t="str">
        <f t="shared" si="97"/>
        <v/>
      </c>
      <c r="AW684" s="87" t="str">
        <f t="shared" si="98"/>
        <v>Shang Gou</v>
      </c>
      <c r="AX684" s="1419">
        <f>IF(OR($L684=AX$627,$L684="",$D684=$AZ$626),MAX(AX$629:AX683)+1,0)</f>
        <v>0</v>
      </c>
      <c r="AY684" s="1420">
        <f>IF(OR($L684=AY$627,$L684="",$D684=$AZ$626),MAX(AY$629:AY683)+1,0)</f>
        <v>0</v>
      </c>
      <c r="AZ684" s="1421">
        <f>IF(OR($L684=AZ$627,$L684="",$D684=$AZ$626),MAX(AZ$629:AZ683)+1,0)</f>
        <v>41</v>
      </c>
      <c r="BA684" s="5701"/>
      <c r="BB684" s="961" t="str">
        <f t="shared" si="99"/>
        <v/>
      </c>
      <c r="BC684" s="87" t="str">
        <f t="shared" si="100"/>
        <v/>
      </c>
      <c r="BD684" s="87" t="str">
        <f t="shared" si="101"/>
        <v>Shang Gou</v>
      </c>
      <c r="BE684" s="1419">
        <f>IF(OR($L684=BE$627,$L684="",$D684=$BG$626),MAX(BE$629:BE683)+1,0)</f>
        <v>0</v>
      </c>
      <c r="BF684" s="1420">
        <f>IF(OR($L684=BF$627,$L684="",$D684=$BG$626),MAX(BF$629:BF683)+1,0)</f>
        <v>0</v>
      </c>
      <c r="BG684" s="1421">
        <f>IF(OR($L684=BG$627,$L684="",$D684=$BG$626),MAX(BG$629:BG683)+1,0)</f>
        <v>41</v>
      </c>
      <c r="BH684" s="5701"/>
      <c r="BI684" s="961" t="str">
        <f t="shared" si="102"/>
        <v/>
      </c>
      <c r="BJ684" s="87" t="str">
        <f t="shared" si="103"/>
        <v/>
      </c>
      <c r="BK684" s="87" t="str">
        <f t="shared" si="104"/>
        <v>Shang Gou</v>
      </c>
      <c r="BL684" s="1419">
        <f>IF(OR($L684=BL$627,$L684="",$D684=$BN$626),MAX(BL$629:BL683)+1,0)</f>
        <v>0</v>
      </c>
      <c r="BM684" s="1420">
        <f>IF(OR($L684=BM$627,$L684="",$D684=$BN$626),MAX(BM$629:BM683)+1,0)</f>
        <v>0</v>
      </c>
      <c r="BN684" s="1421">
        <f>IF(OR($L684=BN$627,$L684="",$D684=$BN$626),MAX(BN$629:BN683)+1,0)</f>
        <v>41</v>
      </c>
      <c r="BO684" s="5701"/>
      <c r="BP684" s="961" t="str">
        <f t="shared" si="105"/>
        <v/>
      </c>
      <c r="BQ684" s="87" t="str">
        <f t="shared" si="106"/>
        <v/>
      </c>
      <c r="BR684" s="87" t="str">
        <f t="shared" si="107"/>
        <v>Shang Gou</v>
      </c>
      <c r="BS684" s="1419">
        <f>IF(OR($L684=BS$627,$L684="",$D684=$BU$626),MAX(BS$629:BS683)+1,0)</f>
        <v>0</v>
      </c>
      <c r="BT684" s="1420">
        <f>IF(OR($L684=BT$627,$L684="",$D684=$BU$626),MAX(BT$629:BT683)+1,0)</f>
        <v>0</v>
      </c>
      <c r="BU684" s="1421">
        <f>IF(OR($L684=BU$627,$L684="",$D684=$BU$626),MAX(BU$629:BU683)+1,0)</f>
        <v>41</v>
      </c>
    </row>
    <row r="685" spans="1:73" ht="12.75" customHeight="1" x14ac:dyDescent="0.2">
      <c r="A685" s="242">
        <v>685</v>
      </c>
      <c r="B685" s="5664"/>
      <c r="C685" s="1288"/>
      <c r="D685" s="1289" t="s">
        <v>2188</v>
      </c>
      <c r="E685" s="1295">
        <v>5</v>
      </c>
      <c r="F685" s="1287">
        <v>10</v>
      </c>
      <c r="G685" s="1287">
        <v>4</v>
      </c>
      <c r="H685" s="1287">
        <v>4</v>
      </c>
      <c r="I685" s="1287" t="s">
        <v>1506</v>
      </c>
      <c r="J685" s="1287" t="s">
        <v>1464</v>
      </c>
      <c r="K685" s="1281" t="s">
        <v>7523</v>
      </c>
      <c r="L685" s="1287" t="str">
        <f t="shared" si="109"/>
        <v>Distinta</v>
      </c>
      <c r="M685" s="1296">
        <v>9</v>
      </c>
      <c r="N685" s="1296">
        <v>-4</v>
      </c>
      <c r="O685" s="1296">
        <v>20</v>
      </c>
      <c r="P685" s="1287"/>
      <c r="Q685" s="1287"/>
      <c r="R685" s="1287" t="s">
        <v>1464</v>
      </c>
      <c r="S685" s="1287" t="s">
        <v>1464</v>
      </c>
      <c r="T685" s="1287" t="s">
        <v>1464</v>
      </c>
      <c r="U685" s="1287"/>
      <c r="V685" s="1281" t="s">
        <v>2189</v>
      </c>
      <c r="W685" s="1281"/>
      <c r="X685" s="1282" t="str">
        <f t="shared" si="89"/>
        <v>Mediana</v>
      </c>
      <c r="Z685" s="1418" t="str">
        <f t="shared" si="108"/>
        <v/>
      </c>
      <c r="AB685" s="961" t="s">
        <v>2194</v>
      </c>
      <c r="AC685" s="241"/>
      <c r="AD685" s="1536"/>
      <c r="AE685" s="1423"/>
      <c r="AG685" s="961" t="str">
        <f t="shared" si="90"/>
        <v/>
      </c>
      <c r="AH685" s="87" t="str">
        <f t="shared" si="91"/>
        <v/>
      </c>
      <c r="AI685" s="87" t="str">
        <f t="shared" si="92"/>
        <v>Spatha</v>
      </c>
      <c r="AJ685" s="1419">
        <f>IF(OR($L685=AJ$627,$L685="",$D685=$AL$626),MAX(AJ$629:AJ684)+1,0)</f>
        <v>0</v>
      </c>
      <c r="AK685" s="1420">
        <f>IF(OR($L685=AK$627,$L685="",$D685=$AL$626),MAX(AK$629:AK684)+1,0)</f>
        <v>0</v>
      </c>
      <c r="AL685" s="1421">
        <f>IF(OR($L685=AL$627,$L685="",$D685=$AL$626),MAX(AL$629:AL684)+1,0)</f>
        <v>42</v>
      </c>
      <c r="AM685" s="5701"/>
      <c r="AN685" s="961" t="str">
        <f t="shared" si="93"/>
        <v/>
      </c>
      <c r="AO685" s="87" t="str">
        <f t="shared" si="94"/>
        <v/>
      </c>
      <c r="AP685" s="87" t="str">
        <f t="shared" si="95"/>
        <v>Spatha</v>
      </c>
      <c r="AQ685" s="1419">
        <f>IF(OR($L685=AQ$627,$L685="",$D685=$AS$626),MAX(AQ$629:AQ684)+1,0)</f>
        <v>0</v>
      </c>
      <c r="AR685" s="1420">
        <f>IF(OR($L685=AR$627,$L685="",$D685=$AS$626),MAX(AR$629:AR684)+1,0)</f>
        <v>0</v>
      </c>
      <c r="AS685" s="1421">
        <f>IF(OR($L685=AS$627,$L685="",$D685=$AS$626),MAX(AS$629:AS684)+1,0)</f>
        <v>42</v>
      </c>
      <c r="AT685" s="5701"/>
      <c r="AU685" s="961" t="str">
        <f t="shared" si="96"/>
        <v/>
      </c>
      <c r="AV685" s="87" t="str">
        <f t="shared" si="97"/>
        <v/>
      </c>
      <c r="AW685" s="87" t="str">
        <f t="shared" si="98"/>
        <v>Spatha</v>
      </c>
      <c r="AX685" s="1419">
        <f>IF(OR($L685=AX$627,$L685="",$D685=$AZ$626),MAX(AX$629:AX684)+1,0)</f>
        <v>0</v>
      </c>
      <c r="AY685" s="1420">
        <f>IF(OR($L685=AY$627,$L685="",$D685=$AZ$626),MAX(AY$629:AY684)+1,0)</f>
        <v>0</v>
      </c>
      <c r="AZ685" s="1421">
        <f>IF(OR($L685=AZ$627,$L685="",$D685=$AZ$626),MAX(AZ$629:AZ684)+1,0)</f>
        <v>42</v>
      </c>
      <c r="BA685" s="5701"/>
      <c r="BB685" s="961" t="str">
        <f t="shared" si="99"/>
        <v/>
      </c>
      <c r="BC685" s="87" t="str">
        <f t="shared" si="100"/>
        <v/>
      </c>
      <c r="BD685" s="87" t="str">
        <f t="shared" si="101"/>
        <v>Spatha</v>
      </c>
      <c r="BE685" s="1419">
        <f>IF(OR($L685=BE$627,$L685="",$D685=$BG$626),MAX(BE$629:BE684)+1,0)</f>
        <v>0</v>
      </c>
      <c r="BF685" s="1420">
        <f>IF(OR($L685=BF$627,$L685="",$D685=$BG$626),MAX(BF$629:BF684)+1,0)</f>
        <v>0</v>
      </c>
      <c r="BG685" s="1421">
        <f>IF(OR($L685=BG$627,$L685="",$D685=$BG$626),MAX(BG$629:BG684)+1,0)</f>
        <v>42</v>
      </c>
      <c r="BH685" s="5701"/>
      <c r="BI685" s="961" t="str">
        <f t="shared" si="102"/>
        <v/>
      </c>
      <c r="BJ685" s="87" t="str">
        <f t="shared" si="103"/>
        <v/>
      </c>
      <c r="BK685" s="87" t="str">
        <f t="shared" si="104"/>
        <v>Spatha</v>
      </c>
      <c r="BL685" s="1419">
        <f>IF(OR($L685=BL$627,$L685="",$D685=$BN$626),MAX(BL$629:BL684)+1,0)</f>
        <v>0</v>
      </c>
      <c r="BM685" s="1420">
        <f>IF(OR($L685=BM$627,$L685="",$D685=$BN$626),MAX(BM$629:BM684)+1,0)</f>
        <v>0</v>
      </c>
      <c r="BN685" s="1421">
        <f>IF(OR($L685=BN$627,$L685="",$D685=$BN$626),MAX(BN$629:BN684)+1,0)</f>
        <v>42</v>
      </c>
      <c r="BO685" s="5701"/>
      <c r="BP685" s="961" t="str">
        <f t="shared" si="105"/>
        <v/>
      </c>
      <c r="BQ685" s="87" t="str">
        <f t="shared" si="106"/>
        <v/>
      </c>
      <c r="BR685" s="87" t="str">
        <f t="shared" si="107"/>
        <v>Spatha</v>
      </c>
      <c r="BS685" s="1419">
        <f>IF(OR($L685=BS$627,$L685="",$D685=$BU$626),MAX(BS$629:BS684)+1,0)</f>
        <v>0</v>
      </c>
      <c r="BT685" s="1420">
        <f>IF(OR($L685=BT$627,$L685="",$D685=$BU$626),MAX(BT$629:BT684)+1,0)</f>
        <v>0</v>
      </c>
      <c r="BU685" s="1421">
        <f>IF(OR($L685=BU$627,$L685="",$D685=$BU$626),MAX(BU$629:BU684)+1,0)</f>
        <v>42</v>
      </c>
    </row>
    <row r="686" spans="1:73" ht="12.75" customHeight="1" x14ac:dyDescent="0.2">
      <c r="A686" s="242">
        <v>686</v>
      </c>
      <c r="B686" s="5664"/>
      <c r="C686" s="1288"/>
      <c r="D686" s="1289" t="s">
        <v>7242</v>
      </c>
      <c r="E686" s="1295">
        <v>30</v>
      </c>
      <c r="F686" s="1287">
        <v>15</v>
      </c>
      <c r="G686" s="1287">
        <v>5</v>
      </c>
      <c r="H686" s="1287">
        <v>5</v>
      </c>
      <c r="I686" s="1287" t="s">
        <v>1506</v>
      </c>
      <c r="J686" s="1287" t="s">
        <v>1464</v>
      </c>
      <c r="K686" s="1281" t="s">
        <v>7523</v>
      </c>
      <c r="L686" s="1287" t="str">
        <f t="shared" si="109"/>
        <v>Distinta</v>
      </c>
      <c r="M686" s="1296">
        <v>8</v>
      </c>
      <c r="N686" s="1296">
        <v>1</v>
      </c>
      <c r="O686" s="1296">
        <v>15</v>
      </c>
      <c r="P686" s="1287"/>
      <c r="Q686" s="1287"/>
      <c r="R686" s="1287" t="s">
        <v>1464</v>
      </c>
      <c r="S686" s="1287" t="s">
        <v>1464</v>
      </c>
      <c r="T686" s="1287" t="s">
        <v>1464</v>
      </c>
      <c r="U686" s="1287"/>
      <c r="V686" s="1281" t="s">
        <v>7282</v>
      </c>
      <c r="W686" s="1281"/>
      <c r="X686" s="1282" t="str">
        <f t="shared" si="89"/>
        <v>Mediana</v>
      </c>
      <c r="Z686" s="1418" t="str">
        <f t="shared" si="108"/>
        <v/>
      </c>
      <c r="AB686" s="961" t="s">
        <v>2195</v>
      </c>
      <c r="AC686" s="241"/>
      <c r="AD686" s="1536"/>
      <c r="AE686" s="1423"/>
      <c r="AG686" s="961" t="str">
        <f t="shared" si="90"/>
        <v/>
      </c>
      <c r="AH686" s="87" t="str">
        <f t="shared" si="91"/>
        <v/>
      </c>
      <c r="AI686" s="87" t="str">
        <f t="shared" si="92"/>
        <v>Turcus</v>
      </c>
      <c r="AJ686" s="1419">
        <f>IF(OR($L686=AJ$627,$L686="",$D686=$AL$626),MAX(AJ$629:AJ685)+1,0)</f>
        <v>0</v>
      </c>
      <c r="AK686" s="1420">
        <f>IF(OR($L686=AK$627,$L686="",$D686=$AL$626),MAX(AK$629:AK685)+1,0)</f>
        <v>0</v>
      </c>
      <c r="AL686" s="1421">
        <f>IF(OR($L686=AL$627,$L686="",$D686=$AL$626),MAX(AL$629:AL685)+1,0)</f>
        <v>43</v>
      </c>
      <c r="AM686" s="5701"/>
      <c r="AN686" s="961" t="str">
        <f t="shared" si="93"/>
        <v/>
      </c>
      <c r="AO686" s="87" t="str">
        <f t="shared" si="94"/>
        <v/>
      </c>
      <c r="AP686" s="87" t="str">
        <f t="shared" si="95"/>
        <v>Turcus</v>
      </c>
      <c r="AQ686" s="1419">
        <f>IF(OR($L686=AQ$627,$L686="",$D686=$AS$626),MAX(AQ$629:AQ685)+1,0)</f>
        <v>0</v>
      </c>
      <c r="AR686" s="1420">
        <f>IF(OR($L686=AR$627,$L686="",$D686=$AS$626),MAX(AR$629:AR685)+1,0)</f>
        <v>0</v>
      </c>
      <c r="AS686" s="1421">
        <f>IF(OR($L686=AS$627,$L686="",$D686=$AS$626),MAX(AS$629:AS685)+1,0)</f>
        <v>43</v>
      </c>
      <c r="AT686" s="5701"/>
      <c r="AU686" s="961" t="str">
        <f t="shared" si="96"/>
        <v/>
      </c>
      <c r="AV686" s="87" t="str">
        <f t="shared" si="97"/>
        <v/>
      </c>
      <c r="AW686" s="87" t="str">
        <f t="shared" si="98"/>
        <v>Turcus</v>
      </c>
      <c r="AX686" s="1419">
        <f>IF(OR($L686=AX$627,$L686="",$D686=$AZ$626),MAX(AX$629:AX685)+1,0)</f>
        <v>0</v>
      </c>
      <c r="AY686" s="1420">
        <f>IF(OR($L686=AY$627,$L686="",$D686=$AZ$626),MAX(AY$629:AY685)+1,0)</f>
        <v>0</v>
      </c>
      <c r="AZ686" s="1421">
        <f>IF(OR($L686=AZ$627,$L686="",$D686=$AZ$626),MAX(AZ$629:AZ685)+1,0)</f>
        <v>43</v>
      </c>
      <c r="BA686" s="5701"/>
      <c r="BB686" s="961" t="str">
        <f t="shared" si="99"/>
        <v/>
      </c>
      <c r="BC686" s="87" t="str">
        <f t="shared" si="100"/>
        <v/>
      </c>
      <c r="BD686" s="87" t="str">
        <f t="shared" si="101"/>
        <v>Turcus</v>
      </c>
      <c r="BE686" s="1419">
        <f>IF(OR($L686=BE$627,$L686="",$D686=$BG$626),MAX(BE$629:BE685)+1,0)</f>
        <v>0</v>
      </c>
      <c r="BF686" s="1420">
        <f>IF(OR($L686=BF$627,$L686="",$D686=$BG$626),MAX(BF$629:BF685)+1,0)</f>
        <v>0</v>
      </c>
      <c r="BG686" s="1421">
        <f>IF(OR($L686=BG$627,$L686="",$D686=$BG$626),MAX(BG$629:BG685)+1,0)</f>
        <v>43</v>
      </c>
      <c r="BH686" s="5701"/>
      <c r="BI686" s="961" t="str">
        <f t="shared" si="102"/>
        <v/>
      </c>
      <c r="BJ686" s="87" t="str">
        <f t="shared" si="103"/>
        <v/>
      </c>
      <c r="BK686" s="87" t="str">
        <f t="shared" si="104"/>
        <v>Turcus</v>
      </c>
      <c r="BL686" s="1419">
        <f>IF(OR($L686=BL$627,$L686="",$D686=$BN$626),MAX(BL$629:BL685)+1,0)</f>
        <v>0</v>
      </c>
      <c r="BM686" s="1420">
        <f>IF(OR($L686=BM$627,$L686="",$D686=$BN$626),MAX(BM$629:BM685)+1,0)</f>
        <v>0</v>
      </c>
      <c r="BN686" s="1421">
        <f>IF(OR($L686=BN$627,$L686="",$D686=$BN$626),MAX(BN$629:BN685)+1,0)</f>
        <v>43</v>
      </c>
      <c r="BO686" s="5701"/>
      <c r="BP686" s="961" t="str">
        <f t="shared" si="105"/>
        <v/>
      </c>
      <c r="BQ686" s="87" t="str">
        <f t="shared" si="106"/>
        <v/>
      </c>
      <c r="BR686" s="87" t="str">
        <f t="shared" si="107"/>
        <v>Turcus</v>
      </c>
      <c r="BS686" s="1419">
        <f>IF(OR($L686=BS$627,$L686="",$D686=$BU$626),MAX(BS$629:BS685)+1,0)</f>
        <v>0</v>
      </c>
      <c r="BT686" s="1420">
        <f>IF(OR($L686=BT$627,$L686="",$D686=$BU$626),MAX(BT$629:BT685)+1,0)</f>
        <v>0</v>
      </c>
      <c r="BU686" s="1421">
        <f>IF(OR($L686=BU$627,$L686="",$D686=$BU$626),MAX(BU$629:BU685)+1,0)</f>
        <v>43</v>
      </c>
    </row>
    <row r="687" spans="1:73" ht="12.75" customHeight="1" x14ac:dyDescent="0.2">
      <c r="A687" s="242">
        <v>687</v>
      </c>
      <c r="B687" s="5664"/>
      <c r="C687" s="1288"/>
      <c r="D687" s="1289" t="s">
        <v>7261</v>
      </c>
      <c r="E687" s="1295">
        <v>25</v>
      </c>
      <c r="F687" s="1287">
        <v>20</v>
      </c>
      <c r="G687" s="1287">
        <v>5</v>
      </c>
      <c r="H687" s="1287">
        <v>5</v>
      </c>
      <c r="I687" s="1287" t="s">
        <v>1560</v>
      </c>
      <c r="J687" s="1287" t="s">
        <v>1464</v>
      </c>
      <c r="K687" s="1281" t="s">
        <v>7524</v>
      </c>
      <c r="L687" s="1287" t="str">
        <f t="shared" si="109"/>
        <v>Distinta</v>
      </c>
      <c r="M687" s="1296">
        <v>12</v>
      </c>
      <c r="N687" s="1296">
        <v>5</v>
      </c>
      <c r="O687" s="1296">
        <v>15</v>
      </c>
      <c r="P687" s="1287"/>
      <c r="Q687" s="1287"/>
      <c r="R687" s="1287" t="s">
        <v>1464</v>
      </c>
      <c r="S687" s="1287" t="s">
        <v>1464</v>
      </c>
      <c r="T687" s="1287" t="s">
        <v>1464</v>
      </c>
      <c r="U687" s="1287"/>
      <c r="V687" s="1281" t="s">
        <v>7283</v>
      </c>
      <c r="W687" s="1281"/>
      <c r="X687" s="1282" t="str">
        <f t="shared" si="89"/>
        <v>Pequeña</v>
      </c>
      <c r="Z687" s="1418" t="str">
        <f t="shared" si="108"/>
        <v/>
      </c>
      <c r="AB687" s="961" t="s">
        <v>7262</v>
      </c>
      <c r="AC687" s="241"/>
      <c r="AD687" s="1536"/>
      <c r="AE687" s="1423"/>
      <c r="AG687" s="961" t="str">
        <f t="shared" si="90"/>
        <v/>
      </c>
      <c r="AH687" s="87" t="str">
        <f t="shared" si="91"/>
        <v/>
      </c>
      <c r="AI687" s="87" t="str">
        <f t="shared" si="92"/>
        <v>Urumi</v>
      </c>
      <c r="AJ687" s="1419">
        <f>IF(OR($L687=AJ$627,$L687="",$D687=$AL$626),MAX(AJ$629:AJ686)+1,0)</f>
        <v>0</v>
      </c>
      <c r="AK687" s="1420">
        <f>IF(OR($L687=AK$627,$L687="",$D687=$AL$626),MAX(AK$629:AK686)+1,0)</f>
        <v>0</v>
      </c>
      <c r="AL687" s="1421">
        <f>IF(OR($L687=AL$627,$L687="",$D687=$AL$626),MAX(AL$629:AL686)+1,0)</f>
        <v>44</v>
      </c>
      <c r="AM687" s="5701"/>
      <c r="AN687" s="961" t="str">
        <f t="shared" si="93"/>
        <v/>
      </c>
      <c r="AO687" s="87" t="str">
        <f t="shared" si="94"/>
        <v/>
      </c>
      <c r="AP687" s="87" t="str">
        <f t="shared" si="95"/>
        <v>Urumi</v>
      </c>
      <c r="AQ687" s="1419">
        <f>IF(OR($L687=AQ$627,$L687="",$D687=$AS$626),MAX(AQ$629:AQ686)+1,0)</f>
        <v>0</v>
      </c>
      <c r="AR687" s="1420">
        <f>IF(OR($L687=AR$627,$L687="",$D687=$AS$626),MAX(AR$629:AR686)+1,0)</f>
        <v>0</v>
      </c>
      <c r="AS687" s="1421">
        <f>IF(OR($L687=AS$627,$L687="",$D687=$AS$626),MAX(AS$629:AS686)+1,0)</f>
        <v>44</v>
      </c>
      <c r="AT687" s="5701"/>
      <c r="AU687" s="961" t="str">
        <f t="shared" si="96"/>
        <v/>
      </c>
      <c r="AV687" s="87" t="str">
        <f t="shared" si="97"/>
        <v/>
      </c>
      <c r="AW687" s="87" t="str">
        <f t="shared" si="98"/>
        <v>Urumi</v>
      </c>
      <c r="AX687" s="1419">
        <f>IF(OR($L687=AX$627,$L687="",$D687=$AZ$626),MAX(AX$629:AX686)+1,0)</f>
        <v>0</v>
      </c>
      <c r="AY687" s="1420">
        <f>IF(OR($L687=AY$627,$L687="",$D687=$AZ$626),MAX(AY$629:AY686)+1,0)</f>
        <v>0</v>
      </c>
      <c r="AZ687" s="1421">
        <f>IF(OR($L687=AZ$627,$L687="",$D687=$AZ$626),MAX(AZ$629:AZ686)+1,0)</f>
        <v>44</v>
      </c>
      <c r="BA687" s="5701"/>
      <c r="BB687" s="961" t="str">
        <f t="shared" si="99"/>
        <v/>
      </c>
      <c r="BC687" s="87" t="str">
        <f t="shared" si="100"/>
        <v/>
      </c>
      <c r="BD687" s="87" t="str">
        <f t="shared" si="101"/>
        <v>Urumi</v>
      </c>
      <c r="BE687" s="1419">
        <f>IF(OR($L687=BE$627,$L687="",$D687=$BG$626),MAX(BE$629:BE686)+1,0)</f>
        <v>0</v>
      </c>
      <c r="BF687" s="1420">
        <f>IF(OR($L687=BF$627,$L687="",$D687=$BG$626),MAX(BF$629:BF686)+1,0)</f>
        <v>0</v>
      </c>
      <c r="BG687" s="1421">
        <f>IF(OR($L687=BG$627,$L687="",$D687=$BG$626),MAX(BG$629:BG686)+1,0)</f>
        <v>44</v>
      </c>
      <c r="BH687" s="5701"/>
      <c r="BI687" s="961" t="str">
        <f t="shared" si="102"/>
        <v/>
      </c>
      <c r="BJ687" s="87" t="str">
        <f t="shared" si="103"/>
        <v/>
      </c>
      <c r="BK687" s="87" t="str">
        <f t="shared" si="104"/>
        <v>Urumi</v>
      </c>
      <c r="BL687" s="1419">
        <f>IF(OR($L687=BL$627,$L687="",$D687=$BN$626),MAX(BL$629:BL686)+1,0)</f>
        <v>0</v>
      </c>
      <c r="BM687" s="1420">
        <f>IF(OR($L687=BM$627,$L687="",$D687=$BN$626),MAX(BM$629:BM686)+1,0)</f>
        <v>0</v>
      </c>
      <c r="BN687" s="1421">
        <f>IF(OR($L687=BN$627,$L687="",$D687=$BN$626),MAX(BN$629:BN686)+1,0)</f>
        <v>44</v>
      </c>
      <c r="BO687" s="5701"/>
      <c r="BP687" s="961" t="str">
        <f t="shared" si="105"/>
        <v/>
      </c>
      <c r="BQ687" s="87" t="str">
        <f t="shared" si="106"/>
        <v/>
      </c>
      <c r="BR687" s="87" t="str">
        <f t="shared" si="107"/>
        <v>Urumi</v>
      </c>
      <c r="BS687" s="1419">
        <f>IF(OR($L687=BS$627,$L687="",$D687=$BU$626),MAX(BS$629:BS686)+1,0)</f>
        <v>0</v>
      </c>
      <c r="BT687" s="1420">
        <f>IF(OR($L687=BT$627,$L687="",$D687=$BU$626),MAX(BT$629:BT686)+1,0)</f>
        <v>0</v>
      </c>
      <c r="BU687" s="1421">
        <f>IF(OR($L687=BU$627,$L687="",$D687=$BU$626),MAX(BU$629:BU686)+1,0)</f>
        <v>44</v>
      </c>
    </row>
    <row r="688" spans="1:73" ht="12.75" customHeight="1" x14ac:dyDescent="0.2">
      <c r="A688" s="242">
        <v>688</v>
      </c>
      <c r="B688" s="5664"/>
      <c r="C688" s="1288"/>
      <c r="D688" s="1289" t="s">
        <v>2190</v>
      </c>
      <c r="E688" s="1295">
        <v>80</v>
      </c>
      <c r="F688" s="1287">
        <v>-50</v>
      </c>
      <c r="G688" s="1287">
        <v>10</v>
      </c>
      <c r="H688" s="1287">
        <v>8</v>
      </c>
      <c r="I688" s="1287" t="s">
        <v>1506</v>
      </c>
      <c r="J688" s="1287" t="s">
        <v>1464</v>
      </c>
      <c r="K688" s="1281" t="s">
        <v>7532</v>
      </c>
      <c r="L688" s="1287" t="str">
        <f t="shared" si="109"/>
        <v>Distinta</v>
      </c>
      <c r="M688" s="1296">
        <v>14</v>
      </c>
      <c r="N688" s="1296">
        <v>6</v>
      </c>
      <c r="O688" s="1296">
        <v>20</v>
      </c>
      <c r="P688" s="1287"/>
      <c r="Q688" s="1287"/>
      <c r="R688" s="1287" t="s">
        <v>1464</v>
      </c>
      <c r="S688" s="1287" t="s">
        <v>1464</v>
      </c>
      <c r="T688" s="1287" t="s">
        <v>1464</v>
      </c>
      <c r="U688" s="1287"/>
      <c r="V688" s="1281" t="s">
        <v>2191</v>
      </c>
      <c r="W688" s="1281"/>
      <c r="X688" s="1282" t="str">
        <f t="shared" si="89"/>
        <v>Grande</v>
      </c>
      <c r="Z688" s="1418" t="str">
        <f t="shared" si="108"/>
        <v/>
      </c>
      <c r="AB688" s="961" t="s">
        <v>7246</v>
      </c>
      <c r="AC688" s="241"/>
      <c r="AD688" s="1536"/>
      <c r="AE688" s="1423"/>
      <c r="AG688" s="961" t="str">
        <f t="shared" si="90"/>
        <v/>
      </c>
      <c r="AH688" s="87" t="str">
        <f t="shared" si="91"/>
        <v/>
      </c>
      <c r="AI688" s="87" t="str">
        <f t="shared" si="92"/>
        <v>&gt; ESCUDOS</v>
      </c>
      <c r="AJ688" s="1419">
        <f>IF(OR($L688=AJ$627,$L688="",$D688=$AL$626),MAX(AJ$629:AJ687)+1,0)</f>
        <v>0</v>
      </c>
      <c r="AK688" s="1420">
        <f>IF(OR($L688=AK$627,$L688="",$D688=$AL$626),MAX(AK$629:AK687)+1,0)</f>
        <v>0</v>
      </c>
      <c r="AL688" s="1421">
        <f>IF(OR($L688=AL$627,$L688="",$D688=$AL$626),MAX(AL$629:AL687)+1,0)</f>
        <v>45</v>
      </c>
      <c r="AM688" s="5701"/>
      <c r="AN688" s="961" t="str">
        <f t="shared" si="93"/>
        <v/>
      </c>
      <c r="AO688" s="87" t="str">
        <f t="shared" si="94"/>
        <v/>
      </c>
      <c r="AP688" s="87" t="str">
        <f t="shared" si="95"/>
        <v>&gt; ESCUDOS</v>
      </c>
      <c r="AQ688" s="1419">
        <f>IF(OR($L688=AQ$627,$L688="",$D688=$AS$626),MAX(AQ$629:AQ687)+1,0)</f>
        <v>0</v>
      </c>
      <c r="AR688" s="1420">
        <f>IF(OR($L688=AR$627,$L688="",$D688=$AS$626),MAX(AR$629:AR687)+1,0)</f>
        <v>0</v>
      </c>
      <c r="AS688" s="1421">
        <f>IF(OR($L688=AS$627,$L688="",$D688=$AS$626),MAX(AS$629:AS687)+1,0)</f>
        <v>45</v>
      </c>
      <c r="AT688" s="5701"/>
      <c r="AU688" s="961" t="str">
        <f t="shared" si="96"/>
        <v/>
      </c>
      <c r="AV688" s="87" t="str">
        <f t="shared" si="97"/>
        <v/>
      </c>
      <c r="AW688" s="87" t="str">
        <f t="shared" si="98"/>
        <v>&gt; ESCUDOS</v>
      </c>
      <c r="AX688" s="1419">
        <f>IF(OR($L688=AX$627,$L688="",$D688=$AZ$626),MAX(AX$629:AX687)+1,0)</f>
        <v>0</v>
      </c>
      <c r="AY688" s="1420">
        <f>IF(OR($L688=AY$627,$L688="",$D688=$AZ$626),MAX(AY$629:AY687)+1,0)</f>
        <v>0</v>
      </c>
      <c r="AZ688" s="1421">
        <f>IF(OR($L688=AZ$627,$L688="",$D688=$AZ$626),MAX(AZ$629:AZ687)+1,0)</f>
        <v>45</v>
      </c>
      <c r="BA688" s="5701"/>
      <c r="BB688" s="961" t="str">
        <f t="shared" si="99"/>
        <v/>
      </c>
      <c r="BC688" s="87" t="str">
        <f t="shared" si="100"/>
        <v/>
      </c>
      <c r="BD688" s="87" t="str">
        <f t="shared" si="101"/>
        <v>&gt; ESCUDOS</v>
      </c>
      <c r="BE688" s="1419">
        <f>IF(OR($L688=BE$627,$L688="",$D688=$BG$626),MAX(BE$629:BE687)+1,0)</f>
        <v>0</v>
      </c>
      <c r="BF688" s="1420">
        <f>IF(OR($L688=BF$627,$L688="",$D688=$BG$626),MAX(BF$629:BF687)+1,0)</f>
        <v>0</v>
      </c>
      <c r="BG688" s="1421">
        <f>IF(OR($L688=BG$627,$L688="",$D688=$BG$626),MAX(BG$629:BG687)+1,0)</f>
        <v>45</v>
      </c>
      <c r="BH688" s="5701"/>
      <c r="BI688" s="961" t="str">
        <f t="shared" si="102"/>
        <v/>
      </c>
      <c r="BJ688" s="87" t="str">
        <f t="shared" si="103"/>
        <v/>
      </c>
      <c r="BK688" s="87" t="str">
        <f t="shared" si="104"/>
        <v>&gt; ESCUDOS</v>
      </c>
      <c r="BL688" s="1419">
        <f>IF(OR($L688=BL$627,$L688="",$D688=$BN$626),MAX(BL$629:BL687)+1,0)</f>
        <v>0</v>
      </c>
      <c r="BM688" s="1420">
        <f>IF(OR($L688=BM$627,$L688="",$D688=$BN$626),MAX(BM$629:BM687)+1,0)</f>
        <v>0</v>
      </c>
      <c r="BN688" s="1421">
        <f>IF(OR($L688=BN$627,$L688="",$D688=$BN$626),MAX(BN$629:BN687)+1,0)</f>
        <v>45</v>
      </c>
      <c r="BO688" s="5701"/>
      <c r="BP688" s="961" t="str">
        <f t="shared" si="105"/>
        <v/>
      </c>
      <c r="BQ688" s="87" t="str">
        <f t="shared" si="106"/>
        <v/>
      </c>
      <c r="BR688" s="87" t="str">
        <f t="shared" si="107"/>
        <v>&gt; ESCUDOS</v>
      </c>
      <c r="BS688" s="1419">
        <f>IF(OR($L688=BS$627,$L688="",$D688=$BU$626),MAX(BS$629:BS687)+1,0)</f>
        <v>0</v>
      </c>
      <c r="BT688" s="1420">
        <f>IF(OR($L688=BT$627,$L688="",$D688=$BU$626),MAX(BT$629:BT687)+1,0)</f>
        <v>0</v>
      </c>
      <c r="BU688" s="1421">
        <f>IF(OR($L688=BU$627,$L688="",$D688=$BU$626),MAX(BU$629:BU687)+1,0)</f>
        <v>45</v>
      </c>
    </row>
    <row r="689" spans="1:73" ht="12.75" customHeight="1" x14ac:dyDescent="0.2">
      <c r="A689" s="242">
        <v>689</v>
      </c>
      <c r="B689" s="5664"/>
      <c r="C689" s="1288"/>
      <c r="D689" s="1289" t="s">
        <v>2192</v>
      </c>
      <c r="E689" s="1295">
        <v>50</v>
      </c>
      <c r="F689" s="1287">
        <v>-5</v>
      </c>
      <c r="G689" s="1287">
        <v>6</v>
      </c>
      <c r="H689" s="1287">
        <v>6</v>
      </c>
      <c r="I689" s="1287" t="s">
        <v>1506</v>
      </c>
      <c r="J689" s="1287" t="s">
        <v>1464</v>
      </c>
      <c r="K689" s="1281" t="s">
        <v>7525</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2196</v>
      </c>
      <c r="AC689" s="241"/>
      <c r="AD689" s="1536"/>
      <c r="AE689" s="1423"/>
      <c r="AG689" s="961" t="str">
        <f t="shared" si="90"/>
        <v/>
      </c>
      <c r="AH689" s="87" t="str">
        <f t="shared" si="91"/>
        <v/>
      </c>
      <c r="AI689" s="87" t="str">
        <f t="shared" si="92"/>
        <v>&gt; ARMAS EXÓTICAS</v>
      </c>
      <c r="AJ689" s="1419">
        <f>IF(OR($L689=AJ$627,$L689="",$D689=$AL$626),MAX(AJ$629:AJ688)+1,0)</f>
        <v>0</v>
      </c>
      <c r="AK689" s="1420">
        <f>IF(OR($L689=AK$627,$L689="",$D689=$AL$626),MAX(AK$629:AK688)+1,0)</f>
        <v>0</v>
      </c>
      <c r="AL689" s="1421">
        <f>IF(OR($L689=AL$627,$L689="",$D689=$AL$626),MAX(AL$629:AL688)+1,0)</f>
        <v>46</v>
      </c>
      <c r="AM689" s="5701"/>
      <c r="AN689" s="961" t="str">
        <f t="shared" si="93"/>
        <v/>
      </c>
      <c r="AO689" s="87" t="str">
        <f t="shared" si="94"/>
        <v/>
      </c>
      <c r="AP689" s="87" t="str">
        <f t="shared" si="95"/>
        <v>&gt; ARMAS EXÓTICAS</v>
      </c>
      <c r="AQ689" s="1419">
        <f>IF(OR($L689=AQ$627,$L689="",$D689=$AS$626),MAX(AQ$629:AQ688)+1,0)</f>
        <v>0</v>
      </c>
      <c r="AR689" s="1420">
        <f>IF(OR($L689=AR$627,$L689="",$D689=$AS$626),MAX(AR$629:AR688)+1,0)</f>
        <v>0</v>
      </c>
      <c r="AS689" s="1421">
        <f>IF(OR($L689=AS$627,$L689="",$D689=$AS$626),MAX(AS$629:AS688)+1,0)</f>
        <v>46</v>
      </c>
      <c r="AT689" s="5701"/>
      <c r="AU689" s="961" t="str">
        <f t="shared" si="96"/>
        <v/>
      </c>
      <c r="AV689" s="87" t="str">
        <f t="shared" si="97"/>
        <v/>
      </c>
      <c r="AW689" s="87" t="str">
        <f t="shared" si="98"/>
        <v>&gt; ARMAS EXÓTICAS</v>
      </c>
      <c r="AX689" s="1419">
        <f>IF(OR($L689=AX$627,$L689="",$D689=$AZ$626),MAX(AX$629:AX688)+1,0)</f>
        <v>0</v>
      </c>
      <c r="AY689" s="1420">
        <f>IF(OR($L689=AY$627,$L689="",$D689=$AZ$626),MAX(AY$629:AY688)+1,0)</f>
        <v>0</v>
      </c>
      <c r="AZ689" s="1421">
        <f>IF(OR($L689=AZ$627,$L689="",$D689=$AZ$626),MAX(AZ$629:AZ688)+1,0)</f>
        <v>46</v>
      </c>
      <c r="BA689" s="5701"/>
      <c r="BB689" s="961" t="str">
        <f t="shared" si="99"/>
        <v/>
      </c>
      <c r="BC689" s="87" t="str">
        <f t="shared" si="100"/>
        <v/>
      </c>
      <c r="BD689" s="87" t="str">
        <f t="shared" si="101"/>
        <v>&gt; ARMAS EXÓTICAS</v>
      </c>
      <c r="BE689" s="1419">
        <f>IF(OR($L689=BE$627,$L689="",$D689=$BG$626),MAX(BE$629:BE688)+1,0)</f>
        <v>0</v>
      </c>
      <c r="BF689" s="1420">
        <f>IF(OR($L689=BF$627,$L689="",$D689=$BG$626),MAX(BF$629:BF688)+1,0)</f>
        <v>0</v>
      </c>
      <c r="BG689" s="1421">
        <f>IF(OR($L689=BG$627,$L689="",$D689=$BG$626),MAX(BG$629:BG688)+1,0)</f>
        <v>46</v>
      </c>
      <c r="BH689" s="5701"/>
      <c r="BI689" s="961" t="str">
        <f t="shared" si="102"/>
        <v/>
      </c>
      <c r="BJ689" s="87" t="str">
        <f t="shared" si="103"/>
        <v/>
      </c>
      <c r="BK689" s="87" t="str">
        <f t="shared" si="104"/>
        <v>&gt; ARMAS EXÓTICAS</v>
      </c>
      <c r="BL689" s="1419">
        <f>IF(OR($L689=BL$627,$L689="",$D689=$BN$626),MAX(BL$629:BL688)+1,0)</f>
        <v>0</v>
      </c>
      <c r="BM689" s="1420">
        <f>IF(OR($L689=BM$627,$L689="",$D689=$BN$626),MAX(BM$629:BM688)+1,0)</f>
        <v>0</v>
      </c>
      <c r="BN689" s="1421">
        <f>IF(OR($L689=BN$627,$L689="",$D689=$BN$626),MAX(BN$629:BN688)+1,0)</f>
        <v>46</v>
      </c>
      <c r="BO689" s="5701"/>
      <c r="BP689" s="961" t="str">
        <f t="shared" si="105"/>
        <v/>
      </c>
      <c r="BQ689" s="87" t="str">
        <f t="shared" si="106"/>
        <v/>
      </c>
      <c r="BR689" s="87" t="str">
        <f t="shared" si="107"/>
        <v>&gt; ARMAS EXÓTICAS</v>
      </c>
      <c r="BS689" s="1419">
        <f>IF(OR($L689=BS$627,$L689="",$D689=$BU$626),MAX(BS$629:BS688)+1,0)</f>
        <v>0</v>
      </c>
      <c r="BT689" s="1420">
        <f>IF(OR($L689=BT$627,$L689="",$D689=$BU$626),MAX(BT$629:BT688)+1,0)</f>
        <v>0</v>
      </c>
      <c r="BU689" s="1421">
        <f>IF(OR($L689=BU$627,$L689="",$D689=$BU$626),MAX(BU$629:BU688)+1,0)</f>
        <v>46</v>
      </c>
    </row>
    <row r="690" spans="1:73" ht="12.75" customHeight="1" x14ac:dyDescent="0.2">
      <c r="A690" s="242">
        <v>690</v>
      </c>
      <c r="B690" s="5664"/>
      <c r="C690" s="1288"/>
      <c r="D690" s="1289" t="s">
        <v>2193</v>
      </c>
      <c r="E690" s="1295">
        <v>40</v>
      </c>
      <c r="F690" s="1287">
        <v>0</v>
      </c>
      <c r="G690" s="1287">
        <v>6</v>
      </c>
      <c r="H690" s="1287">
        <v>6</v>
      </c>
      <c r="I690" s="1287" t="s">
        <v>1506</v>
      </c>
      <c r="J690" s="1287" t="s">
        <v>1464</v>
      </c>
      <c r="K690" s="1281" t="s">
        <v>7533</v>
      </c>
      <c r="L690" s="1287" t="str">
        <f t="shared" si="109"/>
        <v>Distinta</v>
      </c>
      <c r="M690" s="1296">
        <v>13</v>
      </c>
      <c r="N690" s="1296">
        <v>4</v>
      </c>
      <c r="O690" s="1296">
        <v>15</v>
      </c>
      <c r="P690" s="1287"/>
      <c r="Q690" s="1287"/>
      <c r="R690" s="1287" t="s">
        <v>1464</v>
      </c>
      <c r="S690" s="1287" t="s">
        <v>1464</v>
      </c>
      <c r="T690" s="1287" t="s">
        <v>1464</v>
      </c>
      <c r="U690" s="1287"/>
      <c r="V690" s="1281" t="s">
        <v>2191</v>
      </c>
      <c r="W690" s="1281"/>
      <c r="X690" s="1282" t="str">
        <f t="shared" si="89"/>
        <v>Mediana</v>
      </c>
      <c r="Z690" s="1418" t="str">
        <f t="shared" si="108"/>
        <v/>
      </c>
      <c r="AB690" s="961" t="s">
        <v>2197</v>
      </c>
      <c r="AC690" s="241"/>
      <c r="AD690" s="1536"/>
      <c r="AE690" s="1423"/>
      <c r="AG690" s="961" t="str">
        <f t="shared" si="90"/>
        <v/>
      </c>
      <c r="AH690" s="87" t="str">
        <f t="shared" si="91"/>
        <v/>
      </c>
      <c r="AI690" s="87" t="str">
        <f t="shared" si="92"/>
        <v>Abanico de combate</v>
      </c>
      <c r="AJ690" s="1419">
        <f>IF(OR($L690=AJ$627,$L690="",$D690=$AL$626),MAX(AJ$629:AJ689)+1,0)</f>
        <v>0</v>
      </c>
      <c r="AK690" s="1420">
        <f>IF(OR($L690=AK$627,$L690="",$D690=$AL$626),MAX(AK$629:AK689)+1,0)</f>
        <v>0</v>
      </c>
      <c r="AL690" s="1421">
        <f>IF(OR($L690=AL$627,$L690="",$D690=$AL$626),MAX(AL$629:AL689)+1,0)</f>
        <v>47</v>
      </c>
      <c r="AM690" s="5701"/>
      <c r="AN690" s="961" t="str">
        <f t="shared" si="93"/>
        <v/>
      </c>
      <c r="AO690" s="87" t="str">
        <f t="shared" si="94"/>
        <v/>
      </c>
      <c r="AP690" s="87" t="str">
        <f t="shared" si="95"/>
        <v>Abanico de combate</v>
      </c>
      <c r="AQ690" s="1419">
        <f>IF(OR($L690=AQ$627,$L690="",$D690=$AS$626),MAX(AQ$629:AQ689)+1,0)</f>
        <v>0</v>
      </c>
      <c r="AR690" s="1420">
        <f>IF(OR($L690=AR$627,$L690="",$D690=$AS$626),MAX(AR$629:AR689)+1,0)</f>
        <v>0</v>
      </c>
      <c r="AS690" s="1421">
        <f>IF(OR($L690=AS$627,$L690="",$D690=$AS$626),MAX(AS$629:AS689)+1,0)</f>
        <v>47</v>
      </c>
      <c r="AT690" s="5701"/>
      <c r="AU690" s="961" t="str">
        <f t="shared" si="96"/>
        <v/>
      </c>
      <c r="AV690" s="87" t="str">
        <f t="shared" si="97"/>
        <v/>
      </c>
      <c r="AW690" s="87" t="str">
        <f t="shared" si="98"/>
        <v>Abanico de combate</v>
      </c>
      <c r="AX690" s="1419">
        <f>IF(OR($L690=AX$627,$L690="",$D690=$AZ$626),MAX(AX$629:AX689)+1,0)</f>
        <v>0</v>
      </c>
      <c r="AY690" s="1420">
        <f>IF(OR($L690=AY$627,$L690="",$D690=$AZ$626),MAX(AY$629:AY689)+1,0)</f>
        <v>0</v>
      </c>
      <c r="AZ690" s="1421">
        <f>IF(OR($L690=AZ$627,$L690="",$D690=$AZ$626),MAX(AZ$629:AZ689)+1,0)</f>
        <v>47</v>
      </c>
      <c r="BA690" s="5701"/>
      <c r="BB690" s="961" t="str">
        <f t="shared" si="99"/>
        <v/>
      </c>
      <c r="BC690" s="87" t="str">
        <f t="shared" si="100"/>
        <v/>
      </c>
      <c r="BD690" s="87" t="str">
        <f t="shared" si="101"/>
        <v>Abanico de combate</v>
      </c>
      <c r="BE690" s="1419">
        <f>IF(OR($L690=BE$627,$L690="",$D690=$BG$626),MAX(BE$629:BE689)+1,0)</f>
        <v>0</v>
      </c>
      <c r="BF690" s="1420">
        <f>IF(OR($L690=BF$627,$L690="",$D690=$BG$626),MAX(BF$629:BF689)+1,0)</f>
        <v>0</v>
      </c>
      <c r="BG690" s="1421">
        <f>IF(OR($L690=BG$627,$L690="",$D690=$BG$626),MAX(BG$629:BG689)+1,0)</f>
        <v>47</v>
      </c>
      <c r="BH690" s="5701"/>
      <c r="BI690" s="961" t="str">
        <f t="shared" si="102"/>
        <v/>
      </c>
      <c r="BJ690" s="87" t="str">
        <f t="shared" si="103"/>
        <v/>
      </c>
      <c r="BK690" s="87" t="str">
        <f t="shared" si="104"/>
        <v>Abanico de combate</v>
      </c>
      <c r="BL690" s="1419">
        <f>IF(OR($L690=BL$627,$L690="",$D690=$BN$626),MAX(BL$629:BL689)+1,0)</f>
        <v>0</v>
      </c>
      <c r="BM690" s="1420">
        <f>IF(OR($L690=BM$627,$L690="",$D690=$BN$626),MAX(BM$629:BM689)+1,0)</f>
        <v>0</v>
      </c>
      <c r="BN690" s="1421">
        <f>IF(OR($L690=BN$627,$L690="",$D690=$BN$626),MAX(BN$629:BN689)+1,0)</f>
        <v>47</v>
      </c>
      <c r="BO690" s="5701"/>
      <c r="BP690" s="961" t="str">
        <f t="shared" si="105"/>
        <v/>
      </c>
      <c r="BQ690" s="87" t="str">
        <f t="shared" si="106"/>
        <v/>
      </c>
      <c r="BR690" s="87" t="str">
        <f t="shared" si="107"/>
        <v>Abanico de combate</v>
      </c>
      <c r="BS690" s="1419">
        <f>IF(OR($L690=BS$627,$L690="",$D690=$BU$626),MAX(BS$629:BS689)+1,0)</f>
        <v>0</v>
      </c>
      <c r="BT690" s="1420">
        <f>IF(OR($L690=BT$627,$L690="",$D690=$BU$626),MAX(BT$629:BT689)+1,0)</f>
        <v>0</v>
      </c>
      <c r="BU690" s="1421">
        <f>IF(OR($L690=BU$627,$L690="",$D690=$BU$626),MAX(BU$629:BU689)+1,0)</f>
        <v>47</v>
      </c>
    </row>
    <row r="691" spans="1:73" ht="12.75" customHeight="1" x14ac:dyDescent="0.2">
      <c r="A691" s="242">
        <v>691</v>
      </c>
      <c r="B691" s="5664"/>
      <c r="C691" s="1288"/>
      <c r="D691" s="1289" t="s">
        <v>7243</v>
      </c>
      <c r="E691" s="1295">
        <v>50</v>
      </c>
      <c r="F691" s="1287">
        <v>0</v>
      </c>
      <c r="G691" s="1287">
        <v>7</v>
      </c>
      <c r="H691" s="1287">
        <v>6</v>
      </c>
      <c r="I691" s="1287" t="s">
        <v>1506</v>
      </c>
      <c r="J691" s="1287" t="s">
        <v>1464</v>
      </c>
      <c r="K691" s="1281" t="s">
        <v>7525</v>
      </c>
      <c r="L691" s="1287" t="str">
        <f t="shared" si="109"/>
        <v>Distinta</v>
      </c>
      <c r="M691" s="1296">
        <v>14</v>
      </c>
      <c r="N691" s="1296">
        <v>4</v>
      </c>
      <c r="O691" s="1296">
        <v>20</v>
      </c>
      <c r="P691" s="1287"/>
      <c r="Q691" s="1287"/>
      <c r="R691" s="1287" t="s">
        <v>1464</v>
      </c>
      <c r="S691" s="1287" t="s">
        <v>1464</v>
      </c>
      <c r="T691" s="1287" t="s">
        <v>1464</v>
      </c>
      <c r="U691" s="1287"/>
      <c r="V691" s="1281" t="s">
        <v>2164</v>
      </c>
      <c r="W691" s="1281"/>
      <c r="X691" s="1282" t="str">
        <f t="shared" si="89"/>
        <v>Mediana</v>
      </c>
      <c r="Z691" s="1418" t="str">
        <f t="shared" si="108"/>
        <v/>
      </c>
      <c r="AB691" s="961" t="s">
        <v>7263</v>
      </c>
      <c r="AC691" s="241"/>
      <c r="AD691" s="1536"/>
      <c r="AE691" s="1423"/>
      <c r="AG691" s="961" t="str">
        <f t="shared" si="90"/>
        <v/>
      </c>
      <c r="AH691" s="87" t="str">
        <f t="shared" si="91"/>
        <v/>
      </c>
      <c r="AI691" s="87" t="str">
        <f t="shared" si="92"/>
        <v>Bumerang</v>
      </c>
      <c r="AJ691" s="1419">
        <f>IF(OR($L691=AJ$627,$L691="",$D691=$AL$626),MAX(AJ$629:AJ690)+1,0)</f>
        <v>0</v>
      </c>
      <c r="AK691" s="1420">
        <f>IF(OR($L691=AK$627,$L691="",$D691=$AL$626),MAX(AK$629:AK690)+1,0)</f>
        <v>0</v>
      </c>
      <c r="AL691" s="1421">
        <f>IF(OR($L691=AL$627,$L691="",$D691=$AL$626),MAX(AL$629:AL690)+1,0)</f>
        <v>48</v>
      </c>
      <c r="AM691" s="5701"/>
      <c r="AN691" s="961" t="str">
        <f t="shared" si="93"/>
        <v/>
      </c>
      <c r="AO691" s="87" t="str">
        <f t="shared" si="94"/>
        <v/>
      </c>
      <c r="AP691" s="87" t="str">
        <f t="shared" si="95"/>
        <v>Bumerang</v>
      </c>
      <c r="AQ691" s="1419">
        <f>IF(OR($L691=AQ$627,$L691="",$D691=$AS$626),MAX(AQ$629:AQ690)+1,0)</f>
        <v>0</v>
      </c>
      <c r="AR691" s="1420">
        <f>IF(OR($L691=AR$627,$L691="",$D691=$AS$626),MAX(AR$629:AR690)+1,0)</f>
        <v>0</v>
      </c>
      <c r="AS691" s="1421">
        <f>IF(OR($L691=AS$627,$L691="",$D691=$AS$626),MAX(AS$629:AS690)+1,0)</f>
        <v>48</v>
      </c>
      <c r="AT691" s="5701"/>
      <c r="AU691" s="961" t="str">
        <f t="shared" si="96"/>
        <v/>
      </c>
      <c r="AV691" s="87" t="str">
        <f t="shared" si="97"/>
        <v/>
      </c>
      <c r="AW691" s="87" t="str">
        <f t="shared" si="98"/>
        <v>Bumerang</v>
      </c>
      <c r="AX691" s="1419">
        <f>IF(OR($L691=AX$627,$L691="",$D691=$AZ$626),MAX(AX$629:AX690)+1,0)</f>
        <v>0</v>
      </c>
      <c r="AY691" s="1420">
        <f>IF(OR($L691=AY$627,$L691="",$D691=$AZ$626),MAX(AY$629:AY690)+1,0)</f>
        <v>0</v>
      </c>
      <c r="AZ691" s="1421">
        <f>IF(OR($L691=AZ$627,$L691="",$D691=$AZ$626),MAX(AZ$629:AZ690)+1,0)</f>
        <v>48</v>
      </c>
      <c r="BA691" s="5701"/>
      <c r="BB691" s="961" t="str">
        <f t="shared" si="99"/>
        <v/>
      </c>
      <c r="BC691" s="87" t="str">
        <f t="shared" si="100"/>
        <v/>
      </c>
      <c r="BD691" s="87" t="str">
        <f t="shared" si="101"/>
        <v>Bumerang</v>
      </c>
      <c r="BE691" s="1419">
        <f>IF(OR($L691=BE$627,$L691="",$D691=$BG$626),MAX(BE$629:BE690)+1,0)</f>
        <v>0</v>
      </c>
      <c r="BF691" s="1420">
        <f>IF(OR($L691=BF$627,$L691="",$D691=$BG$626),MAX(BF$629:BF690)+1,0)</f>
        <v>0</v>
      </c>
      <c r="BG691" s="1421">
        <f>IF(OR($L691=BG$627,$L691="",$D691=$BG$626),MAX(BG$629:BG690)+1,0)</f>
        <v>48</v>
      </c>
      <c r="BH691" s="5701"/>
      <c r="BI691" s="961" t="str">
        <f t="shared" si="102"/>
        <v/>
      </c>
      <c r="BJ691" s="87" t="str">
        <f t="shared" si="103"/>
        <v/>
      </c>
      <c r="BK691" s="87" t="str">
        <f t="shared" si="104"/>
        <v>Bumerang</v>
      </c>
      <c r="BL691" s="1419">
        <f>IF(OR($L691=BL$627,$L691="",$D691=$BN$626),MAX(BL$629:BL690)+1,0)</f>
        <v>0</v>
      </c>
      <c r="BM691" s="1420">
        <f>IF(OR($L691=BM$627,$L691="",$D691=$BN$626),MAX(BM$629:BM690)+1,0)</f>
        <v>0</v>
      </c>
      <c r="BN691" s="1421">
        <f>IF(OR($L691=BN$627,$L691="",$D691=$BN$626),MAX(BN$629:BN690)+1,0)</f>
        <v>48</v>
      </c>
      <c r="BO691" s="5701"/>
      <c r="BP691" s="961" t="str">
        <f t="shared" si="105"/>
        <v/>
      </c>
      <c r="BQ691" s="87" t="str">
        <f t="shared" si="106"/>
        <v/>
      </c>
      <c r="BR691" s="87" t="str">
        <f t="shared" si="107"/>
        <v>Bumerang</v>
      </c>
      <c r="BS691" s="1419">
        <f>IF(OR($L691=BS$627,$L691="",$D691=$BU$626),MAX(BS$629:BS690)+1,0)</f>
        <v>0</v>
      </c>
      <c r="BT691" s="1420">
        <f>IF(OR($L691=BT$627,$L691="",$D691=$BU$626),MAX(BT$629:BT690)+1,0)</f>
        <v>0</v>
      </c>
      <c r="BU691" s="1421">
        <f>IF(OR($L691=BU$627,$L691="",$D691=$BU$626),MAX(BU$629:BU690)+1,0)</f>
        <v>48</v>
      </c>
    </row>
    <row r="692" spans="1:73" ht="12.75" customHeight="1" x14ac:dyDescent="0.2">
      <c r="A692" s="242">
        <v>692</v>
      </c>
      <c r="B692" s="5664"/>
      <c r="C692" s="1288"/>
      <c r="D692" s="1289" t="s">
        <v>2194</v>
      </c>
      <c r="E692" s="1295">
        <v>40</v>
      </c>
      <c r="F692" s="1287">
        <v>0</v>
      </c>
      <c r="G692" s="1287">
        <v>6</v>
      </c>
      <c r="H692" s="1287">
        <v>6</v>
      </c>
      <c r="I692" s="1287" t="s">
        <v>1506</v>
      </c>
      <c r="J692" s="1287" t="s">
        <v>1464</v>
      </c>
      <c r="K692" s="1281" t="s">
        <v>7525</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7264</v>
      </c>
      <c r="AC692" s="241"/>
      <c r="AD692" s="1536"/>
      <c r="AE692" s="1423"/>
      <c r="AG692" s="961" t="str">
        <f t="shared" si="90"/>
        <v/>
      </c>
      <c r="AH692" s="87" t="str">
        <f t="shared" si="91"/>
        <v/>
      </c>
      <c r="AI692" s="87" t="str">
        <f t="shared" si="92"/>
        <v>Cuervo</v>
      </c>
      <c r="AJ692" s="1419">
        <f>IF(OR($L692=AJ$627,$L692="",$D692=$AL$626),MAX(AJ$629:AJ691)+1,0)</f>
        <v>0</v>
      </c>
      <c r="AK692" s="1420">
        <f>IF(OR($L692=AK$627,$L692="",$D692=$AL$626),MAX(AK$629:AK691)+1,0)</f>
        <v>0</v>
      </c>
      <c r="AL692" s="1421">
        <f>IF(OR($L692=AL$627,$L692="",$D692=$AL$626),MAX(AL$629:AL691)+1,0)</f>
        <v>49</v>
      </c>
      <c r="AM692" s="5701"/>
      <c r="AN692" s="961" t="str">
        <f t="shared" si="93"/>
        <v/>
      </c>
      <c r="AO692" s="87" t="str">
        <f t="shared" si="94"/>
        <v/>
      </c>
      <c r="AP692" s="87" t="str">
        <f t="shared" si="95"/>
        <v>Cuervo</v>
      </c>
      <c r="AQ692" s="1419">
        <f>IF(OR($L692=AQ$627,$L692="",$D692=$AS$626),MAX(AQ$629:AQ691)+1,0)</f>
        <v>0</v>
      </c>
      <c r="AR692" s="1420">
        <f>IF(OR($L692=AR$627,$L692="",$D692=$AS$626),MAX(AR$629:AR691)+1,0)</f>
        <v>0</v>
      </c>
      <c r="AS692" s="1421">
        <f>IF(OR($L692=AS$627,$L692="",$D692=$AS$626),MAX(AS$629:AS691)+1,0)</f>
        <v>49</v>
      </c>
      <c r="AT692" s="5701"/>
      <c r="AU692" s="961" t="str">
        <f t="shared" si="96"/>
        <v/>
      </c>
      <c r="AV692" s="87" t="str">
        <f t="shared" si="97"/>
        <v/>
      </c>
      <c r="AW692" s="87" t="str">
        <f t="shared" si="98"/>
        <v>Cuervo</v>
      </c>
      <c r="AX692" s="1419">
        <f>IF(OR($L692=AX$627,$L692="",$D692=$AZ$626),MAX(AX$629:AX691)+1,0)</f>
        <v>0</v>
      </c>
      <c r="AY692" s="1420">
        <f>IF(OR($L692=AY$627,$L692="",$D692=$AZ$626),MAX(AY$629:AY691)+1,0)</f>
        <v>0</v>
      </c>
      <c r="AZ692" s="1421">
        <f>IF(OR($L692=AZ$627,$L692="",$D692=$AZ$626),MAX(AZ$629:AZ691)+1,0)</f>
        <v>49</v>
      </c>
      <c r="BA692" s="5701"/>
      <c r="BB692" s="961" t="str">
        <f t="shared" si="99"/>
        <v/>
      </c>
      <c r="BC692" s="87" t="str">
        <f t="shared" si="100"/>
        <v/>
      </c>
      <c r="BD692" s="87" t="str">
        <f t="shared" si="101"/>
        <v>Cuervo</v>
      </c>
      <c r="BE692" s="1419">
        <f>IF(OR($L692=BE$627,$L692="",$D692=$BG$626),MAX(BE$629:BE691)+1,0)</f>
        <v>0</v>
      </c>
      <c r="BF692" s="1420">
        <f>IF(OR($L692=BF$627,$L692="",$D692=$BG$626),MAX(BF$629:BF691)+1,0)</f>
        <v>0</v>
      </c>
      <c r="BG692" s="1421">
        <f>IF(OR($L692=BG$627,$L692="",$D692=$BG$626),MAX(BG$629:BG691)+1,0)</f>
        <v>49</v>
      </c>
      <c r="BH692" s="5701"/>
      <c r="BI692" s="961" t="str">
        <f t="shared" si="102"/>
        <v/>
      </c>
      <c r="BJ692" s="87" t="str">
        <f t="shared" si="103"/>
        <v/>
      </c>
      <c r="BK692" s="87" t="str">
        <f t="shared" si="104"/>
        <v>Cuervo</v>
      </c>
      <c r="BL692" s="1419">
        <f>IF(OR($L692=BL$627,$L692="",$D692=$BN$626),MAX(BL$629:BL691)+1,0)</f>
        <v>0</v>
      </c>
      <c r="BM692" s="1420">
        <f>IF(OR($L692=BM$627,$L692="",$D692=$BN$626),MAX(BM$629:BM691)+1,0)</f>
        <v>0</v>
      </c>
      <c r="BN692" s="1421">
        <f>IF(OR($L692=BN$627,$L692="",$D692=$BN$626),MAX(BN$629:BN691)+1,0)</f>
        <v>49</v>
      </c>
      <c r="BO692" s="5701"/>
      <c r="BP692" s="961" t="str">
        <f t="shared" si="105"/>
        <v/>
      </c>
      <c r="BQ692" s="87" t="str">
        <f t="shared" si="106"/>
        <v/>
      </c>
      <c r="BR692" s="87" t="str">
        <f t="shared" si="107"/>
        <v>Cuervo</v>
      </c>
      <c r="BS692" s="1419">
        <f>IF(OR($L692=BS$627,$L692="",$D692=$BU$626),MAX(BS$629:BS691)+1,0)</f>
        <v>0</v>
      </c>
      <c r="BT692" s="1420">
        <f>IF(OR($L692=BT$627,$L692="",$D692=$BU$626),MAX(BT$629:BT691)+1,0)</f>
        <v>0</v>
      </c>
      <c r="BU692" s="1421">
        <f>IF(OR($L692=BU$627,$L692="",$D692=$BU$626),MAX(BU$629:BU691)+1,0)</f>
        <v>49</v>
      </c>
    </row>
    <row r="693" spans="1:73" ht="12.75" customHeight="1" x14ac:dyDescent="0.2">
      <c r="A693" s="242">
        <v>693</v>
      </c>
      <c r="B693" s="5664"/>
      <c r="C693" s="1288"/>
      <c r="D693" s="1289" t="s">
        <v>2195</v>
      </c>
      <c r="E693" s="1295">
        <v>60</v>
      </c>
      <c r="F693" s="1287">
        <v>-15</v>
      </c>
      <c r="G693" s="1287">
        <v>10</v>
      </c>
      <c r="H693" s="1287">
        <v>6</v>
      </c>
      <c r="I693" s="1287" t="s">
        <v>1506</v>
      </c>
      <c r="J693" s="1287" t="s">
        <v>1464</v>
      </c>
      <c r="K693" s="1281" t="s">
        <v>7532</v>
      </c>
      <c r="L693" s="1287" t="str">
        <f t="shared" si="109"/>
        <v>Distinta</v>
      </c>
      <c r="M693" s="1296">
        <v>16</v>
      </c>
      <c r="N693" s="1296">
        <v>5</v>
      </c>
      <c r="O693" s="1296">
        <v>15</v>
      </c>
      <c r="P693" s="1287"/>
      <c r="Q693" s="1287"/>
      <c r="R693" s="1287" t="s">
        <v>1464</v>
      </c>
      <c r="S693" s="1287" t="s">
        <v>1464</v>
      </c>
      <c r="T693" s="1287" t="s">
        <v>1464</v>
      </c>
      <c r="U693" s="1287"/>
      <c r="V693" s="1281" t="s">
        <v>2164</v>
      </c>
      <c r="W693" s="1281"/>
      <c r="X693" s="1282" t="str">
        <f t="shared" si="89"/>
        <v>Grande</v>
      </c>
      <c r="Z693" s="1418" t="str">
        <f t="shared" si="108"/>
        <v/>
      </c>
      <c r="AB693" s="961" t="s">
        <v>2198</v>
      </c>
      <c r="AC693" s="241"/>
      <c r="AD693" s="1536"/>
      <c r="AE693" s="1423"/>
      <c r="AG693" s="961" t="str">
        <f t="shared" si="90"/>
        <v/>
      </c>
      <c r="AH693" s="87" t="str">
        <f t="shared" si="91"/>
        <v/>
      </c>
      <c r="AI693" s="87" t="str">
        <f t="shared" si="92"/>
        <v>Garras</v>
      </c>
      <c r="AJ693" s="1419">
        <f>IF(OR($L693=AJ$627,$L693="",$D693=$AL$626),MAX(AJ$629:AJ692)+1,0)</f>
        <v>0</v>
      </c>
      <c r="AK693" s="1420">
        <f>IF(OR($L693=AK$627,$L693="",$D693=$AL$626),MAX(AK$629:AK692)+1,0)</f>
        <v>0</v>
      </c>
      <c r="AL693" s="1421">
        <f>IF(OR($L693=AL$627,$L693="",$D693=$AL$626),MAX(AL$629:AL692)+1,0)</f>
        <v>50</v>
      </c>
      <c r="AM693" s="5701"/>
      <c r="AN693" s="961" t="str">
        <f t="shared" si="93"/>
        <v/>
      </c>
      <c r="AO693" s="87" t="str">
        <f t="shared" si="94"/>
        <v/>
      </c>
      <c r="AP693" s="87" t="str">
        <f t="shared" si="95"/>
        <v>Garras</v>
      </c>
      <c r="AQ693" s="1419">
        <f>IF(OR($L693=AQ$627,$L693="",$D693=$AS$626),MAX(AQ$629:AQ692)+1,0)</f>
        <v>0</v>
      </c>
      <c r="AR693" s="1420">
        <f>IF(OR($L693=AR$627,$L693="",$D693=$AS$626),MAX(AR$629:AR692)+1,0)</f>
        <v>0</v>
      </c>
      <c r="AS693" s="1421">
        <f>IF(OR($L693=AS$627,$L693="",$D693=$AS$626),MAX(AS$629:AS692)+1,0)</f>
        <v>50</v>
      </c>
      <c r="AT693" s="5701"/>
      <c r="AU693" s="961" t="str">
        <f t="shared" si="96"/>
        <v/>
      </c>
      <c r="AV693" s="87" t="str">
        <f t="shared" si="97"/>
        <v/>
      </c>
      <c r="AW693" s="87" t="str">
        <f t="shared" si="98"/>
        <v>Garras</v>
      </c>
      <c r="AX693" s="1419">
        <f>IF(OR($L693=AX$627,$L693="",$D693=$AZ$626),MAX(AX$629:AX692)+1,0)</f>
        <v>0</v>
      </c>
      <c r="AY693" s="1420">
        <f>IF(OR($L693=AY$627,$L693="",$D693=$AZ$626),MAX(AY$629:AY692)+1,0)</f>
        <v>0</v>
      </c>
      <c r="AZ693" s="1421">
        <f>IF(OR($L693=AZ$627,$L693="",$D693=$AZ$626),MAX(AZ$629:AZ692)+1,0)</f>
        <v>50</v>
      </c>
      <c r="BA693" s="5701"/>
      <c r="BB693" s="961" t="str">
        <f t="shared" si="99"/>
        <v/>
      </c>
      <c r="BC693" s="87" t="str">
        <f t="shared" si="100"/>
        <v/>
      </c>
      <c r="BD693" s="87" t="str">
        <f t="shared" si="101"/>
        <v>Garras</v>
      </c>
      <c r="BE693" s="1419">
        <f>IF(OR($L693=BE$627,$L693="",$D693=$BG$626),MAX(BE$629:BE692)+1,0)</f>
        <v>0</v>
      </c>
      <c r="BF693" s="1420">
        <f>IF(OR($L693=BF$627,$L693="",$D693=$BG$626),MAX(BF$629:BF692)+1,0)</f>
        <v>0</v>
      </c>
      <c r="BG693" s="1421">
        <f>IF(OR($L693=BG$627,$L693="",$D693=$BG$626),MAX(BG$629:BG692)+1,0)</f>
        <v>50</v>
      </c>
      <c r="BH693" s="5701"/>
      <c r="BI693" s="961" t="str">
        <f t="shared" si="102"/>
        <v/>
      </c>
      <c r="BJ693" s="87" t="str">
        <f t="shared" si="103"/>
        <v/>
      </c>
      <c r="BK693" s="87" t="str">
        <f t="shared" si="104"/>
        <v>Garras</v>
      </c>
      <c r="BL693" s="1419">
        <f>IF(OR($L693=BL$627,$L693="",$D693=$BN$626),MAX(BL$629:BL692)+1,0)</f>
        <v>0</v>
      </c>
      <c r="BM693" s="1420">
        <f>IF(OR($L693=BM$627,$L693="",$D693=$BN$626),MAX(BM$629:BM692)+1,0)</f>
        <v>0</v>
      </c>
      <c r="BN693" s="1421">
        <f>IF(OR($L693=BN$627,$L693="",$D693=$BN$626),MAX(BN$629:BN692)+1,0)</f>
        <v>50</v>
      </c>
      <c r="BO693" s="5701"/>
      <c r="BP693" s="961" t="str">
        <f t="shared" si="105"/>
        <v/>
      </c>
      <c r="BQ693" s="87" t="str">
        <f t="shared" si="106"/>
        <v/>
      </c>
      <c r="BR693" s="87" t="str">
        <f t="shared" si="107"/>
        <v>Garras</v>
      </c>
      <c r="BS693" s="1419">
        <f>IF(OR($L693=BS$627,$L693="",$D693=$BU$626),MAX(BS$629:BS692)+1,0)</f>
        <v>0</v>
      </c>
      <c r="BT693" s="1420">
        <f>IF(OR($L693=BT$627,$L693="",$D693=$BU$626),MAX(BT$629:BT692)+1,0)</f>
        <v>0</v>
      </c>
      <c r="BU693" s="1421">
        <f>IF(OR($L693=BU$627,$L693="",$D693=$BU$626),MAX(BU$629:BU692)+1,0)</f>
        <v>50</v>
      </c>
    </row>
    <row r="694" spans="1:73" ht="12.75" customHeight="1" x14ac:dyDescent="0.2">
      <c r="A694" s="242">
        <v>694</v>
      </c>
      <c r="B694" s="5664"/>
      <c r="C694" s="1288"/>
      <c r="D694" s="1289" t="s">
        <v>7244</v>
      </c>
      <c r="E694" s="1295">
        <v>80</v>
      </c>
      <c r="F694" s="1287">
        <v>-50</v>
      </c>
      <c r="G694" s="1287">
        <v>11</v>
      </c>
      <c r="H694" s="1287">
        <v>8</v>
      </c>
      <c r="I694" s="1287" t="s">
        <v>1561</v>
      </c>
      <c r="J694" s="1287" t="s">
        <v>1560</v>
      </c>
      <c r="K694" s="1281" t="s">
        <v>7526</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2199</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Katana</v>
      </c>
      <c r="AJ694" s="1419">
        <f>IF(OR($L694=AJ$627,$L694="",$D694=$AL$626),MAX(AJ$629:AJ693)+1,0)</f>
        <v>0</v>
      </c>
      <c r="AK694" s="1420">
        <f>IF(OR($L694=AK$627,$L694="",$D694=$AL$626),MAX(AK$629:AK693)+1,0)</f>
        <v>0</v>
      </c>
      <c r="AL694" s="1421">
        <f>IF(OR($L694=AL$627,$L694="",$D694=$AL$626),MAX(AL$629:AL693)+1,0)</f>
        <v>51</v>
      </c>
      <c r="AM694" s="5701"/>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Katana</v>
      </c>
      <c r="AQ694" s="1419">
        <f>IF(OR($L694=AQ$627,$L694="",$D694=$AS$626),MAX(AQ$629:AQ693)+1,0)</f>
        <v>0</v>
      </c>
      <c r="AR694" s="1420">
        <f>IF(OR($L694=AR$627,$L694="",$D694=$AS$626),MAX(AR$629:AR693)+1,0)</f>
        <v>0</v>
      </c>
      <c r="AS694" s="1421">
        <f>IF(OR($L694=AS$627,$L694="",$D694=$AS$626),MAX(AS$629:AS693)+1,0)</f>
        <v>51</v>
      </c>
      <c r="AT694" s="5701"/>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Katana</v>
      </c>
      <c r="AX694" s="1419">
        <f>IF(OR($L694=AX$627,$L694="",$D694=$AZ$626),MAX(AX$629:AX693)+1,0)</f>
        <v>0</v>
      </c>
      <c r="AY694" s="1420">
        <f>IF(OR($L694=AY$627,$L694="",$D694=$AZ$626),MAX(AY$629:AY693)+1,0)</f>
        <v>0</v>
      </c>
      <c r="AZ694" s="1421">
        <f>IF(OR($L694=AZ$627,$L694="",$D694=$AZ$626),MAX(AZ$629:AZ693)+1,0)</f>
        <v>51</v>
      </c>
      <c r="BA694" s="5701"/>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Katana</v>
      </c>
      <c r="BE694" s="1419">
        <f>IF(OR($L694=BE$627,$L694="",$D694=$BG$626),MAX(BE$629:BE693)+1,0)</f>
        <v>0</v>
      </c>
      <c r="BF694" s="1420">
        <f>IF(OR($L694=BF$627,$L694="",$D694=$BG$626),MAX(BF$629:BF693)+1,0)</f>
        <v>0</v>
      </c>
      <c r="BG694" s="1421">
        <f>IF(OR($L694=BG$627,$L694="",$D694=$BG$626),MAX(BG$629:BG693)+1,0)</f>
        <v>51</v>
      </c>
      <c r="BH694" s="5701"/>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Katana</v>
      </c>
      <c r="BL694" s="1419">
        <f>IF(OR($L694=BL$627,$L694="",$D694=$BN$626),MAX(BL$629:BL693)+1,0)</f>
        <v>0</v>
      </c>
      <c r="BM694" s="1420">
        <f>IF(OR($L694=BM$627,$L694="",$D694=$BN$626),MAX(BM$629:BM693)+1,0)</f>
        <v>0</v>
      </c>
      <c r="BN694" s="1421">
        <f>IF(OR($L694=BN$627,$L694="",$D694=$BN$626),MAX(BN$629:BN693)+1,0)</f>
        <v>51</v>
      </c>
      <c r="BO694" s="5701"/>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Katana</v>
      </c>
      <c r="BS694" s="1419">
        <f>IF(OR($L694=BS$627,$L694="",$D694=$BU$626),MAX(BS$629:BS693)+1,0)</f>
        <v>0</v>
      </c>
      <c r="BT694" s="1420">
        <f>IF(OR($L694=BT$627,$L694="",$D694=$BU$626),MAX(BT$629:BT693)+1,0)</f>
        <v>0</v>
      </c>
      <c r="BU694" s="1421">
        <f>IF(OR($L694=BU$627,$L694="",$D694=$BU$626),MAX(BU$629:BU693)+1,0)</f>
        <v>51</v>
      </c>
    </row>
    <row r="695" spans="1:73" ht="12.75" customHeight="1" x14ac:dyDescent="0.2">
      <c r="A695" s="242">
        <v>695</v>
      </c>
      <c r="B695" s="5664"/>
      <c r="C695" s="1288"/>
      <c r="D695" s="1289" t="s">
        <v>7262</v>
      </c>
      <c r="E695" s="1295">
        <v>40</v>
      </c>
      <c r="F695" s="1287">
        <v>15</v>
      </c>
      <c r="G695" s="1287">
        <v>6</v>
      </c>
      <c r="H695" s="1287" t="s">
        <v>1464</v>
      </c>
      <c r="I695" s="1287" t="s">
        <v>1560</v>
      </c>
      <c r="J695" s="1287" t="s">
        <v>1561</v>
      </c>
      <c r="K695" s="1281" t="s">
        <v>7524</v>
      </c>
      <c r="L695" s="1287" t="str">
        <f t="shared" si="109"/>
        <v>Distinta</v>
      </c>
      <c r="M695" s="1296">
        <v>13</v>
      </c>
      <c r="N695" s="1296">
        <v>2</v>
      </c>
      <c r="O695" s="1296">
        <v>20</v>
      </c>
      <c r="P695" s="1287"/>
      <c r="Q695" s="1287"/>
      <c r="R695" s="1287" t="s">
        <v>1464</v>
      </c>
      <c r="S695" s="1287" t="s">
        <v>1464</v>
      </c>
      <c r="T695" s="1287" t="s">
        <v>1464</v>
      </c>
      <c r="U695" s="1287"/>
      <c r="V695" s="1281" t="s">
        <v>2168</v>
      </c>
      <c r="W695" s="1281"/>
      <c r="X695" s="1282" t="str">
        <f t="shared" si="89"/>
        <v>Pequeña</v>
      </c>
      <c r="Z695" s="1418" t="str">
        <f t="shared" si="108"/>
        <v/>
      </c>
      <c r="AB695" s="629" t="s">
        <v>7265</v>
      </c>
      <c r="AC695" s="241"/>
      <c r="AD695" s="241"/>
      <c r="AE695" s="945"/>
      <c r="AG695" s="961" t="str">
        <f t="shared" si="110"/>
        <v/>
      </c>
      <c r="AH695" s="87" t="str">
        <f t="shared" si="111"/>
        <v/>
      </c>
      <c r="AI695" s="87" t="str">
        <f t="shared" si="112"/>
        <v>Katana de doble hoja</v>
      </c>
      <c r="AJ695" s="1419">
        <f>IF(OR($L695=AJ$627,$L695="",$D695=$AL$626),MAX(AJ$629:AJ694)+1,0)</f>
        <v>0</v>
      </c>
      <c r="AK695" s="1420">
        <f>IF(OR($L695=AK$627,$L695="",$D695=$AL$626),MAX(AK$629:AK694)+1,0)</f>
        <v>0</v>
      </c>
      <c r="AL695" s="1421">
        <f>IF(OR($L695=AL$627,$L695="",$D695=$AL$626),MAX(AL$629:AL694)+1,0)</f>
        <v>52</v>
      </c>
      <c r="AM695" s="5701"/>
      <c r="AN695" s="961" t="str">
        <f t="shared" si="113"/>
        <v/>
      </c>
      <c r="AO695" s="87" t="str">
        <f t="shared" si="114"/>
        <v/>
      </c>
      <c r="AP695" s="87" t="str">
        <f t="shared" si="115"/>
        <v>Katana de doble hoja</v>
      </c>
      <c r="AQ695" s="1419">
        <f>IF(OR($L695=AQ$627,$L695="",$D695=$AS$626),MAX(AQ$629:AQ694)+1,0)</f>
        <v>0</v>
      </c>
      <c r="AR695" s="1420">
        <f>IF(OR($L695=AR$627,$L695="",$D695=$AS$626),MAX(AR$629:AR694)+1,0)</f>
        <v>0</v>
      </c>
      <c r="AS695" s="1421">
        <f>IF(OR($L695=AS$627,$L695="",$D695=$AS$626),MAX(AS$629:AS694)+1,0)</f>
        <v>52</v>
      </c>
      <c r="AT695" s="5701"/>
      <c r="AU695" s="961" t="str">
        <f t="shared" si="116"/>
        <v/>
      </c>
      <c r="AV695" s="87" t="str">
        <f t="shared" si="117"/>
        <v/>
      </c>
      <c r="AW695" s="87" t="str">
        <f t="shared" si="118"/>
        <v>Katana de doble hoja</v>
      </c>
      <c r="AX695" s="1419">
        <f>IF(OR($L695=AX$627,$L695="",$D695=$AZ$626),MAX(AX$629:AX694)+1,0)</f>
        <v>0</v>
      </c>
      <c r="AY695" s="1420">
        <f>IF(OR($L695=AY$627,$L695="",$D695=$AZ$626),MAX(AY$629:AY694)+1,0)</f>
        <v>0</v>
      </c>
      <c r="AZ695" s="1421">
        <f>IF(OR($L695=AZ$627,$L695="",$D695=$AZ$626),MAX(AZ$629:AZ694)+1,0)</f>
        <v>52</v>
      </c>
      <c r="BA695" s="5701"/>
      <c r="BB695" s="961" t="str">
        <f t="shared" si="119"/>
        <v/>
      </c>
      <c r="BC695" s="87" t="str">
        <f t="shared" si="120"/>
        <v/>
      </c>
      <c r="BD695" s="87" t="str">
        <f t="shared" si="121"/>
        <v>Katana de doble hoja</v>
      </c>
      <c r="BE695" s="1419">
        <f>IF(OR($L695=BE$627,$L695="",$D695=$BG$626),MAX(BE$629:BE694)+1,0)</f>
        <v>0</v>
      </c>
      <c r="BF695" s="1420">
        <f>IF(OR($L695=BF$627,$L695="",$D695=$BG$626),MAX(BF$629:BF694)+1,0)</f>
        <v>0</v>
      </c>
      <c r="BG695" s="1421">
        <f>IF(OR($L695=BG$627,$L695="",$D695=$BG$626),MAX(BG$629:BG694)+1,0)</f>
        <v>52</v>
      </c>
      <c r="BH695" s="5701"/>
      <c r="BI695" s="961" t="str">
        <f t="shared" si="122"/>
        <v/>
      </c>
      <c r="BJ695" s="87" t="str">
        <f t="shared" si="123"/>
        <v/>
      </c>
      <c r="BK695" s="87" t="str">
        <f t="shared" si="124"/>
        <v>Katana de doble hoja</v>
      </c>
      <c r="BL695" s="1419">
        <f>IF(OR($L695=BL$627,$L695="",$D695=$BN$626),MAX(BL$629:BL694)+1,0)</f>
        <v>0</v>
      </c>
      <c r="BM695" s="1420">
        <f>IF(OR($L695=BM$627,$L695="",$D695=$BN$626),MAX(BM$629:BM694)+1,0)</f>
        <v>0</v>
      </c>
      <c r="BN695" s="1421">
        <f>IF(OR($L695=BN$627,$L695="",$D695=$BN$626),MAX(BN$629:BN694)+1,0)</f>
        <v>52</v>
      </c>
      <c r="BO695" s="5701"/>
      <c r="BP695" s="961" t="str">
        <f t="shared" si="125"/>
        <v/>
      </c>
      <c r="BQ695" s="87" t="str">
        <f t="shared" si="126"/>
        <v/>
      </c>
      <c r="BR695" s="87" t="str">
        <f t="shared" si="127"/>
        <v>Katana de doble hoja</v>
      </c>
      <c r="BS695" s="1419">
        <f>IF(OR($L695=BS$627,$L695="",$D695=$BU$626),MAX(BS$629:BS694)+1,0)</f>
        <v>0</v>
      </c>
      <c r="BT695" s="1420">
        <f>IF(OR($L695=BT$627,$L695="",$D695=$BU$626),MAX(BT$629:BT694)+1,0)</f>
        <v>0</v>
      </c>
      <c r="BU695" s="1421">
        <f>IF(OR($L695=BU$627,$L695="",$D695=$BU$626),MAX(BU$629:BU694)+1,0)</f>
        <v>52</v>
      </c>
    </row>
    <row r="696" spans="1:73" ht="12.75" customHeight="1" x14ac:dyDescent="0.2">
      <c r="A696" s="242">
        <v>696</v>
      </c>
      <c r="B696" s="5664"/>
      <c r="C696" s="1288"/>
      <c r="D696" s="1289" t="s">
        <v>7245</v>
      </c>
      <c r="E696" s="1295">
        <v>60</v>
      </c>
      <c r="F696" s="1287">
        <v>-30</v>
      </c>
      <c r="G696" s="1287" t="s">
        <v>1464</v>
      </c>
      <c r="H696" s="1287">
        <v>6</v>
      </c>
      <c r="I696" s="1287" t="s">
        <v>1561</v>
      </c>
      <c r="J696" s="1287" t="s">
        <v>1464</v>
      </c>
      <c r="K696" s="1281" t="s">
        <v>7519</v>
      </c>
      <c r="L696" s="1287" t="str">
        <f t="shared" si="109"/>
        <v>Similar</v>
      </c>
      <c r="M696" s="1296">
        <v>12</v>
      </c>
      <c r="N696" s="1296">
        <v>4</v>
      </c>
      <c r="O696" s="1296">
        <v>15</v>
      </c>
      <c r="P696" s="1287"/>
      <c r="Q696" s="1287"/>
      <c r="R696" s="1287" t="s">
        <v>1464</v>
      </c>
      <c r="S696" s="1287" t="s">
        <v>1464</v>
      </c>
      <c r="T696" s="1287" t="s">
        <v>1464</v>
      </c>
      <c r="U696" s="1287"/>
      <c r="V696" s="1281" t="s">
        <v>7284</v>
      </c>
      <c r="W696" s="1281"/>
      <c r="X696" s="1282" t="str">
        <f t="shared" si="89"/>
        <v>Grande</v>
      </c>
      <c r="Z696" s="1418" t="str">
        <f t="shared" si="108"/>
        <v/>
      </c>
      <c r="AB696" s="629" t="s">
        <v>7247</v>
      </c>
      <c r="AC696" s="241"/>
      <c r="AD696" s="241"/>
      <c r="AE696" s="945"/>
      <c r="AG696" s="961" t="str">
        <f t="shared" si="110"/>
        <v/>
      </c>
      <c r="AH696" s="87" t="str">
        <f t="shared" si="111"/>
        <v/>
      </c>
      <c r="AI696" s="87" t="str">
        <f t="shared" si="112"/>
        <v>Katar</v>
      </c>
      <c r="AJ696" s="1419">
        <f>IF(OR($L696=AJ$627,$L696="",$D696=$AL$626),MAX(AJ$629:AJ695)+1,0)</f>
        <v>10</v>
      </c>
      <c r="AK696" s="1420">
        <f>IF(OR($L696=AK$627,$L696="",$D696=$AL$626),MAX(AK$629:AK695)+1,0)</f>
        <v>0</v>
      </c>
      <c r="AL696" s="1421">
        <f>IF(OR($L696=AL$627,$L696="",$D696=$AL$626),MAX(AL$629:AL695)+1,0)</f>
        <v>0</v>
      </c>
      <c r="AM696" s="5701"/>
      <c r="AN696" s="961" t="str">
        <f t="shared" si="113"/>
        <v/>
      </c>
      <c r="AO696" s="87" t="str">
        <f t="shared" si="114"/>
        <v/>
      </c>
      <c r="AP696" s="87" t="str">
        <f t="shared" si="115"/>
        <v>Katar</v>
      </c>
      <c r="AQ696" s="1419">
        <f>IF(OR($L696=AQ$627,$L696="",$D696=$AS$626),MAX(AQ$629:AQ695)+1,0)</f>
        <v>10</v>
      </c>
      <c r="AR696" s="1420">
        <f>IF(OR($L696=AR$627,$L696="",$D696=$AS$626),MAX(AR$629:AR695)+1,0)</f>
        <v>0</v>
      </c>
      <c r="AS696" s="1421">
        <f>IF(OR($L696=AS$627,$L696="",$D696=$AS$626),MAX(AS$629:AS695)+1,0)</f>
        <v>0</v>
      </c>
      <c r="AT696" s="5701"/>
      <c r="AU696" s="961" t="str">
        <f t="shared" si="116"/>
        <v/>
      </c>
      <c r="AV696" s="87" t="str">
        <f t="shared" si="117"/>
        <v/>
      </c>
      <c r="AW696" s="87" t="str">
        <f t="shared" si="118"/>
        <v>Katar</v>
      </c>
      <c r="AX696" s="1419">
        <f>IF(OR($L696=AX$627,$L696="",$D696=$AZ$626),MAX(AX$629:AX695)+1,0)</f>
        <v>10</v>
      </c>
      <c r="AY696" s="1420">
        <f>IF(OR($L696=AY$627,$L696="",$D696=$AZ$626),MAX(AY$629:AY695)+1,0)</f>
        <v>0</v>
      </c>
      <c r="AZ696" s="1421">
        <f>IF(OR($L696=AZ$627,$L696="",$D696=$AZ$626),MAX(AZ$629:AZ695)+1,0)</f>
        <v>0</v>
      </c>
      <c r="BA696" s="5701"/>
      <c r="BB696" s="961" t="str">
        <f t="shared" si="119"/>
        <v/>
      </c>
      <c r="BC696" s="87" t="str">
        <f t="shared" si="120"/>
        <v/>
      </c>
      <c r="BD696" s="87" t="str">
        <f t="shared" si="121"/>
        <v>Katar</v>
      </c>
      <c r="BE696" s="1419">
        <f>IF(OR($L696=BE$627,$L696="",$D696=$BG$626),MAX(BE$629:BE695)+1,0)</f>
        <v>10</v>
      </c>
      <c r="BF696" s="1420">
        <f>IF(OR($L696=BF$627,$L696="",$D696=$BG$626),MAX(BF$629:BF695)+1,0)</f>
        <v>0</v>
      </c>
      <c r="BG696" s="1421">
        <f>IF(OR($L696=BG$627,$L696="",$D696=$BG$626),MAX(BG$629:BG695)+1,0)</f>
        <v>0</v>
      </c>
      <c r="BH696" s="5701"/>
      <c r="BI696" s="961" t="str">
        <f t="shared" si="122"/>
        <v/>
      </c>
      <c r="BJ696" s="87" t="str">
        <f t="shared" si="123"/>
        <v/>
      </c>
      <c r="BK696" s="87" t="str">
        <f t="shared" si="124"/>
        <v>Katar</v>
      </c>
      <c r="BL696" s="1419">
        <f>IF(OR($L696=BL$627,$L696="",$D696=$BN$626),MAX(BL$629:BL695)+1,0)</f>
        <v>10</v>
      </c>
      <c r="BM696" s="1420">
        <f>IF(OR($L696=BM$627,$L696="",$D696=$BN$626),MAX(BM$629:BM695)+1,0)</f>
        <v>0</v>
      </c>
      <c r="BN696" s="1421">
        <f>IF(OR($L696=BN$627,$L696="",$D696=$BN$626),MAX(BN$629:BN695)+1,0)</f>
        <v>0</v>
      </c>
      <c r="BO696" s="5701"/>
      <c r="BP696" s="961" t="str">
        <f t="shared" si="125"/>
        <v/>
      </c>
      <c r="BQ696" s="87" t="str">
        <f t="shared" si="126"/>
        <v/>
      </c>
      <c r="BR696" s="87" t="str">
        <f t="shared" si="127"/>
        <v>Katar</v>
      </c>
      <c r="BS696" s="1419">
        <f>IF(OR($L696=BS$627,$L696="",$D696=$BU$626),MAX(BS$629:BS695)+1,0)</f>
        <v>10</v>
      </c>
      <c r="BT696" s="1420">
        <f>IF(OR($L696=BT$627,$L696="",$D696=$BU$626),MAX(BT$629:BT695)+1,0)</f>
        <v>0</v>
      </c>
      <c r="BU696" s="1421">
        <f>IF(OR($L696=BU$627,$L696="",$D696=$BU$626),MAX(BU$629:BU695)+1,0)</f>
        <v>0</v>
      </c>
    </row>
    <row r="697" spans="1:73" ht="12.75" customHeight="1" x14ac:dyDescent="0.2">
      <c r="A697" s="242">
        <v>697</v>
      </c>
      <c r="B697" s="5664"/>
      <c r="C697" s="1288"/>
      <c r="D697" s="1289" t="s">
        <v>7246</v>
      </c>
      <c r="E697" s="1295">
        <v>40</v>
      </c>
      <c r="F697" s="1287">
        <v>-5</v>
      </c>
      <c r="G697" s="1287">
        <v>7</v>
      </c>
      <c r="H697" s="1287">
        <v>6</v>
      </c>
      <c r="I697" s="1287" t="s">
        <v>1560</v>
      </c>
      <c r="J697" s="1287" t="s">
        <v>1506</v>
      </c>
      <c r="K697" s="1281" t="s">
        <v>7519</v>
      </c>
      <c r="L697" s="1287" t="str">
        <f t="shared" si="109"/>
        <v>Similar</v>
      </c>
      <c r="M697" s="1296">
        <v>12</v>
      </c>
      <c r="N697" s="1296">
        <v>2</v>
      </c>
      <c r="O697" s="1296">
        <v>20</v>
      </c>
      <c r="P697" s="1287"/>
      <c r="Q697" s="1287"/>
      <c r="R697" s="1287" t="s">
        <v>1464</v>
      </c>
      <c r="S697" s="1287" t="s">
        <v>1464</v>
      </c>
      <c r="T697" s="1287" t="s">
        <v>1464</v>
      </c>
      <c r="U697" s="1287"/>
      <c r="V697" s="1281" t="s">
        <v>2164</v>
      </c>
      <c r="W697" s="1281"/>
      <c r="X697" s="1282" t="str">
        <f t="shared" si="89"/>
        <v>Grande</v>
      </c>
      <c r="Z697" s="1418" t="str">
        <f t="shared" si="108"/>
        <v/>
      </c>
      <c r="AB697" s="629" t="s">
        <v>2201</v>
      </c>
      <c r="AC697" s="241"/>
      <c r="AD697" s="241"/>
      <c r="AE697" s="945"/>
      <c r="AG697" s="961" t="str">
        <f t="shared" si="110"/>
        <v/>
      </c>
      <c r="AH697" s="87" t="str">
        <f t="shared" si="111"/>
        <v/>
      </c>
      <c r="AI697" s="87" t="str">
        <f t="shared" si="112"/>
        <v>Kusari-Gama</v>
      </c>
      <c r="AJ697" s="1419">
        <f>IF(OR($L697=AJ$627,$L697="",$D697=$AL$626),MAX(AJ$629:AJ696)+1,0)</f>
        <v>11</v>
      </c>
      <c r="AK697" s="1420">
        <f>IF(OR($L697=AK$627,$L697="",$D697=$AL$626),MAX(AK$629:AK696)+1,0)</f>
        <v>0</v>
      </c>
      <c r="AL697" s="1421">
        <f>IF(OR($L697=AL$627,$L697="",$D697=$AL$626),MAX(AL$629:AL696)+1,0)</f>
        <v>0</v>
      </c>
      <c r="AM697" s="5701"/>
      <c r="AN697" s="961" t="str">
        <f t="shared" si="113"/>
        <v/>
      </c>
      <c r="AO697" s="87" t="str">
        <f t="shared" si="114"/>
        <v/>
      </c>
      <c r="AP697" s="87" t="str">
        <f t="shared" si="115"/>
        <v>Kusari-Gama</v>
      </c>
      <c r="AQ697" s="1419">
        <f>IF(OR($L697=AQ$627,$L697="",$D697=$AS$626),MAX(AQ$629:AQ696)+1,0)</f>
        <v>11</v>
      </c>
      <c r="AR697" s="1420">
        <f>IF(OR($L697=AR$627,$L697="",$D697=$AS$626),MAX(AR$629:AR696)+1,0)</f>
        <v>0</v>
      </c>
      <c r="AS697" s="1421">
        <f>IF(OR($L697=AS$627,$L697="",$D697=$AS$626),MAX(AS$629:AS696)+1,0)</f>
        <v>0</v>
      </c>
      <c r="AT697" s="5701"/>
      <c r="AU697" s="961" t="str">
        <f t="shared" si="116"/>
        <v/>
      </c>
      <c r="AV697" s="87" t="str">
        <f t="shared" si="117"/>
        <v/>
      </c>
      <c r="AW697" s="87" t="str">
        <f t="shared" si="118"/>
        <v>Kusari-Gama</v>
      </c>
      <c r="AX697" s="1419">
        <f>IF(OR($L697=AX$627,$L697="",$D697=$AZ$626),MAX(AX$629:AX696)+1,0)</f>
        <v>11</v>
      </c>
      <c r="AY697" s="1420">
        <f>IF(OR($L697=AY$627,$L697="",$D697=$AZ$626),MAX(AY$629:AY696)+1,0)</f>
        <v>0</v>
      </c>
      <c r="AZ697" s="1421">
        <f>IF(OR($L697=AZ$627,$L697="",$D697=$AZ$626),MAX(AZ$629:AZ696)+1,0)</f>
        <v>0</v>
      </c>
      <c r="BA697" s="5701"/>
      <c r="BB697" s="961" t="str">
        <f t="shared" si="119"/>
        <v/>
      </c>
      <c r="BC697" s="87" t="str">
        <f t="shared" si="120"/>
        <v/>
      </c>
      <c r="BD697" s="87" t="str">
        <f t="shared" si="121"/>
        <v>Kusari-Gama</v>
      </c>
      <c r="BE697" s="1419">
        <f>IF(OR($L697=BE$627,$L697="",$D697=$BG$626),MAX(BE$629:BE696)+1,0)</f>
        <v>11</v>
      </c>
      <c r="BF697" s="1420">
        <f>IF(OR($L697=BF$627,$L697="",$D697=$BG$626),MAX(BF$629:BF696)+1,0)</f>
        <v>0</v>
      </c>
      <c r="BG697" s="1421">
        <f>IF(OR($L697=BG$627,$L697="",$D697=$BG$626),MAX(BG$629:BG696)+1,0)</f>
        <v>0</v>
      </c>
      <c r="BH697" s="5701"/>
      <c r="BI697" s="961" t="str">
        <f t="shared" si="122"/>
        <v/>
      </c>
      <c r="BJ697" s="87" t="str">
        <f t="shared" si="123"/>
        <v/>
      </c>
      <c r="BK697" s="87" t="str">
        <f t="shared" si="124"/>
        <v>Kusari-Gama</v>
      </c>
      <c r="BL697" s="1419">
        <f>IF(OR($L697=BL$627,$L697="",$D697=$BN$626),MAX(BL$629:BL696)+1,0)</f>
        <v>11</v>
      </c>
      <c r="BM697" s="1420">
        <f>IF(OR($L697=BM$627,$L697="",$D697=$BN$626),MAX(BM$629:BM696)+1,0)</f>
        <v>0</v>
      </c>
      <c r="BN697" s="1421">
        <f>IF(OR($L697=BN$627,$L697="",$D697=$BN$626),MAX(BN$629:BN696)+1,0)</f>
        <v>0</v>
      </c>
      <c r="BO697" s="5701"/>
      <c r="BP697" s="961" t="str">
        <f t="shared" si="125"/>
        <v/>
      </c>
      <c r="BQ697" s="87" t="str">
        <f t="shared" si="126"/>
        <v/>
      </c>
      <c r="BR697" s="87" t="str">
        <f t="shared" si="127"/>
        <v>Kusari-Gama</v>
      </c>
      <c r="BS697" s="1419">
        <f>IF(OR($L697=BS$627,$L697="",$D697=$BU$626),MAX(BS$629:BS696)+1,0)</f>
        <v>11</v>
      </c>
      <c r="BT697" s="1420">
        <f>IF(OR($L697=BT$627,$L697="",$D697=$BU$626),MAX(BT$629:BT696)+1,0)</f>
        <v>0</v>
      </c>
      <c r="BU697" s="1421">
        <f>IF(OR($L697=BU$627,$L697="",$D697=$BU$626),MAX(BU$629:BU696)+1,0)</f>
        <v>0</v>
      </c>
    </row>
    <row r="698" spans="1:73" ht="12.75" customHeight="1" x14ac:dyDescent="0.2">
      <c r="A698" s="242">
        <v>698</v>
      </c>
      <c r="B698" s="5664"/>
      <c r="C698" s="1288"/>
      <c r="D698" s="1289" t="s">
        <v>2196</v>
      </c>
      <c r="E698" s="1295">
        <v>5</v>
      </c>
      <c r="F698" s="1287">
        <v>0</v>
      </c>
      <c r="G698" s="1287">
        <v>4</v>
      </c>
      <c r="H698" s="1287">
        <v>4</v>
      </c>
      <c r="I698" s="1287" t="s">
        <v>2152</v>
      </c>
      <c r="J698" s="1287" t="s">
        <v>1560</v>
      </c>
      <c r="K698" s="1281" t="s">
        <v>7523</v>
      </c>
      <c r="L698" s="1287" t="str">
        <f t="shared" si="109"/>
        <v>Distinta</v>
      </c>
      <c r="M698" s="1296">
        <v>13</v>
      </c>
      <c r="N698" s="1296">
        <v>-4</v>
      </c>
      <c r="O698" s="1296">
        <v>15</v>
      </c>
      <c r="P698" s="1287"/>
      <c r="Q698" s="1287"/>
      <c r="R698" s="1296">
        <v>100</v>
      </c>
      <c r="S698" s="1287" t="s">
        <v>1464</v>
      </c>
      <c r="T698" s="1287">
        <v>5</v>
      </c>
      <c r="U698" s="1287"/>
      <c r="V698" s="1281" t="s">
        <v>8857</v>
      </c>
      <c r="W698" s="1281"/>
      <c r="X698" s="1282" t="str">
        <f t="shared" si="89"/>
        <v>Mediana</v>
      </c>
      <c r="Z698" s="1418" t="str">
        <f t="shared" si="108"/>
        <v/>
      </c>
      <c r="AB698" s="629" t="s">
        <v>2202</v>
      </c>
      <c r="AC698" s="241"/>
      <c r="AD698" s="241"/>
      <c r="AE698" s="945"/>
      <c r="AG698" s="961" t="str">
        <f t="shared" si="110"/>
        <v/>
      </c>
      <c r="AH698" s="87" t="str">
        <f t="shared" si="111"/>
        <v/>
      </c>
      <c r="AI698" s="87" t="str">
        <f t="shared" si="112"/>
        <v>Nodachi</v>
      </c>
      <c r="AJ698" s="1419">
        <f>IF(OR($L698=AJ$627,$L698="",$D698=$AL$626),MAX(AJ$629:AJ697)+1,0)</f>
        <v>0</v>
      </c>
      <c r="AK698" s="1420">
        <f>IF(OR($L698=AK$627,$L698="",$D698=$AL$626),MAX(AK$629:AK697)+1,0)</f>
        <v>0</v>
      </c>
      <c r="AL698" s="1421">
        <f>IF(OR($L698=AL$627,$L698="",$D698=$AL$626),MAX(AL$629:AL697)+1,0)</f>
        <v>53</v>
      </c>
      <c r="AM698" s="5701"/>
      <c r="AN698" s="961" t="str">
        <f t="shared" si="113"/>
        <v/>
      </c>
      <c r="AO698" s="87" t="str">
        <f t="shared" si="114"/>
        <v/>
      </c>
      <c r="AP698" s="87" t="str">
        <f t="shared" si="115"/>
        <v>Nodachi</v>
      </c>
      <c r="AQ698" s="1419">
        <f>IF(OR($L698=AQ$627,$L698="",$D698=$AS$626),MAX(AQ$629:AQ697)+1,0)</f>
        <v>0</v>
      </c>
      <c r="AR698" s="1420">
        <f>IF(OR($L698=AR$627,$L698="",$D698=$AS$626),MAX(AR$629:AR697)+1,0)</f>
        <v>0</v>
      </c>
      <c r="AS698" s="1421">
        <f>IF(OR($L698=AS$627,$L698="",$D698=$AS$626),MAX(AS$629:AS697)+1,0)</f>
        <v>53</v>
      </c>
      <c r="AT698" s="5701"/>
      <c r="AU698" s="961" t="str">
        <f t="shared" si="116"/>
        <v/>
      </c>
      <c r="AV698" s="87" t="str">
        <f t="shared" si="117"/>
        <v/>
      </c>
      <c r="AW698" s="87" t="str">
        <f t="shared" si="118"/>
        <v>Nodachi</v>
      </c>
      <c r="AX698" s="1419">
        <f>IF(OR($L698=AX$627,$L698="",$D698=$AZ$626),MAX(AX$629:AX697)+1,0)</f>
        <v>0</v>
      </c>
      <c r="AY698" s="1420">
        <f>IF(OR($L698=AY$627,$L698="",$D698=$AZ$626),MAX(AY$629:AY697)+1,0)</f>
        <v>0</v>
      </c>
      <c r="AZ698" s="1421">
        <f>IF(OR($L698=AZ$627,$L698="",$D698=$AZ$626),MAX(AZ$629:AZ697)+1,0)</f>
        <v>53</v>
      </c>
      <c r="BA698" s="5701"/>
      <c r="BB698" s="961" t="str">
        <f t="shared" si="119"/>
        <v/>
      </c>
      <c r="BC698" s="87" t="str">
        <f t="shared" si="120"/>
        <v/>
      </c>
      <c r="BD698" s="87" t="str">
        <f t="shared" si="121"/>
        <v>Nodachi</v>
      </c>
      <c r="BE698" s="1419">
        <f>IF(OR($L698=BE$627,$L698="",$D698=$BG$626),MAX(BE$629:BE697)+1,0)</f>
        <v>0</v>
      </c>
      <c r="BF698" s="1420">
        <f>IF(OR($L698=BF$627,$L698="",$D698=$BG$626),MAX(BF$629:BF697)+1,0)</f>
        <v>0</v>
      </c>
      <c r="BG698" s="1421">
        <f>IF(OR($L698=BG$627,$L698="",$D698=$BG$626),MAX(BG$629:BG697)+1,0)</f>
        <v>53</v>
      </c>
      <c r="BH698" s="5701"/>
      <c r="BI698" s="961" t="str">
        <f t="shared" si="122"/>
        <v/>
      </c>
      <c r="BJ698" s="87" t="str">
        <f t="shared" si="123"/>
        <v/>
      </c>
      <c r="BK698" s="87" t="str">
        <f t="shared" si="124"/>
        <v>Nodachi</v>
      </c>
      <c r="BL698" s="1419">
        <f>IF(OR($L698=BL$627,$L698="",$D698=$BN$626),MAX(BL$629:BL697)+1,0)</f>
        <v>0</v>
      </c>
      <c r="BM698" s="1420">
        <f>IF(OR($L698=BM$627,$L698="",$D698=$BN$626),MAX(BM$629:BM697)+1,0)</f>
        <v>0</v>
      </c>
      <c r="BN698" s="1421">
        <f>IF(OR($L698=BN$627,$L698="",$D698=$BN$626),MAX(BN$629:BN697)+1,0)</f>
        <v>53</v>
      </c>
      <c r="BO698" s="5701"/>
      <c r="BP698" s="961" t="str">
        <f t="shared" si="125"/>
        <v/>
      </c>
      <c r="BQ698" s="87" t="str">
        <f t="shared" si="126"/>
        <v/>
      </c>
      <c r="BR698" s="87" t="str">
        <f t="shared" si="127"/>
        <v>Nodachi</v>
      </c>
      <c r="BS698" s="1419">
        <f>IF(OR($L698=BS$627,$L698="",$D698=$BU$626),MAX(BS$629:BS697)+1,0)</f>
        <v>0</v>
      </c>
      <c r="BT698" s="1420">
        <f>IF(OR($L698=BT$627,$L698="",$D698=$BU$626),MAX(BT$629:BT697)+1,0)</f>
        <v>0</v>
      </c>
      <c r="BU698" s="1421">
        <f>IF(OR($L698=BU$627,$L698="",$D698=$BU$626),MAX(BU$629:BU697)+1,0)</f>
        <v>53</v>
      </c>
    </row>
    <row r="699" spans="1:73" ht="12.75" customHeight="1" x14ac:dyDescent="0.2">
      <c r="A699" s="242">
        <v>699</v>
      </c>
      <c r="B699" s="5664"/>
      <c r="C699" s="1288"/>
      <c r="D699" s="1289" t="s">
        <v>2197</v>
      </c>
      <c r="E699" s="1295">
        <v>45</v>
      </c>
      <c r="F699" s="1287">
        <v>10</v>
      </c>
      <c r="G699" s="1287">
        <v>6</v>
      </c>
      <c r="H699" s="1287">
        <v>6</v>
      </c>
      <c r="I699" s="1287" t="s">
        <v>1560</v>
      </c>
      <c r="J699" s="1287" t="s">
        <v>1561</v>
      </c>
      <c r="K699" s="1281" t="s">
        <v>7522</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2204</v>
      </c>
      <c r="AC699" s="241"/>
      <c r="AD699" s="241"/>
      <c r="AE699" s="945"/>
      <c r="AG699" s="961" t="str">
        <f t="shared" si="110"/>
        <v/>
      </c>
      <c r="AH699" s="87" t="str">
        <f t="shared" si="111"/>
        <v/>
      </c>
      <c r="AI699" s="87" t="str">
        <f t="shared" si="112"/>
        <v>Nunchaku</v>
      </c>
      <c r="AJ699" s="1419">
        <f>IF(OR($L699=AJ$627,$L699="",$D699=$AL$626),MAX(AJ$629:AJ698)+1,0)</f>
        <v>0</v>
      </c>
      <c r="AK699" s="1420">
        <f>IF(OR($L699=AK$627,$L699="",$D699=$AL$626),MAX(AK$629:AK698)+1,0)</f>
        <v>0</v>
      </c>
      <c r="AL699" s="1421">
        <f>IF(OR($L699=AL$627,$L699="",$D699=$AL$626),MAX(AL$629:AL698)+1,0)</f>
        <v>54</v>
      </c>
      <c r="AM699" s="5701"/>
      <c r="AN699" s="961" t="str">
        <f t="shared" si="113"/>
        <v/>
      </c>
      <c r="AO699" s="87" t="str">
        <f t="shared" si="114"/>
        <v/>
      </c>
      <c r="AP699" s="87" t="str">
        <f t="shared" si="115"/>
        <v>Nunchaku</v>
      </c>
      <c r="AQ699" s="1419">
        <f>IF(OR($L699=AQ$627,$L699="",$D699=$AS$626),MAX(AQ$629:AQ698)+1,0)</f>
        <v>0</v>
      </c>
      <c r="AR699" s="1420">
        <f>IF(OR($L699=AR$627,$L699="",$D699=$AS$626),MAX(AR$629:AR698)+1,0)</f>
        <v>0</v>
      </c>
      <c r="AS699" s="1421">
        <f>IF(OR($L699=AS$627,$L699="",$D699=$AS$626),MAX(AS$629:AS698)+1,0)</f>
        <v>54</v>
      </c>
      <c r="AT699" s="5701"/>
      <c r="AU699" s="961" t="str">
        <f t="shared" si="116"/>
        <v/>
      </c>
      <c r="AV699" s="87" t="str">
        <f t="shared" si="117"/>
        <v/>
      </c>
      <c r="AW699" s="87" t="str">
        <f t="shared" si="118"/>
        <v>Nunchaku</v>
      </c>
      <c r="AX699" s="1419">
        <f>IF(OR($L699=AX$627,$L699="",$D699=$AZ$626),MAX(AX$629:AX698)+1,0)</f>
        <v>0</v>
      </c>
      <c r="AY699" s="1420">
        <f>IF(OR($L699=AY$627,$L699="",$D699=$AZ$626),MAX(AY$629:AY698)+1,0)</f>
        <v>0</v>
      </c>
      <c r="AZ699" s="1421">
        <f>IF(OR($L699=AZ$627,$L699="",$D699=$AZ$626),MAX(AZ$629:AZ698)+1,0)</f>
        <v>54</v>
      </c>
      <c r="BA699" s="5701"/>
      <c r="BB699" s="961" t="str">
        <f t="shared" si="119"/>
        <v/>
      </c>
      <c r="BC699" s="87" t="str">
        <f t="shared" si="120"/>
        <v/>
      </c>
      <c r="BD699" s="87" t="str">
        <f t="shared" si="121"/>
        <v>Nunchaku</v>
      </c>
      <c r="BE699" s="1419">
        <f>IF(OR($L699=BE$627,$L699="",$D699=$BG$626),MAX(BE$629:BE698)+1,0)</f>
        <v>0</v>
      </c>
      <c r="BF699" s="1420">
        <f>IF(OR($L699=BF$627,$L699="",$D699=$BG$626),MAX(BF$629:BF698)+1,0)</f>
        <v>0</v>
      </c>
      <c r="BG699" s="1421">
        <f>IF(OR($L699=BG$627,$L699="",$D699=$BG$626),MAX(BG$629:BG698)+1,0)</f>
        <v>54</v>
      </c>
      <c r="BH699" s="5701"/>
      <c r="BI699" s="961" t="str">
        <f t="shared" si="122"/>
        <v/>
      </c>
      <c r="BJ699" s="87" t="str">
        <f t="shared" si="123"/>
        <v/>
      </c>
      <c r="BK699" s="87" t="str">
        <f t="shared" si="124"/>
        <v>Nunchaku</v>
      </c>
      <c r="BL699" s="1419">
        <f>IF(OR($L699=BL$627,$L699="",$D699=$BN$626),MAX(BL$629:BL698)+1,0)</f>
        <v>0</v>
      </c>
      <c r="BM699" s="1420">
        <f>IF(OR($L699=BM$627,$L699="",$D699=$BN$626),MAX(BM$629:BM698)+1,0)</f>
        <v>0</v>
      </c>
      <c r="BN699" s="1421">
        <f>IF(OR($L699=BN$627,$L699="",$D699=$BN$626),MAX(BN$629:BN698)+1,0)</f>
        <v>54</v>
      </c>
      <c r="BO699" s="5701"/>
      <c r="BP699" s="961" t="str">
        <f t="shared" si="125"/>
        <v/>
      </c>
      <c r="BQ699" s="87" t="str">
        <f t="shared" si="126"/>
        <v/>
      </c>
      <c r="BR699" s="87" t="str">
        <f t="shared" si="127"/>
        <v>Nunchaku</v>
      </c>
      <c r="BS699" s="1419">
        <f>IF(OR($L699=BS$627,$L699="",$D699=$BU$626),MAX(BS$629:BS698)+1,0)</f>
        <v>0</v>
      </c>
      <c r="BT699" s="1420">
        <f>IF(OR($L699=BT$627,$L699="",$D699=$BU$626),MAX(BT$629:BT698)+1,0)</f>
        <v>0</v>
      </c>
      <c r="BU699" s="1421">
        <f>IF(OR($L699=BU$627,$L699="",$D699=$BU$626),MAX(BU$629:BU698)+1,0)</f>
        <v>54</v>
      </c>
    </row>
    <row r="700" spans="1:73" ht="12.75" customHeight="1" x14ac:dyDescent="0.2">
      <c r="A700" s="242">
        <v>700</v>
      </c>
      <c r="B700" s="5664"/>
      <c r="C700" s="1288"/>
      <c r="D700" s="1289" t="s">
        <v>7263</v>
      </c>
      <c r="E700" s="1295">
        <v>40</v>
      </c>
      <c r="F700" s="1287">
        <v>5</v>
      </c>
      <c r="G700" s="1287">
        <v>5</v>
      </c>
      <c r="H700" s="1287">
        <v>5</v>
      </c>
      <c r="I700" s="1287" t="s">
        <v>1560</v>
      </c>
      <c r="J700" s="1287" t="s">
        <v>1464</v>
      </c>
      <c r="K700" s="1281" t="s">
        <v>7522</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7285</v>
      </c>
      <c r="W700" s="1281"/>
      <c r="X700" s="1282" t="str">
        <f t="shared" si="89"/>
        <v>Mediana</v>
      </c>
      <c r="Z700" s="1418" t="str">
        <f t="shared" si="128"/>
        <v/>
      </c>
      <c r="AB700" s="629" t="s">
        <v>2205</v>
      </c>
      <c r="AC700" s="241"/>
      <c r="AD700" s="241"/>
      <c r="AE700" s="945"/>
      <c r="AG700" s="961" t="str">
        <f t="shared" si="110"/>
        <v/>
      </c>
      <c r="AH700" s="87" t="str">
        <f t="shared" si="111"/>
        <v/>
      </c>
      <c r="AI700" s="87" t="str">
        <f t="shared" si="112"/>
        <v>Quebradora</v>
      </c>
      <c r="AJ700" s="1419">
        <f>IF(OR($L700=AJ$627,$L700="",$D700=$AL$626),MAX(AJ$629:AJ699)+1,0)</f>
        <v>0</v>
      </c>
      <c r="AK700" s="1420">
        <f>IF(OR($L700=AK$627,$L700="",$D700=$AL$626),MAX(AK$629:AK699)+1,0)</f>
        <v>0</v>
      </c>
      <c r="AL700" s="1421">
        <f>IF(OR($L700=AL$627,$L700="",$D700=$AL$626),MAX(AL$629:AL699)+1,0)</f>
        <v>55</v>
      </c>
      <c r="AM700" s="5701"/>
      <c r="AN700" s="961" t="str">
        <f t="shared" si="113"/>
        <v/>
      </c>
      <c r="AO700" s="87" t="str">
        <f t="shared" si="114"/>
        <v/>
      </c>
      <c r="AP700" s="87" t="str">
        <f t="shared" si="115"/>
        <v>Quebradora</v>
      </c>
      <c r="AQ700" s="1419">
        <f>IF(OR($L700=AQ$627,$L700="",$D700=$AS$626),MAX(AQ$629:AQ699)+1,0)</f>
        <v>0</v>
      </c>
      <c r="AR700" s="1420">
        <f>IF(OR($L700=AR$627,$L700="",$D700=$AS$626),MAX(AR$629:AR699)+1,0)</f>
        <v>0</v>
      </c>
      <c r="AS700" s="1421">
        <f>IF(OR($L700=AS$627,$L700="",$D700=$AS$626),MAX(AS$629:AS699)+1,0)</f>
        <v>55</v>
      </c>
      <c r="AT700" s="5701"/>
      <c r="AU700" s="961" t="str">
        <f t="shared" si="116"/>
        <v/>
      </c>
      <c r="AV700" s="87" t="str">
        <f t="shared" si="117"/>
        <v/>
      </c>
      <c r="AW700" s="87" t="str">
        <f t="shared" si="118"/>
        <v>Quebradora</v>
      </c>
      <c r="AX700" s="1419">
        <f>IF(OR($L700=AX$627,$L700="",$D700=$AZ$626),MAX(AX$629:AX699)+1,0)</f>
        <v>0</v>
      </c>
      <c r="AY700" s="1420">
        <f>IF(OR($L700=AY$627,$L700="",$D700=$AZ$626),MAX(AY$629:AY699)+1,0)</f>
        <v>0</v>
      </c>
      <c r="AZ700" s="1421">
        <f>IF(OR($L700=AZ$627,$L700="",$D700=$AZ$626),MAX(AZ$629:AZ699)+1,0)</f>
        <v>55</v>
      </c>
      <c r="BA700" s="5701"/>
      <c r="BB700" s="961" t="str">
        <f t="shared" si="119"/>
        <v/>
      </c>
      <c r="BC700" s="87" t="str">
        <f t="shared" si="120"/>
        <v/>
      </c>
      <c r="BD700" s="87" t="str">
        <f t="shared" si="121"/>
        <v>Quebradora</v>
      </c>
      <c r="BE700" s="1419">
        <f>IF(OR($L700=BE$627,$L700="",$D700=$BG$626),MAX(BE$629:BE699)+1,0)</f>
        <v>0</v>
      </c>
      <c r="BF700" s="1420">
        <f>IF(OR($L700=BF$627,$L700="",$D700=$BG$626),MAX(BF$629:BF699)+1,0)</f>
        <v>0</v>
      </c>
      <c r="BG700" s="1421">
        <f>IF(OR($L700=BG$627,$L700="",$D700=$BG$626),MAX(BG$629:BG699)+1,0)</f>
        <v>55</v>
      </c>
      <c r="BH700" s="5701"/>
      <c r="BI700" s="961" t="str">
        <f t="shared" si="122"/>
        <v/>
      </c>
      <c r="BJ700" s="87" t="str">
        <f t="shared" si="123"/>
        <v/>
      </c>
      <c r="BK700" s="87" t="str">
        <f t="shared" si="124"/>
        <v>Quebradora</v>
      </c>
      <c r="BL700" s="1419">
        <f>IF(OR($L700=BL$627,$L700="",$D700=$BN$626),MAX(BL$629:BL699)+1,0)</f>
        <v>0</v>
      </c>
      <c r="BM700" s="1420">
        <f>IF(OR($L700=BM$627,$L700="",$D700=$BN$626),MAX(BM$629:BM699)+1,0)</f>
        <v>0</v>
      </c>
      <c r="BN700" s="1421">
        <f>IF(OR($L700=BN$627,$L700="",$D700=$BN$626),MAX(BN$629:BN699)+1,0)</f>
        <v>55</v>
      </c>
      <c r="BO700" s="5701"/>
      <c r="BP700" s="961" t="str">
        <f t="shared" si="125"/>
        <v/>
      </c>
      <c r="BQ700" s="87" t="str">
        <f t="shared" si="126"/>
        <v/>
      </c>
      <c r="BR700" s="87" t="str">
        <f t="shared" si="127"/>
        <v>Quebradora</v>
      </c>
      <c r="BS700" s="1419">
        <f>IF(OR($L700=BS$627,$L700="",$D700=$BU$626),MAX(BS$629:BS699)+1,0)</f>
        <v>0</v>
      </c>
      <c r="BT700" s="1420">
        <f>IF(OR($L700=BT$627,$L700="",$D700=$BU$626),MAX(BT$629:BT699)+1,0)</f>
        <v>0</v>
      </c>
      <c r="BU700" s="1421">
        <f>IF(OR($L700=BU$627,$L700="",$D700=$BU$626),MAX(BU$629:BU699)+1,0)</f>
        <v>55</v>
      </c>
    </row>
    <row r="701" spans="1:73" ht="12.75" customHeight="1" x14ac:dyDescent="0.2">
      <c r="A701" s="242">
        <v>701</v>
      </c>
      <c r="B701" s="5664"/>
      <c r="C701" s="1288"/>
      <c r="D701" s="1289" t="s">
        <v>7264</v>
      </c>
      <c r="E701" s="1295">
        <v>45</v>
      </c>
      <c r="F701" s="1287">
        <v>5</v>
      </c>
      <c r="G701" s="1287">
        <v>6</v>
      </c>
      <c r="H701" s="1287">
        <v>6</v>
      </c>
      <c r="I701" s="1287" t="s">
        <v>1561</v>
      </c>
      <c r="J701" s="1287" t="s">
        <v>1560</v>
      </c>
      <c r="K701" s="1281" t="s">
        <v>7522</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2206</v>
      </c>
      <c r="AC701" s="241"/>
      <c r="AD701" s="241"/>
      <c r="AE701" s="945"/>
      <c r="AG701" s="961" t="str">
        <f t="shared" si="110"/>
        <v/>
      </c>
      <c r="AH701" s="87" t="str">
        <f t="shared" si="111"/>
        <v/>
      </c>
      <c r="AI701" s="87" t="str">
        <f t="shared" si="112"/>
        <v>Sai</v>
      </c>
      <c r="AJ701" s="1419">
        <f>IF(OR($L701=AJ$627,$L701="",$D701=$AL$626),MAX(AJ$629:AJ700)+1,0)</f>
        <v>0</v>
      </c>
      <c r="AK701" s="1420">
        <f>IF(OR($L701=AK$627,$L701="",$D701=$AL$626),MAX(AK$629:AK700)+1,0)</f>
        <v>0</v>
      </c>
      <c r="AL701" s="1421">
        <f>IF(OR($L701=AL$627,$L701="",$D701=$AL$626),MAX(AL$629:AL700)+1,0)</f>
        <v>56</v>
      </c>
      <c r="AM701" s="5701"/>
      <c r="AN701" s="961" t="str">
        <f t="shared" si="113"/>
        <v/>
      </c>
      <c r="AO701" s="87" t="str">
        <f t="shared" si="114"/>
        <v/>
      </c>
      <c r="AP701" s="87" t="str">
        <f t="shared" si="115"/>
        <v>Sai</v>
      </c>
      <c r="AQ701" s="1419">
        <f>IF(OR($L701=AQ$627,$L701="",$D701=$AS$626),MAX(AQ$629:AQ700)+1,0)</f>
        <v>0</v>
      </c>
      <c r="AR701" s="1420">
        <f>IF(OR($L701=AR$627,$L701="",$D701=$AS$626),MAX(AR$629:AR700)+1,0)</f>
        <v>0</v>
      </c>
      <c r="AS701" s="1421">
        <f>IF(OR($L701=AS$627,$L701="",$D701=$AS$626),MAX(AS$629:AS700)+1,0)</f>
        <v>56</v>
      </c>
      <c r="AT701" s="5701"/>
      <c r="AU701" s="961" t="str">
        <f t="shared" si="116"/>
        <v/>
      </c>
      <c r="AV701" s="87" t="str">
        <f t="shared" si="117"/>
        <v/>
      </c>
      <c r="AW701" s="87" t="str">
        <f t="shared" si="118"/>
        <v>Sai</v>
      </c>
      <c r="AX701" s="1419">
        <f>IF(OR($L701=AX$627,$L701="",$D701=$AZ$626),MAX(AX$629:AX700)+1,0)</f>
        <v>0</v>
      </c>
      <c r="AY701" s="1420">
        <f>IF(OR($L701=AY$627,$L701="",$D701=$AZ$626),MAX(AY$629:AY700)+1,0)</f>
        <v>0</v>
      </c>
      <c r="AZ701" s="1421">
        <f>IF(OR($L701=AZ$627,$L701="",$D701=$AZ$626),MAX(AZ$629:AZ700)+1,0)</f>
        <v>56</v>
      </c>
      <c r="BA701" s="5701"/>
      <c r="BB701" s="961" t="str">
        <f t="shared" si="119"/>
        <v/>
      </c>
      <c r="BC701" s="87" t="str">
        <f t="shared" si="120"/>
        <v/>
      </c>
      <c r="BD701" s="87" t="str">
        <f t="shared" si="121"/>
        <v>Sai</v>
      </c>
      <c r="BE701" s="1419">
        <f>IF(OR($L701=BE$627,$L701="",$D701=$BG$626),MAX(BE$629:BE700)+1,0)</f>
        <v>0</v>
      </c>
      <c r="BF701" s="1420">
        <f>IF(OR($L701=BF$627,$L701="",$D701=$BG$626),MAX(BF$629:BF700)+1,0)</f>
        <v>0</v>
      </c>
      <c r="BG701" s="1421">
        <f>IF(OR($L701=BG$627,$L701="",$D701=$BG$626),MAX(BG$629:BG700)+1,0)</f>
        <v>56</v>
      </c>
      <c r="BH701" s="5701"/>
      <c r="BI701" s="961" t="str">
        <f t="shared" si="122"/>
        <v/>
      </c>
      <c r="BJ701" s="87" t="str">
        <f t="shared" si="123"/>
        <v/>
      </c>
      <c r="BK701" s="87" t="str">
        <f t="shared" si="124"/>
        <v>Sai</v>
      </c>
      <c r="BL701" s="1419">
        <f>IF(OR($L701=BL$627,$L701="",$D701=$BN$626),MAX(BL$629:BL700)+1,0)</f>
        <v>0</v>
      </c>
      <c r="BM701" s="1420">
        <f>IF(OR($L701=BM$627,$L701="",$D701=$BN$626),MAX(BM$629:BM700)+1,0)</f>
        <v>0</v>
      </c>
      <c r="BN701" s="1421">
        <f>IF(OR($L701=BN$627,$L701="",$D701=$BN$626),MAX(BN$629:BN700)+1,0)</f>
        <v>56</v>
      </c>
      <c r="BO701" s="5701"/>
      <c r="BP701" s="961" t="str">
        <f t="shared" si="125"/>
        <v/>
      </c>
      <c r="BQ701" s="87" t="str">
        <f t="shared" si="126"/>
        <v/>
      </c>
      <c r="BR701" s="87" t="str">
        <f t="shared" si="127"/>
        <v>Sai</v>
      </c>
      <c r="BS701" s="1419">
        <f>IF(OR($L701=BS$627,$L701="",$D701=$BU$626),MAX(BS$629:BS700)+1,0)</f>
        <v>0</v>
      </c>
      <c r="BT701" s="1420">
        <f>IF(OR($L701=BT$627,$L701="",$D701=$BU$626),MAX(BT$629:BT700)+1,0)</f>
        <v>0</v>
      </c>
      <c r="BU701" s="1421">
        <f>IF(OR($L701=BU$627,$L701="",$D701=$BU$626),MAX(BU$629:BU700)+1,0)</f>
        <v>56</v>
      </c>
    </row>
    <row r="702" spans="1:73" ht="12.75" customHeight="1" x14ac:dyDescent="0.2">
      <c r="A702" s="242">
        <v>702</v>
      </c>
      <c r="B702" s="5664"/>
      <c r="C702" s="1288"/>
      <c r="D702" s="1289" t="s">
        <v>2198</v>
      </c>
      <c r="E702" s="1295">
        <v>40</v>
      </c>
      <c r="F702" s="1287">
        <v>-10</v>
      </c>
      <c r="G702" s="1287">
        <v>6</v>
      </c>
      <c r="H702" s="1287">
        <v>6</v>
      </c>
      <c r="I702" s="1287" t="s">
        <v>1561</v>
      </c>
      <c r="J702" s="1287" t="s">
        <v>1464</v>
      </c>
      <c r="K702" s="1281" t="s">
        <v>7519</v>
      </c>
      <c r="L702" s="1287" t="str">
        <f t="shared" si="129"/>
        <v>Similar</v>
      </c>
      <c r="M702" s="1296">
        <v>12</v>
      </c>
      <c r="N702" s="1296">
        <v>3</v>
      </c>
      <c r="O702" s="1296">
        <v>15</v>
      </c>
      <c r="P702" s="1287"/>
      <c r="Q702" s="1287"/>
      <c r="R702" s="1296">
        <v>100</v>
      </c>
      <c r="S702" s="1287" t="s">
        <v>1464</v>
      </c>
      <c r="T702" s="1287">
        <v>15</v>
      </c>
      <c r="U702" s="1287"/>
      <c r="V702" s="1281" t="s">
        <v>8858</v>
      </c>
      <c r="W702" s="1281"/>
      <c r="X702" s="1282" t="str">
        <f t="shared" si="130"/>
        <v>Grande</v>
      </c>
      <c r="Z702" s="1418" t="str">
        <f t="shared" si="128"/>
        <v/>
      </c>
      <c r="AB702" s="961" t="s">
        <v>2207</v>
      </c>
      <c r="AC702" s="241"/>
      <c r="AD702" s="241"/>
      <c r="AE702" s="945"/>
      <c r="AG702" s="961" t="str">
        <f t="shared" si="110"/>
        <v/>
      </c>
      <c r="AH702" s="87" t="str">
        <f t="shared" si="111"/>
        <v/>
      </c>
      <c r="AI702" s="87" t="str">
        <f t="shared" si="112"/>
        <v>Shuko</v>
      </c>
      <c r="AJ702" s="1419">
        <f>IF(OR($L702=AJ$627,$L702="",$D702=$AL$626),MAX(AJ$629:AJ701)+1,0)</f>
        <v>12</v>
      </c>
      <c r="AK702" s="1420">
        <f>IF(OR($L702=AK$627,$L702="",$D702=$AL$626),MAX(AK$629:AK701)+1,0)</f>
        <v>0</v>
      </c>
      <c r="AL702" s="1421">
        <f>IF(OR($L702=AL$627,$L702="",$D702=$AL$626),MAX(AL$629:AL701)+1,0)</f>
        <v>0</v>
      </c>
      <c r="AM702" s="5701"/>
      <c r="AN702" s="961" t="str">
        <f t="shared" si="113"/>
        <v/>
      </c>
      <c r="AO702" s="87" t="str">
        <f t="shared" si="114"/>
        <v/>
      </c>
      <c r="AP702" s="87" t="str">
        <f t="shared" si="115"/>
        <v>Shuko</v>
      </c>
      <c r="AQ702" s="1419">
        <f>IF(OR($L702=AQ$627,$L702="",$D702=$AS$626),MAX(AQ$629:AQ701)+1,0)</f>
        <v>12</v>
      </c>
      <c r="AR702" s="1420">
        <f>IF(OR($L702=AR$627,$L702="",$D702=$AS$626),MAX(AR$629:AR701)+1,0)</f>
        <v>0</v>
      </c>
      <c r="AS702" s="1421">
        <f>IF(OR($L702=AS$627,$L702="",$D702=$AS$626),MAX(AS$629:AS701)+1,0)</f>
        <v>0</v>
      </c>
      <c r="AT702" s="5701"/>
      <c r="AU702" s="961" t="str">
        <f t="shared" si="116"/>
        <v/>
      </c>
      <c r="AV702" s="87" t="str">
        <f t="shared" si="117"/>
        <v/>
      </c>
      <c r="AW702" s="87" t="str">
        <f t="shared" si="118"/>
        <v>Shuko</v>
      </c>
      <c r="AX702" s="1419">
        <f>IF(OR($L702=AX$627,$L702="",$D702=$AZ$626),MAX(AX$629:AX701)+1,0)</f>
        <v>12</v>
      </c>
      <c r="AY702" s="1420">
        <f>IF(OR($L702=AY$627,$L702="",$D702=$AZ$626),MAX(AY$629:AY701)+1,0)</f>
        <v>0</v>
      </c>
      <c r="AZ702" s="1421">
        <f>IF(OR($L702=AZ$627,$L702="",$D702=$AZ$626),MAX(AZ$629:AZ701)+1,0)</f>
        <v>0</v>
      </c>
      <c r="BA702" s="5701"/>
      <c r="BB702" s="961" t="str">
        <f t="shared" si="119"/>
        <v/>
      </c>
      <c r="BC702" s="87" t="str">
        <f t="shared" si="120"/>
        <v/>
      </c>
      <c r="BD702" s="87" t="str">
        <f t="shared" si="121"/>
        <v>Shuko</v>
      </c>
      <c r="BE702" s="1419">
        <f>IF(OR($L702=BE$627,$L702="",$D702=$BG$626),MAX(BE$629:BE701)+1,0)</f>
        <v>12</v>
      </c>
      <c r="BF702" s="1420">
        <f>IF(OR($L702=BF$627,$L702="",$D702=$BG$626),MAX(BF$629:BF701)+1,0)</f>
        <v>0</v>
      </c>
      <c r="BG702" s="1421">
        <f>IF(OR($L702=BG$627,$L702="",$D702=$BG$626),MAX(BG$629:BG701)+1,0)</f>
        <v>0</v>
      </c>
      <c r="BH702" s="5701"/>
      <c r="BI702" s="961" t="str">
        <f t="shared" si="122"/>
        <v/>
      </c>
      <c r="BJ702" s="87" t="str">
        <f t="shared" si="123"/>
        <v/>
      </c>
      <c r="BK702" s="87" t="str">
        <f t="shared" si="124"/>
        <v>Shuko</v>
      </c>
      <c r="BL702" s="1419">
        <f>IF(OR($L702=BL$627,$L702="",$D702=$BN$626),MAX(BL$629:BL701)+1,0)</f>
        <v>12</v>
      </c>
      <c r="BM702" s="1420">
        <f>IF(OR($L702=BM$627,$L702="",$D702=$BN$626),MAX(BM$629:BM701)+1,0)</f>
        <v>0</v>
      </c>
      <c r="BN702" s="1421">
        <f>IF(OR($L702=BN$627,$L702="",$D702=$BN$626),MAX(BN$629:BN701)+1,0)</f>
        <v>0</v>
      </c>
      <c r="BO702" s="5701"/>
      <c r="BP702" s="961" t="str">
        <f t="shared" si="125"/>
        <v/>
      </c>
      <c r="BQ702" s="87" t="str">
        <f t="shared" si="126"/>
        <v/>
      </c>
      <c r="BR702" s="87" t="str">
        <f t="shared" si="127"/>
        <v>Shuko</v>
      </c>
      <c r="BS702" s="1419">
        <f>IF(OR($L702=BS$627,$L702="",$D702=$BU$626),MAX(BS$629:BS701)+1,0)</f>
        <v>12</v>
      </c>
      <c r="BT702" s="1420">
        <f>IF(OR($L702=BT$627,$L702="",$D702=$BU$626),MAX(BT$629:BT701)+1,0)</f>
        <v>0</v>
      </c>
      <c r="BU702" s="1421">
        <f>IF(OR($L702=BU$627,$L702="",$D702=$BU$626),MAX(BU$629:BU701)+1,0)</f>
        <v>0</v>
      </c>
    </row>
    <row r="703" spans="1:73" ht="12.75" customHeight="1" x14ac:dyDescent="0.2">
      <c r="A703" s="242">
        <v>703</v>
      </c>
      <c r="B703" s="5664"/>
      <c r="C703" s="1288"/>
      <c r="D703" s="1289" t="s">
        <v>2199</v>
      </c>
      <c r="E703" s="1287">
        <v>40</v>
      </c>
      <c r="F703" s="1287">
        <v>0</v>
      </c>
      <c r="G703" s="1287">
        <v>6</v>
      </c>
      <c r="H703" s="1287">
        <v>6</v>
      </c>
      <c r="I703" s="1287" t="s">
        <v>1560</v>
      </c>
      <c r="J703" s="1287" t="s">
        <v>1464</v>
      </c>
      <c r="K703" s="1281" t="s">
        <v>7521</v>
      </c>
      <c r="L703" s="1287" t="str">
        <f t="shared" si="129"/>
        <v>Distinta</v>
      </c>
      <c r="M703" s="1296">
        <v>9</v>
      </c>
      <c r="N703" s="1296">
        <v>2</v>
      </c>
      <c r="O703" s="1296">
        <v>20</v>
      </c>
      <c r="P703" s="1287"/>
      <c r="Q703" s="1287"/>
      <c r="R703" s="1296">
        <v>80</v>
      </c>
      <c r="S703" s="1287" t="s">
        <v>1464</v>
      </c>
      <c r="T703" s="1287">
        <v>30</v>
      </c>
      <c r="U703" s="1287"/>
      <c r="V703" s="1281" t="s">
        <v>8859</v>
      </c>
      <c r="W703" s="1281"/>
      <c r="X703" s="1282" t="str">
        <f t="shared" si="130"/>
        <v>Mediana</v>
      </c>
      <c r="Z703" s="1418" t="str">
        <f t="shared" si="128"/>
        <v/>
      </c>
      <c r="AB703" s="629" t="s">
        <v>2210</v>
      </c>
      <c r="AC703" s="241"/>
      <c r="AD703" s="241"/>
      <c r="AE703" s="945"/>
      <c r="AG703" s="961" t="str">
        <f t="shared" si="110"/>
        <v/>
      </c>
      <c r="AH703" s="87" t="str">
        <f t="shared" si="111"/>
        <v/>
      </c>
      <c r="AI703" s="87" t="str">
        <f t="shared" si="112"/>
        <v>Shuriken</v>
      </c>
      <c r="AJ703" s="1419">
        <f>IF(OR($L703=AJ$627,$L703="",$D703=$AL$626),MAX(AJ$629:AJ702)+1,0)</f>
        <v>0</v>
      </c>
      <c r="AK703" s="1420">
        <f>IF(OR($L703=AK$627,$L703="",$D703=$AL$626),MAX(AK$629:AK702)+1,0)</f>
        <v>0</v>
      </c>
      <c r="AL703" s="1421">
        <f>IF(OR($L703=AL$627,$L703="",$D703=$AL$626),MAX(AL$629:AL702)+1,0)</f>
        <v>57</v>
      </c>
      <c r="AM703" s="5701"/>
      <c r="AN703" s="961" t="str">
        <f t="shared" si="113"/>
        <v/>
      </c>
      <c r="AO703" s="87" t="str">
        <f t="shared" si="114"/>
        <v/>
      </c>
      <c r="AP703" s="87" t="str">
        <f t="shared" si="115"/>
        <v>Shuriken</v>
      </c>
      <c r="AQ703" s="1419">
        <f>IF(OR($L703=AQ$627,$L703="",$D703=$AS$626),MAX(AQ$629:AQ702)+1,0)</f>
        <v>0</v>
      </c>
      <c r="AR703" s="1420">
        <f>IF(OR($L703=AR$627,$L703="",$D703=$AS$626),MAX(AR$629:AR702)+1,0)</f>
        <v>0</v>
      </c>
      <c r="AS703" s="1421">
        <f>IF(OR($L703=AS$627,$L703="",$D703=$AS$626),MAX(AS$629:AS702)+1,0)</f>
        <v>57</v>
      </c>
      <c r="AT703" s="5701"/>
      <c r="AU703" s="961" t="str">
        <f t="shared" si="116"/>
        <v/>
      </c>
      <c r="AV703" s="87" t="str">
        <f t="shared" si="117"/>
        <v/>
      </c>
      <c r="AW703" s="87" t="str">
        <f t="shared" si="118"/>
        <v>Shuriken</v>
      </c>
      <c r="AX703" s="1419">
        <f>IF(OR($L703=AX$627,$L703="",$D703=$AZ$626),MAX(AX$629:AX702)+1,0)</f>
        <v>0</v>
      </c>
      <c r="AY703" s="1420">
        <f>IF(OR($L703=AY$627,$L703="",$D703=$AZ$626),MAX(AY$629:AY702)+1,0)</f>
        <v>0</v>
      </c>
      <c r="AZ703" s="1421">
        <f>IF(OR($L703=AZ$627,$L703="",$D703=$AZ$626),MAX(AZ$629:AZ702)+1,0)</f>
        <v>57</v>
      </c>
      <c r="BA703" s="5701"/>
      <c r="BB703" s="961" t="str">
        <f t="shared" si="119"/>
        <v/>
      </c>
      <c r="BC703" s="87" t="str">
        <f t="shared" si="120"/>
        <v/>
      </c>
      <c r="BD703" s="87" t="str">
        <f t="shared" si="121"/>
        <v>Shuriken</v>
      </c>
      <c r="BE703" s="1419">
        <f>IF(OR($L703=BE$627,$L703="",$D703=$BG$626),MAX(BE$629:BE702)+1,0)</f>
        <v>0</v>
      </c>
      <c r="BF703" s="1420">
        <f>IF(OR($L703=BF$627,$L703="",$D703=$BG$626),MAX(BF$629:BF702)+1,0)</f>
        <v>0</v>
      </c>
      <c r="BG703" s="1421">
        <f>IF(OR($L703=BG$627,$L703="",$D703=$BG$626),MAX(BG$629:BG702)+1,0)</f>
        <v>57</v>
      </c>
      <c r="BH703" s="5701"/>
      <c r="BI703" s="961" t="str">
        <f t="shared" si="122"/>
        <v/>
      </c>
      <c r="BJ703" s="87" t="str">
        <f t="shared" si="123"/>
        <v/>
      </c>
      <c r="BK703" s="87" t="str">
        <f t="shared" si="124"/>
        <v>Shuriken</v>
      </c>
      <c r="BL703" s="1419">
        <f>IF(OR($L703=BL$627,$L703="",$D703=$BN$626),MAX(BL$629:BL702)+1,0)</f>
        <v>0</v>
      </c>
      <c r="BM703" s="1420">
        <f>IF(OR($L703=BM$627,$L703="",$D703=$BN$626),MAX(BM$629:BM702)+1,0)</f>
        <v>0</v>
      </c>
      <c r="BN703" s="1421">
        <f>IF(OR($L703=BN$627,$L703="",$D703=$BN$626),MAX(BN$629:BN702)+1,0)</f>
        <v>57</v>
      </c>
      <c r="BO703" s="5701"/>
      <c r="BP703" s="961" t="str">
        <f t="shared" si="125"/>
        <v/>
      </c>
      <c r="BQ703" s="87" t="str">
        <f t="shared" si="126"/>
        <v/>
      </c>
      <c r="BR703" s="87" t="str">
        <f t="shared" si="127"/>
        <v>Shuriken</v>
      </c>
      <c r="BS703" s="1419">
        <f>IF(OR($L703=BS$627,$L703="",$D703=$BU$626),MAX(BS$629:BS702)+1,0)</f>
        <v>0</v>
      </c>
      <c r="BT703" s="1420">
        <f>IF(OR($L703=BT$627,$L703="",$D703=$BU$626),MAX(BT$629:BT702)+1,0)</f>
        <v>0</v>
      </c>
      <c r="BU703" s="1421">
        <f>IF(OR($L703=BU$627,$L703="",$D703=$BU$626),MAX(BU$629:BU702)+1,0)</f>
        <v>57</v>
      </c>
    </row>
    <row r="704" spans="1:73" ht="12.75" customHeight="1" x14ac:dyDescent="0.2">
      <c r="A704" s="242">
        <v>704</v>
      </c>
      <c r="B704" s="5664"/>
      <c r="C704" s="1288"/>
      <c r="D704" s="1289" t="s">
        <v>7265</v>
      </c>
      <c r="E704" s="1295">
        <v>25</v>
      </c>
      <c r="F704" s="1287">
        <v>15</v>
      </c>
      <c r="G704" s="1287">
        <v>4</v>
      </c>
      <c r="H704" s="1287">
        <v>4</v>
      </c>
      <c r="I704" s="1287" t="s">
        <v>1560</v>
      </c>
      <c r="J704" s="1287" t="s">
        <v>1464</v>
      </c>
      <c r="K704" s="1281" t="s">
        <v>7523</v>
      </c>
      <c r="L704" s="1287" t="str">
        <f t="shared" si="129"/>
        <v>Distinta</v>
      </c>
      <c r="M704" s="1296">
        <v>7</v>
      </c>
      <c r="N704" s="1296">
        <v>-3</v>
      </c>
      <c r="O704" s="1296">
        <v>15</v>
      </c>
      <c r="P704" s="1287"/>
      <c r="Q704" s="1287"/>
      <c r="R704" s="1287" t="s">
        <v>1464</v>
      </c>
      <c r="S704" s="1287" t="s">
        <v>1464</v>
      </c>
      <c r="T704" s="1287" t="s">
        <v>1464</v>
      </c>
      <c r="U704" s="1287"/>
      <c r="V704" s="1281" t="s">
        <v>2218</v>
      </c>
      <c r="W704" s="1281"/>
      <c r="X704" s="1282" t="str">
        <f t="shared" si="130"/>
        <v>Mediana</v>
      </c>
      <c r="Z704" s="1418" t="str">
        <f t="shared" si="128"/>
        <v/>
      </c>
      <c r="AB704" s="629" t="s">
        <v>2211</v>
      </c>
      <c r="AC704" s="241"/>
      <c r="AD704" s="241"/>
      <c r="AE704" s="945"/>
      <c r="AG704" s="961" t="str">
        <f t="shared" si="110"/>
        <v/>
      </c>
      <c r="AH704" s="87" t="str">
        <f t="shared" si="111"/>
        <v/>
      </c>
      <c r="AI704" s="87" t="str">
        <f t="shared" si="112"/>
        <v>Tanto</v>
      </c>
      <c r="AJ704" s="1419">
        <f>IF(OR($L704=AJ$627,$L704="",$D704=$AL$626),MAX(AJ$629:AJ703)+1,0)</f>
        <v>0</v>
      </c>
      <c r="AK704" s="1420">
        <f>IF(OR($L704=AK$627,$L704="",$D704=$AL$626),MAX(AK$629:AK703)+1,0)</f>
        <v>0</v>
      </c>
      <c r="AL704" s="1421">
        <f>IF(OR($L704=AL$627,$L704="",$D704=$AL$626),MAX(AL$629:AL703)+1,0)</f>
        <v>58</v>
      </c>
      <c r="AM704" s="5701"/>
      <c r="AN704" s="961" t="str">
        <f t="shared" si="113"/>
        <v/>
      </c>
      <c r="AO704" s="87" t="str">
        <f t="shared" si="114"/>
        <v/>
      </c>
      <c r="AP704" s="87" t="str">
        <f t="shared" si="115"/>
        <v>Tanto</v>
      </c>
      <c r="AQ704" s="1419">
        <f>IF(OR($L704=AQ$627,$L704="",$D704=$AS$626),MAX(AQ$629:AQ703)+1,0)</f>
        <v>0</v>
      </c>
      <c r="AR704" s="1420">
        <f>IF(OR($L704=AR$627,$L704="",$D704=$AS$626),MAX(AR$629:AR703)+1,0)</f>
        <v>0</v>
      </c>
      <c r="AS704" s="1421">
        <f>IF(OR($L704=AS$627,$L704="",$D704=$AS$626),MAX(AS$629:AS703)+1,0)</f>
        <v>58</v>
      </c>
      <c r="AT704" s="5701"/>
      <c r="AU704" s="961" t="str">
        <f t="shared" si="116"/>
        <v/>
      </c>
      <c r="AV704" s="87" t="str">
        <f t="shared" si="117"/>
        <v/>
      </c>
      <c r="AW704" s="87" t="str">
        <f t="shared" si="118"/>
        <v>Tanto</v>
      </c>
      <c r="AX704" s="1419">
        <f>IF(OR($L704=AX$627,$L704="",$D704=$AZ$626),MAX(AX$629:AX703)+1,0)</f>
        <v>0</v>
      </c>
      <c r="AY704" s="1420">
        <f>IF(OR($L704=AY$627,$L704="",$D704=$AZ$626),MAX(AY$629:AY703)+1,0)</f>
        <v>0</v>
      </c>
      <c r="AZ704" s="1421">
        <f>IF(OR($L704=AZ$627,$L704="",$D704=$AZ$626),MAX(AZ$629:AZ703)+1,0)</f>
        <v>58</v>
      </c>
      <c r="BA704" s="5701"/>
      <c r="BB704" s="961" t="str">
        <f t="shared" si="119"/>
        <v/>
      </c>
      <c r="BC704" s="87" t="str">
        <f t="shared" si="120"/>
        <v/>
      </c>
      <c r="BD704" s="87" t="str">
        <f t="shared" si="121"/>
        <v>Tanto</v>
      </c>
      <c r="BE704" s="1419">
        <f>IF(OR($L704=BE$627,$L704="",$D704=$BG$626),MAX(BE$629:BE703)+1,0)</f>
        <v>0</v>
      </c>
      <c r="BF704" s="1420">
        <f>IF(OR($L704=BF$627,$L704="",$D704=$BG$626),MAX(BF$629:BF703)+1,0)</f>
        <v>0</v>
      </c>
      <c r="BG704" s="1421">
        <f>IF(OR($L704=BG$627,$L704="",$D704=$BG$626),MAX(BG$629:BG703)+1,0)</f>
        <v>58</v>
      </c>
      <c r="BH704" s="5701"/>
      <c r="BI704" s="961" t="str">
        <f t="shared" si="122"/>
        <v/>
      </c>
      <c r="BJ704" s="87" t="str">
        <f t="shared" si="123"/>
        <v/>
      </c>
      <c r="BK704" s="87" t="str">
        <f t="shared" si="124"/>
        <v>Tanto</v>
      </c>
      <c r="BL704" s="1419">
        <f>IF(OR($L704=BL$627,$L704="",$D704=$BN$626),MAX(BL$629:BL703)+1,0)</f>
        <v>0</v>
      </c>
      <c r="BM704" s="1420">
        <f>IF(OR($L704=BM$627,$L704="",$D704=$BN$626),MAX(BM$629:BM703)+1,0)</f>
        <v>0</v>
      </c>
      <c r="BN704" s="1421">
        <f>IF(OR($L704=BN$627,$L704="",$D704=$BN$626),MAX(BN$629:BN703)+1,0)</f>
        <v>58</v>
      </c>
      <c r="BO704" s="5701"/>
      <c r="BP704" s="961" t="str">
        <f t="shared" si="125"/>
        <v/>
      </c>
      <c r="BQ704" s="87" t="str">
        <f t="shared" si="126"/>
        <v/>
      </c>
      <c r="BR704" s="87" t="str">
        <f t="shared" si="127"/>
        <v>Tanto</v>
      </c>
      <c r="BS704" s="1419">
        <f>IF(OR($L704=BS$627,$L704="",$D704=$BU$626),MAX(BS$629:BS703)+1,0)</f>
        <v>0</v>
      </c>
      <c r="BT704" s="1420">
        <f>IF(OR($L704=BT$627,$L704="",$D704=$BU$626),MAX(BT$629:BT703)+1,0)</f>
        <v>0</v>
      </c>
      <c r="BU704" s="1421">
        <f>IF(OR($L704=BU$627,$L704="",$D704=$BU$626),MAX(BU$629:BU703)+1,0)</f>
        <v>58</v>
      </c>
    </row>
    <row r="705" spans="1:73" ht="12.75" customHeight="1" x14ac:dyDescent="0.2">
      <c r="A705" s="242">
        <v>705</v>
      </c>
      <c r="B705" s="5664"/>
      <c r="C705" s="1288"/>
      <c r="D705" s="1289" t="s">
        <v>7247</v>
      </c>
      <c r="E705" s="1295">
        <v>40</v>
      </c>
      <c r="F705" s="1287">
        <v>0</v>
      </c>
      <c r="G705" s="1287">
        <v>8</v>
      </c>
      <c r="H705" s="1287">
        <v>5</v>
      </c>
      <c r="I705" s="1287" t="s">
        <v>1560</v>
      </c>
      <c r="J705" s="1287" t="s">
        <v>1506</v>
      </c>
      <c r="K705" s="1281" t="s">
        <v>7534</v>
      </c>
      <c r="L705" s="1287" t="str">
        <f t="shared" si="129"/>
        <v>Mixta</v>
      </c>
      <c r="M705" s="1296">
        <v>11</v>
      </c>
      <c r="N705" s="1296">
        <v>2</v>
      </c>
      <c r="O705" s="1296">
        <v>20</v>
      </c>
      <c r="P705" s="1287"/>
      <c r="Q705" s="1287"/>
      <c r="R705" s="1287" t="s">
        <v>1464</v>
      </c>
      <c r="S705" s="1287" t="s">
        <v>1464</v>
      </c>
      <c r="T705" s="1287" t="s">
        <v>1464</v>
      </c>
      <c r="U705" s="1287"/>
      <c r="V705" s="1281" t="s">
        <v>2164</v>
      </c>
      <c r="W705" s="1281"/>
      <c r="X705" s="1282" t="str">
        <f t="shared" si="130"/>
        <v>Grande</v>
      </c>
      <c r="Z705" s="1418" t="str">
        <f t="shared" si="128"/>
        <v/>
      </c>
      <c r="AB705" s="629" t="s">
        <v>2213</v>
      </c>
      <c r="AC705" s="241"/>
      <c r="AD705" s="241"/>
      <c r="AE705" s="945"/>
      <c r="AG705" s="961" t="str">
        <f t="shared" si="110"/>
        <v/>
      </c>
      <c r="AH705" s="87" t="str">
        <f t="shared" si="111"/>
        <v/>
      </c>
      <c r="AI705" s="87" t="str">
        <f t="shared" si="112"/>
        <v>Tonfa</v>
      </c>
      <c r="AJ705" s="1419">
        <f>IF(OR($L705=AJ$627,$L705="",$D705=$AL$626),MAX(AJ$629:AJ704)+1,0)</f>
        <v>0</v>
      </c>
      <c r="AK705" s="1420">
        <f>IF(OR($L705=AK$627,$L705="",$D705=$AL$626),MAX(AK$629:AK704)+1,0)</f>
        <v>5</v>
      </c>
      <c r="AL705" s="1421">
        <f>IF(OR($L705=AL$627,$L705="",$D705=$AL$626),MAX(AL$629:AL704)+1,0)</f>
        <v>0</v>
      </c>
      <c r="AM705" s="5701"/>
      <c r="AN705" s="961" t="str">
        <f t="shared" si="113"/>
        <v/>
      </c>
      <c r="AO705" s="87" t="str">
        <f t="shared" si="114"/>
        <v/>
      </c>
      <c r="AP705" s="87" t="str">
        <f t="shared" si="115"/>
        <v>Tonfa</v>
      </c>
      <c r="AQ705" s="1419">
        <f>IF(OR($L705=AQ$627,$L705="",$D705=$AS$626),MAX(AQ$629:AQ704)+1,0)</f>
        <v>0</v>
      </c>
      <c r="AR705" s="1420">
        <f>IF(OR($L705=AR$627,$L705="",$D705=$AS$626),MAX(AR$629:AR704)+1,0)</f>
        <v>5</v>
      </c>
      <c r="AS705" s="1421">
        <f>IF(OR($L705=AS$627,$L705="",$D705=$AS$626),MAX(AS$629:AS704)+1,0)</f>
        <v>0</v>
      </c>
      <c r="AT705" s="5701"/>
      <c r="AU705" s="961" t="str">
        <f t="shared" si="116"/>
        <v/>
      </c>
      <c r="AV705" s="87" t="str">
        <f t="shared" si="117"/>
        <v/>
      </c>
      <c r="AW705" s="87" t="str">
        <f t="shared" si="118"/>
        <v>Tonfa</v>
      </c>
      <c r="AX705" s="1419">
        <f>IF(OR($L705=AX$627,$L705="",$D705=$AZ$626),MAX(AX$629:AX704)+1,0)</f>
        <v>0</v>
      </c>
      <c r="AY705" s="1420">
        <f>IF(OR($L705=AY$627,$L705="",$D705=$AZ$626),MAX(AY$629:AY704)+1,0)</f>
        <v>5</v>
      </c>
      <c r="AZ705" s="1421">
        <f>IF(OR($L705=AZ$627,$L705="",$D705=$AZ$626),MAX(AZ$629:AZ704)+1,0)</f>
        <v>0</v>
      </c>
      <c r="BA705" s="5701"/>
      <c r="BB705" s="961" t="str">
        <f t="shared" si="119"/>
        <v/>
      </c>
      <c r="BC705" s="87" t="str">
        <f t="shared" si="120"/>
        <v/>
      </c>
      <c r="BD705" s="87" t="str">
        <f t="shared" si="121"/>
        <v>Tonfa</v>
      </c>
      <c r="BE705" s="1419">
        <f>IF(OR($L705=BE$627,$L705="",$D705=$BG$626),MAX(BE$629:BE704)+1,0)</f>
        <v>0</v>
      </c>
      <c r="BF705" s="1420">
        <f>IF(OR($L705=BF$627,$L705="",$D705=$BG$626),MAX(BF$629:BF704)+1,0)</f>
        <v>5</v>
      </c>
      <c r="BG705" s="1421">
        <f>IF(OR($L705=BG$627,$L705="",$D705=$BG$626),MAX(BG$629:BG704)+1,0)</f>
        <v>0</v>
      </c>
      <c r="BH705" s="5701"/>
      <c r="BI705" s="961" t="str">
        <f t="shared" si="122"/>
        <v/>
      </c>
      <c r="BJ705" s="87" t="str">
        <f t="shared" si="123"/>
        <v/>
      </c>
      <c r="BK705" s="87" t="str">
        <f t="shared" si="124"/>
        <v>Tonfa</v>
      </c>
      <c r="BL705" s="1419">
        <f>IF(OR($L705=BL$627,$L705="",$D705=$BN$626),MAX(BL$629:BL704)+1,0)</f>
        <v>0</v>
      </c>
      <c r="BM705" s="1420">
        <f>IF(OR($L705=BM$627,$L705="",$D705=$BN$626),MAX(BM$629:BM704)+1,0)</f>
        <v>5</v>
      </c>
      <c r="BN705" s="1421">
        <f>IF(OR($L705=BN$627,$L705="",$D705=$BN$626),MAX(BN$629:BN704)+1,0)</f>
        <v>0</v>
      </c>
      <c r="BO705" s="5701"/>
      <c r="BP705" s="961" t="str">
        <f t="shared" si="125"/>
        <v/>
      </c>
      <c r="BQ705" s="87" t="str">
        <f t="shared" si="126"/>
        <v/>
      </c>
      <c r="BR705" s="87" t="str">
        <f t="shared" si="127"/>
        <v>Tonfa</v>
      </c>
      <c r="BS705" s="1419">
        <f>IF(OR($L705=BS$627,$L705="",$D705=$BU$626),MAX(BS$629:BS704)+1,0)</f>
        <v>0</v>
      </c>
      <c r="BT705" s="1420">
        <f>IF(OR($L705=BT$627,$L705="",$D705=$BU$626),MAX(BT$629:BT704)+1,0)</f>
        <v>5</v>
      </c>
      <c r="BU705" s="1421">
        <f>IF(OR($L705=BU$627,$L705="",$D705=$BU$626),MAX(BU$629:BU704)+1,0)</f>
        <v>0</v>
      </c>
    </row>
    <row r="706" spans="1:73" ht="12.75" customHeight="1" x14ac:dyDescent="0.2">
      <c r="A706" s="242">
        <v>706</v>
      </c>
      <c r="B706" s="5664"/>
      <c r="C706" s="1288"/>
      <c r="D706" s="1289" t="s">
        <v>2200</v>
      </c>
      <c r="E706" s="1295">
        <v>30</v>
      </c>
      <c r="F706" s="1287">
        <v>10</v>
      </c>
      <c r="G706" s="1287">
        <v>4</v>
      </c>
      <c r="H706" s="1287">
        <v>4</v>
      </c>
      <c r="I706" s="1287" t="s">
        <v>1506</v>
      </c>
      <c r="J706" s="1287" t="s">
        <v>1464</v>
      </c>
      <c r="K706" s="1281" t="s">
        <v>7519</v>
      </c>
      <c r="L706" s="1287" t="str">
        <f t="shared" si="129"/>
        <v>Similar</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2214</v>
      </c>
      <c r="AC706" s="241"/>
      <c r="AD706" s="241"/>
      <c r="AE706" s="945"/>
      <c r="AG706" s="961" t="str">
        <f t="shared" si="110"/>
        <v/>
      </c>
      <c r="AH706" s="87" t="str">
        <f t="shared" si="111"/>
        <v/>
      </c>
      <c r="AI706" s="87" t="str">
        <f t="shared" si="112"/>
        <v>Boku-to</v>
      </c>
      <c r="AJ706" s="1419">
        <f>IF(OR($L706=AJ$627,$L706="",$D706=$AL$626),MAX(AJ$629:AJ705)+1,0)</f>
        <v>13</v>
      </c>
      <c r="AK706" s="1420">
        <f>IF(OR($L706=AK$627,$L706="",$D706=$AL$626),MAX(AK$629:AK705)+1,0)</f>
        <v>0</v>
      </c>
      <c r="AL706" s="1421">
        <f>IF(OR($L706=AL$627,$L706="",$D706=$AL$626),MAX(AL$629:AL705)+1,0)</f>
        <v>0</v>
      </c>
      <c r="AM706" s="5701"/>
      <c r="AN706" s="961" t="str">
        <f t="shared" si="113"/>
        <v/>
      </c>
      <c r="AO706" s="87" t="str">
        <f t="shared" si="114"/>
        <v/>
      </c>
      <c r="AP706" s="87" t="str">
        <f t="shared" si="115"/>
        <v>Boku-to</v>
      </c>
      <c r="AQ706" s="1419">
        <f>IF(OR($L706=AQ$627,$L706="",$D706=$AS$626),MAX(AQ$629:AQ705)+1,0)</f>
        <v>13</v>
      </c>
      <c r="AR706" s="1420">
        <f>IF(OR($L706=AR$627,$L706="",$D706=$AS$626),MAX(AR$629:AR705)+1,0)</f>
        <v>0</v>
      </c>
      <c r="AS706" s="1421">
        <f>IF(OR($L706=AS$627,$L706="",$D706=$AS$626),MAX(AS$629:AS705)+1,0)</f>
        <v>0</v>
      </c>
      <c r="AT706" s="5701"/>
      <c r="AU706" s="961" t="str">
        <f t="shared" si="116"/>
        <v/>
      </c>
      <c r="AV706" s="87" t="str">
        <f t="shared" si="117"/>
        <v/>
      </c>
      <c r="AW706" s="87" t="str">
        <f t="shared" si="118"/>
        <v>Boku-to</v>
      </c>
      <c r="AX706" s="1419">
        <f>IF(OR($L706=AX$627,$L706="",$D706=$AZ$626),MAX(AX$629:AX705)+1,0)</f>
        <v>13</v>
      </c>
      <c r="AY706" s="1420">
        <f>IF(OR($L706=AY$627,$L706="",$D706=$AZ$626),MAX(AY$629:AY705)+1,0)</f>
        <v>0</v>
      </c>
      <c r="AZ706" s="1421">
        <f>IF(OR($L706=AZ$627,$L706="",$D706=$AZ$626),MAX(AZ$629:AZ705)+1,0)</f>
        <v>0</v>
      </c>
      <c r="BA706" s="5701"/>
      <c r="BB706" s="961" t="str">
        <f t="shared" si="119"/>
        <v/>
      </c>
      <c r="BC706" s="87" t="str">
        <f t="shared" si="120"/>
        <v/>
      </c>
      <c r="BD706" s="87" t="str">
        <f t="shared" si="121"/>
        <v>Boku-to</v>
      </c>
      <c r="BE706" s="1419">
        <f>IF(OR($L706=BE$627,$L706="",$D706=$BG$626),MAX(BE$629:BE705)+1,0)</f>
        <v>13</v>
      </c>
      <c r="BF706" s="1420">
        <f>IF(OR($L706=BF$627,$L706="",$D706=$BG$626),MAX(BF$629:BF705)+1,0)</f>
        <v>0</v>
      </c>
      <c r="BG706" s="1421">
        <f>IF(OR($L706=BG$627,$L706="",$D706=$BG$626),MAX(BG$629:BG705)+1,0)</f>
        <v>0</v>
      </c>
      <c r="BH706" s="5701"/>
      <c r="BI706" s="961" t="str">
        <f t="shared" si="122"/>
        <v/>
      </c>
      <c r="BJ706" s="87" t="str">
        <f t="shared" si="123"/>
        <v/>
      </c>
      <c r="BK706" s="87" t="str">
        <f t="shared" si="124"/>
        <v>Boku-to</v>
      </c>
      <c r="BL706" s="1419">
        <f>IF(OR($L706=BL$627,$L706="",$D706=$BN$626),MAX(BL$629:BL705)+1,0)</f>
        <v>13</v>
      </c>
      <c r="BM706" s="1420">
        <f>IF(OR($L706=BM$627,$L706="",$D706=$BN$626),MAX(BM$629:BM705)+1,0)</f>
        <v>0</v>
      </c>
      <c r="BN706" s="1421">
        <f>IF(OR($L706=BN$627,$L706="",$D706=$BN$626),MAX(BN$629:BN705)+1,0)</f>
        <v>0</v>
      </c>
      <c r="BO706" s="5701"/>
      <c r="BP706" s="961" t="str">
        <f t="shared" si="125"/>
        <v/>
      </c>
      <c r="BQ706" s="87" t="str">
        <f t="shared" si="126"/>
        <v/>
      </c>
      <c r="BR706" s="87" t="str">
        <f t="shared" si="127"/>
        <v>Boku-to</v>
      </c>
      <c r="BS706" s="1419">
        <f>IF(OR($L706=BS$627,$L706="",$D706=$BU$626),MAX(BS$629:BS705)+1,0)</f>
        <v>13</v>
      </c>
      <c r="BT706" s="1420">
        <f>IF(OR($L706=BT$627,$L706="",$D706=$BU$626),MAX(BT$629:BT705)+1,0)</f>
        <v>0</v>
      </c>
      <c r="BU706" s="1421">
        <f>IF(OR($L706=BU$627,$L706="",$D706=$BU$626),MAX(BU$629:BU705)+1,0)</f>
        <v>0</v>
      </c>
    </row>
    <row r="707" spans="1:73" ht="12.75" customHeight="1" x14ac:dyDescent="0.2">
      <c r="A707" s="242">
        <v>707</v>
      </c>
      <c r="B707" s="5664"/>
      <c r="C707" s="1288"/>
      <c r="D707" s="1289" t="s">
        <v>2201</v>
      </c>
      <c r="E707" s="1293"/>
      <c r="F707" s="1293"/>
      <c r="G707" s="1293"/>
      <c r="H707" s="1293"/>
      <c r="I707" s="1293"/>
      <c r="J707" s="1293"/>
      <c r="K707" s="1050" t="s">
        <v>7517</v>
      </c>
      <c r="L707" s="1293"/>
      <c r="M707" s="1293"/>
      <c r="N707" s="1293"/>
      <c r="O707" s="1293"/>
      <c r="P707" s="1293"/>
      <c r="Q707" s="1293"/>
      <c r="R707" s="1293"/>
      <c r="S707" s="1293"/>
      <c r="T707" s="1293"/>
      <c r="U707" s="1293"/>
      <c r="V707" s="1050"/>
      <c r="W707" s="1050"/>
      <c r="X707" s="1294"/>
      <c r="Z707" s="1418" t="str">
        <f t="shared" si="128"/>
        <v/>
      </c>
      <c r="AB707" s="629" t="s">
        <v>2217</v>
      </c>
      <c r="AC707" s="241"/>
      <c r="AD707" s="241"/>
      <c r="AE707" s="945"/>
      <c r="AG707" s="961" t="str">
        <f t="shared" si="110"/>
        <v/>
      </c>
      <c r="AH707" s="87" t="str">
        <f t="shared" si="111"/>
        <v/>
      </c>
      <c r="AI707" s="87" t="str">
        <f t="shared" si="112"/>
        <v>Jutte</v>
      </c>
      <c r="AJ707" s="1419">
        <f>IF(OR($L707=AJ$627,$L707="",$D707=$AL$626),MAX(AJ$629:AJ706)+1,0)</f>
        <v>14</v>
      </c>
      <c r="AK707" s="1420">
        <f>IF(OR($L707=AK$627,$L707="",$D707=$AL$626),MAX(AK$629:AK706)+1,0)</f>
        <v>6</v>
      </c>
      <c r="AL707" s="1421">
        <f>IF(OR($L707=AL$627,$L707="",$D707=$AL$626),MAX(AL$629:AL706)+1,0)</f>
        <v>59</v>
      </c>
      <c r="AM707" s="5701"/>
      <c r="AN707" s="961" t="str">
        <f t="shared" si="113"/>
        <v/>
      </c>
      <c r="AO707" s="87" t="str">
        <f t="shared" si="114"/>
        <v/>
      </c>
      <c r="AP707" s="87" t="str">
        <f t="shared" si="115"/>
        <v>Jutte</v>
      </c>
      <c r="AQ707" s="1419">
        <f>IF(OR($L707=AQ$627,$L707="",$D707=$AS$626),MAX(AQ$629:AQ706)+1,0)</f>
        <v>14</v>
      </c>
      <c r="AR707" s="1420">
        <f>IF(OR($L707=AR$627,$L707="",$D707=$AS$626),MAX(AR$629:AR706)+1,0)</f>
        <v>6</v>
      </c>
      <c r="AS707" s="1421">
        <f>IF(OR($L707=AS$627,$L707="",$D707=$AS$626),MAX(AS$629:AS706)+1,0)</f>
        <v>59</v>
      </c>
      <c r="AT707" s="5701"/>
      <c r="AU707" s="961" t="str">
        <f t="shared" si="116"/>
        <v/>
      </c>
      <c r="AV707" s="87" t="str">
        <f t="shared" si="117"/>
        <v/>
      </c>
      <c r="AW707" s="87" t="str">
        <f t="shared" si="118"/>
        <v>Jutte</v>
      </c>
      <c r="AX707" s="1419">
        <f>IF(OR($L707=AX$627,$L707="",$D707=$AZ$626),MAX(AX$629:AX706)+1,0)</f>
        <v>14</v>
      </c>
      <c r="AY707" s="1420">
        <f>IF(OR($L707=AY$627,$L707="",$D707=$AZ$626),MAX(AY$629:AY706)+1,0)</f>
        <v>6</v>
      </c>
      <c r="AZ707" s="1421">
        <f>IF(OR($L707=AZ$627,$L707="",$D707=$AZ$626),MAX(AZ$629:AZ706)+1,0)</f>
        <v>59</v>
      </c>
      <c r="BA707" s="5701"/>
      <c r="BB707" s="961" t="str">
        <f t="shared" si="119"/>
        <v/>
      </c>
      <c r="BC707" s="87" t="str">
        <f t="shared" si="120"/>
        <v/>
      </c>
      <c r="BD707" s="87" t="str">
        <f t="shared" si="121"/>
        <v>Jutte</v>
      </c>
      <c r="BE707" s="1419">
        <f>IF(OR($L707=BE$627,$L707="",$D707=$BG$626),MAX(BE$629:BE706)+1,0)</f>
        <v>14</v>
      </c>
      <c r="BF707" s="1420">
        <f>IF(OR($L707=BF$627,$L707="",$D707=$BG$626),MAX(BF$629:BF706)+1,0)</f>
        <v>6</v>
      </c>
      <c r="BG707" s="1421">
        <f>IF(OR($L707=BG$627,$L707="",$D707=$BG$626),MAX(BG$629:BG706)+1,0)</f>
        <v>59</v>
      </c>
      <c r="BH707" s="5701"/>
      <c r="BI707" s="961" t="str">
        <f t="shared" si="122"/>
        <v/>
      </c>
      <c r="BJ707" s="87" t="str">
        <f t="shared" si="123"/>
        <v/>
      </c>
      <c r="BK707" s="87" t="str">
        <f t="shared" si="124"/>
        <v>Jutte</v>
      </c>
      <c r="BL707" s="1419">
        <f>IF(OR($L707=BL$627,$L707="",$D707=$BN$626),MAX(BL$629:BL706)+1,0)</f>
        <v>14</v>
      </c>
      <c r="BM707" s="1420">
        <f>IF(OR($L707=BM$627,$L707="",$D707=$BN$626),MAX(BM$629:BM706)+1,0)</f>
        <v>6</v>
      </c>
      <c r="BN707" s="1421">
        <f>IF(OR($L707=BN$627,$L707="",$D707=$BN$626),MAX(BN$629:BN706)+1,0)</f>
        <v>59</v>
      </c>
      <c r="BO707" s="5701"/>
      <c r="BP707" s="961" t="str">
        <f t="shared" si="125"/>
        <v/>
      </c>
      <c r="BQ707" s="87" t="str">
        <f t="shared" si="126"/>
        <v/>
      </c>
      <c r="BR707" s="87" t="str">
        <f t="shared" si="127"/>
        <v>Jutte</v>
      </c>
      <c r="BS707" s="1419">
        <f>IF(OR($L707=BS$627,$L707="",$D707=$BU$626),MAX(BS$629:BS706)+1,0)</f>
        <v>14</v>
      </c>
      <c r="BT707" s="1420">
        <f>IF(OR($L707=BT$627,$L707="",$D707=$BU$626),MAX(BT$629:BT706)+1,0)</f>
        <v>6</v>
      </c>
      <c r="BU707" s="1421">
        <f>IF(OR($L707=BU$627,$L707="",$D707=$BU$626),MAX(BU$629:BU706)+1,0)</f>
        <v>59</v>
      </c>
    </row>
    <row r="708" spans="1:73" ht="12.75" customHeight="1" x14ac:dyDescent="0.2">
      <c r="A708" s="242">
        <v>708</v>
      </c>
      <c r="B708" s="5664"/>
      <c r="C708" s="1288"/>
      <c r="D708" s="1289" t="s">
        <v>2202</v>
      </c>
      <c r="E708" s="1295">
        <v>25</v>
      </c>
      <c r="F708" s="1287">
        <v>-40</v>
      </c>
      <c r="G708" s="1287">
        <v>10</v>
      </c>
      <c r="H708" s="1287">
        <v>10</v>
      </c>
      <c r="I708" s="1287" t="s">
        <v>1506</v>
      </c>
      <c r="J708" s="1287" t="s">
        <v>1464</v>
      </c>
      <c r="K708" s="1281" t="s">
        <v>7535</v>
      </c>
      <c r="L708" s="1287" t="str">
        <f>IF(ISNUMBER(SEARCH($D708,Armas_Conocidas)),"Conocida",IF(OR(ISNUMBER(SEARCH(LEFT($K708,SEARCH("/",$K708)),Tipologías_Conocidas)),AND(NOT(ISNUMBER(SEARCH("/-",$K708))),ISNUMBER(SEARCH(MID($K708,SEARCH("/",$K708)+1,LEN($K708)),Tipologías_Conocidas)))),IF(ISNUMBER(SEARCH($K708,Tipologías_Conocidas)),"Similar","Mixta"),"Distinta"))</f>
        <v>Conocida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Escudo/-</v>
      </c>
      <c r="AB708" s="629" t="s">
        <v>2222</v>
      </c>
      <c r="AC708" s="241"/>
      <c r="AD708" s="241"/>
      <c r="AE708" s="945"/>
      <c r="AG708" s="961" t="str">
        <f t="shared" si="110"/>
        <v/>
      </c>
      <c r="AH708" s="87" t="str">
        <f t="shared" si="111"/>
        <v/>
      </c>
      <c r="AI708" s="87" t="str">
        <f t="shared" si="112"/>
        <v>Kama</v>
      </c>
      <c r="AJ708" s="1419">
        <f>IF(OR($L708=AJ$627,$L708="",$D708=$AL$626),MAX(AJ$629:AJ707)+1,0)</f>
        <v>0</v>
      </c>
      <c r="AK708" s="1420">
        <f>IF(OR($L708=AK$627,$L708="",$D708=$AL$626),MAX(AK$629:AK707)+1,0)</f>
        <v>0</v>
      </c>
      <c r="AL708" s="1421">
        <f>IF(OR($L708=AL$627,$L708="",$D708=$AL$626),MAX(AL$629:AL707)+1,0)</f>
        <v>0</v>
      </c>
      <c r="AM708" s="5701"/>
      <c r="AN708" s="961" t="str">
        <f t="shared" si="113"/>
        <v/>
      </c>
      <c r="AO708" s="87" t="str">
        <f t="shared" si="114"/>
        <v/>
      </c>
      <c r="AP708" s="87" t="str">
        <f t="shared" si="115"/>
        <v>Kama</v>
      </c>
      <c r="AQ708" s="1419">
        <f>IF(OR($L708=AQ$627,$L708="",$D708=$AS$626),MAX(AQ$629:AQ707)+1,0)</f>
        <v>0</v>
      </c>
      <c r="AR708" s="1420">
        <f>IF(OR($L708=AR$627,$L708="",$D708=$AS$626),MAX(AR$629:AR707)+1,0)</f>
        <v>0</v>
      </c>
      <c r="AS708" s="1421">
        <f>IF(OR($L708=AS$627,$L708="",$D708=$AS$626),MAX(AS$629:AS707)+1,0)</f>
        <v>0</v>
      </c>
      <c r="AT708" s="5701"/>
      <c r="AU708" s="961" t="str">
        <f t="shared" si="116"/>
        <v/>
      </c>
      <c r="AV708" s="87" t="str">
        <f t="shared" si="117"/>
        <v/>
      </c>
      <c r="AW708" s="87" t="str">
        <f t="shared" si="118"/>
        <v>Kama</v>
      </c>
      <c r="AX708" s="1419">
        <f>IF(OR($L708=AX$627,$L708="",$D708=$AZ$626),MAX(AX$629:AX707)+1,0)</f>
        <v>0</v>
      </c>
      <c r="AY708" s="1420">
        <f>IF(OR($L708=AY$627,$L708="",$D708=$AZ$626),MAX(AY$629:AY707)+1,0)</f>
        <v>0</v>
      </c>
      <c r="AZ708" s="1421">
        <f>IF(OR($L708=AZ$627,$L708="",$D708=$AZ$626),MAX(AZ$629:AZ707)+1,0)</f>
        <v>0</v>
      </c>
      <c r="BA708" s="5701"/>
      <c r="BB708" s="961" t="str">
        <f t="shared" si="119"/>
        <v/>
      </c>
      <c r="BC708" s="87" t="str">
        <f t="shared" si="120"/>
        <v/>
      </c>
      <c r="BD708" s="87" t="str">
        <f t="shared" si="121"/>
        <v>Kama</v>
      </c>
      <c r="BE708" s="1419">
        <f>IF(OR($L708=BE$627,$L708="",$D708=$BG$626),MAX(BE$629:BE707)+1,0)</f>
        <v>0</v>
      </c>
      <c r="BF708" s="1420">
        <f>IF(OR($L708=BF$627,$L708="",$D708=$BG$626),MAX(BF$629:BF707)+1,0)</f>
        <v>0</v>
      </c>
      <c r="BG708" s="1421">
        <f>IF(OR($L708=BG$627,$L708="",$D708=$BG$626),MAX(BG$629:BG707)+1,0)</f>
        <v>0</v>
      </c>
      <c r="BH708" s="5701"/>
      <c r="BI708" s="961" t="str">
        <f t="shared" si="122"/>
        <v/>
      </c>
      <c r="BJ708" s="87" t="str">
        <f t="shared" si="123"/>
        <v/>
      </c>
      <c r="BK708" s="87" t="str">
        <f t="shared" si="124"/>
        <v>Kama</v>
      </c>
      <c r="BL708" s="1419">
        <f>IF(OR($L708=BL$627,$L708="",$D708=$BN$626),MAX(BL$629:BL707)+1,0)</f>
        <v>0</v>
      </c>
      <c r="BM708" s="1420">
        <f>IF(OR($L708=BM$627,$L708="",$D708=$BN$626),MAX(BM$629:BM707)+1,0)</f>
        <v>0</v>
      </c>
      <c r="BN708" s="1421">
        <f>IF(OR($L708=BN$627,$L708="",$D708=$BN$626),MAX(BN$629:BN707)+1,0)</f>
        <v>0</v>
      </c>
      <c r="BO708" s="5701"/>
      <c r="BP708" s="961" t="str">
        <f t="shared" si="125"/>
        <v/>
      </c>
      <c r="BQ708" s="87" t="str">
        <f t="shared" si="126"/>
        <v/>
      </c>
      <c r="BR708" s="87" t="str">
        <f t="shared" si="127"/>
        <v>Kama</v>
      </c>
      <c r="BS708" s="1419">
        <f>IF(OR($L708=BS$627,$L708="",$D708=$BU$626),MAX(BS$629:BS707)+1,0)</f>
        <v>0</v>
      </c>
      <c r="BT708" s="1420">
        <f>IF(OR($L708=BT$627,$L708="",$D708=$BU$626),MAX(BT$629:BT707)+1,0)</f>
        <v>0</v>
      </c>
      <c r="BU708" s="1421">
        <f>IF(OR($L708=BU$627,$L708="",$D708=$BU$626),MAX(BU$629:BU707)+1,0)</f>
        <v>0</v>
      </c>
    </row>
    <row r="709" spans="1:73" ht="12.75" customHeight="1" x14ac:dyDescent="0.2">
      <c r="A709" s="242">
        <v>709</v>
      </c>
      <c r="B709" s="5664"/>
      <c r="C709" s="1288"/>
      <c r="D709" s="1289" t="s">
        <v>2204</v>
      </c>
      <c r="E709" s="1295">
        <v>20</v>
      </c>
      <c r="F709" s="1287">
        <v>-25</v>
      </c>
      <c r="G709" s="1287">
        <v>7</v>
      </c>
      <c r="H709" s="1287">
        <v>7</v>
      </c>
      <c r="I709" s="1287" t="s">
        <v>1506</v>
      </c>
      <c r="J709" s="1287" t="s">
        <v>1464</v>
      </c>
      <c r="K709" s="1281" t="s">
        <v>7535</v>
      </c>
      <c r="L709" s="1287" t="str">
        <f>IF(ISNUMBER(SEARCH($D709,Armas_Conocidas)),"Conocida",IF(OR(ISNUMBER(SEARCH(LEFT($K709,SEARCH("/",$K709)),Tipologías_Conocidas)),AND(NOT(ISNUMBER(SEARCH("/-",$K709))),ISNUMBER(SEARCH(MID($K709,SEARCH("/",$K709)+1,LEN($K709)),Tipologías_Conocidas)))),IF(ISNUMBER(SEARCH($K709,Tipologías_Conocidas)),"Similar","Mixta"),"Distinta"))</f>
        <v>Similar</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2223</v>
      </c>
      <c r="AC709" s="241"/>
      <c r="AD709" s="241"/>
      <c r="AE709" s="945"/>
      <c r="AG709" s="961" t="str">
        <f t="shared" si="110"/>
        <v/>
      </c>
      <c r="AH709" s="87" t="str">
        <f t="shared" si="111"/>
        <v/>
      </c>
      <c r="AI709" s="87" t="str">
        <f t="shared" si="112"/>
        <v>Kau Sin Ke</v>
      </c>
      <c r="AJ709" s="1419">
        <f>IF(OR($L709=AJ$627,$L709="",$D709=$AL$626),MAX(AJ$629:AJ708)+1,0)</f>
        <v>15</v>
      </c>
      <c r="AK709" s="1420">
        <f>IF(OR($L709=AK$627,$L709="",$D709=$AL$626),MAX(AK$629:AK708)+1,0)</f>
        <v>0</v>
      </c>
      <c r="AL709" s="1421">
        <f>IF(OR($L709=AL$627,$L709="",$D709=$AL$626),MAX(AL$629:AL708)+1,0)</f>
        <v>0</v>
      </c>
      <c r="AM709" s="5701"/>
      <c r="AN709" s="961" t="str">
        <f t="shared" si="113"/>
        <v/>
      </c>
      <c r="AO709" s="87" t="str">
        <f t="shared" si="114"/>
        <v/>
      </c>
      <c r="AP709" s="87" t="str">
        <f t="shared" si="115"/>
        <v>Kau Sin Ke</v>
      </c>
      <c r="AQ709" s="1419">
        <f>IF(OR($L709=AQ$627,$L709="",$D709=$AS$626),MAX(AQ$629:AQ708)+1,0)</f>
        <v>15</v>
      </c>
      <c r="AR709" s="1420">
        <f>IF(OR($L709=AR$627,$L709="",$D709=$AS$626),MAX(AR$629:AR708)+1,0)</f>
        <v>0</v>
      </c>
      <c r="AS709" s="1421">
        <f>IF(OR($L709=AS$627,$L709="",$D709=$AS$626),MAX(AS$629:AS708)+1,0)</f>
        <v>0</v>
      </c>
      <c r="AT709" s="5701"/>
      <c r="AU709" s="961" t="str">
        <f t="shared" si="116"/>
        <v/>
      </c>
      <c r="AV709" s="87" t="str">
        <f t="shared" si="117"/>
        <v/>
      </c>
      <c r="AW709" s="87" t="str">
        <f t="shared" si="118"/>
        <v>Kau Sin Ke</v>
      </c>
      <c r="AX709" s="1419">
        <f>IF(OR($L709=AX$627,$L709="",$D709=$AZ$626),MAX(AX$629:AX708)+1,0)</f>
        <v>15</v>
      </c>
      <c r="AY709" s="1420">
        <f>IF(OR($L709=AY$627,$L709="",$D709=$AZ$626),MAX(AY$629:AY708)+1,0)</f>
        <v>0</v>
      </c>
      <c r="AZ709" s="1421">
        <f>IF(OR($L709=AZ$627,$L709="",$D709=$AZ$626),MAX(AZ$629:AZ708)+1,0)</f>
        <v>0</v>
      </c>
      <c r="BA709" s="5701"/>
      <c r="BB709" s="961" t="str">
        <f t="shared" si="119"/>
        <v/>
      </c>
      <c r="BC709" s="87" t="str">
        <f t="shared" si="120"/>
        <v/>
      </c>
      <c r="BD709" s="87" t="str">
        <f t="shared" si="121"/>
        <v>Kau Sin Ke</v>
      </c>
      <c r="BE709" s="1419">
        <f>IF(OR($L709=BE$627,$L709="",$D709=$BG$626),MAX(BE$629:BE708)+1,0)</f>
        <v>15</v>
      </c>
      <c r="BF709" s="1420">
        <f>IF(OR($L709=BF$627,$L709="",$D709=$BG$626),MAX(BF$629:BF708)+1,0)</f>
        <v>0</v>
      </c>
      <c r="BG709" s="1421">
        <f>IF(OR($L709=BG$627,$L709="",$D709=$BG$626),MAX(BG$629:BG708)+1,0)</f>
        <v>0</v>
      </c>
      <c r="BH709" s="5701"/>
      <c r="BI709" s="961" t="str">
        <f t="shared" si="122"/>
        <v/>
      </c>
      <c r="BJ709" s="87" t="str">
        <f t="shared" si="123"/>
        <v/>
      </c>
      <c r="BK709" s="87" t="str">
        <f t="shared" si="124"/>
        <v>Kau Sin Ke</v>
      </c>
      <c r="BL709" s="1419">
        <f>IF(OR($L709=BL$627,$L709="",$D709=$BN$626),MAX(BL$629:BL708)+1,0)</f>
        <v>15</v>
      </c>
      <c r="BM709" s="1420">
        <f>IF(OR($L709=BM$627,$L709="",$D709=$BN$626),MAX(BM$629:BM708)+1,0)</f>
        <v>0</v>
      </c>
      <c r="BN709" s="1421">
        <f>IF(OR($L709=BN$627,$L709="",$D709=$BN$626),MAX(BN$629:BN708)+1,0)</f>
        <v>0</v>
      </c>
      <c r="BO709" s="5701"/>
      <c r="BP709" s="961" t="str">
        <f t="shared" si="125"/>
        <v/>
      </c>
      <c r="BQ709" s="87" t="str">
        <f t="shared" si="126"/>
        <v/>
      </c>
      <c r="BR709" s="87" t="str">
        <f t="shared" si="127"/>
        <v>Kau Sin Ke</v>
      </c>
      <c r="BS709" s="1419">
        <f>IF(OR($L709=BS$627,$L709="",$D709=$BU$626),MAX(BS$629:BS708)+1,0)</f>
        <v>15</v>
      </c>
      <c r="BT709" s="1420">
        <f>IF(OR($L709=BT$627,$L709="",$D709=$BU$626),MAX(BT$629:BT708)+1,0)</f>
        <v>0</v>
      </c>
      <c r="BU709" s="1421">
        <f>IF(OR($L709=BU$627,$L709="",$D709=$BU$626),MAX(BU$629:BU708)+1,0)</f>
        <v>0</v>
      </c>
    </row>
    <row r="710" spans="1:73" ht="12.75" customHeight="1" x14ac:dyDescent="0.2">
      <c r="A710" s="242">
        <v>710</v>
      </c>
      <c r="B710" s="5664"/>
      <c r="C710" s="1288"/>
      <c r="D710" s="1289" t="s">
        <v>2205</v>
      </c>
      <c r="E710" s="1295">
        <v>15</v>
      </c>
      <c r="F710" s="1287">
        <v>-15</v>
      </c>
      <c r="G710" s="1287">
        <v>5</v>
      </c>
      <c r="H710" s="1287">
        <v>5</v>
      </c>
      <c r="I710" s="1287" t="s">
        <v>1506</v>
      </c>
      <c r="J710" s="1287" t="s">
        <v>1464</v>
      </c>
      <c r="K710" s="1281" t="s">
        <v>7535</v>
      </c>
      <c r="L710" s="1287" t="str">
        <f>IF(ISNUMBER(SEARCH($D710,Armas_Conocidas)),"Conocida",IF(OR(ISNUMBER(SEARCH(LEFT($K710,SEARCH("/",$K710)),Tipologías_Conocidas)),AND(NOT(ISNUMBER(SEARCH("/-",$K710))),ISNUMBER(SEARCH(MID($K710,SEARCH("/",$K710)+1,LEN($K710)),Tipologías_Conocidas)))),IF(ISNUMBER(SEARCH($K710,Tipologías_Conocidas)),"Similar","Mixta"),"Distinta"))</f>
        <v>Similar</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2224</v>
      </c>
      <c r="AC710" s="241"/>
      <c r="AD710" s="241"/>
      <c r="AE710" s="945"/>
      <c r="AG710" s="961" t="str">
        <f t="shared" si="110"/>
        <v/>
      </c>
      <c r="AH710" s="87" t="str">
        <f t="shared" si="111"/>
        <v/>
      </c>
      <c r="AI710" s="87" t="str">
        <f t="shared" si="112"/>
        <v>Kiseru</v>
      </c>
      <c r="AJ710" s="1419">
        <f>IF(OR($L710=AJ$627,$L710="",$D710=$AL$626),MAX(AJ$629:AJ709)+1,0)</f>
        <v>16</v>
      </c>
      <c r="AK710" s="1420">
        <f>IF(OR($L710=AK$627,$L710="",$D710=$AL$626),MAX(AK$629:AK709)+1,0)</f>
        <v>0</v>
      </c>
      <c r="AL710" s="1421">
        <f>IF(OR($L710=AL$627,$L710="",$D710=$AL$626),MAX(AL$629:AL709)+1,0)</f>
        <v>0</v>
      </c>
      <c r="AM710" s="5701"/>
      <c r="AN710" s="961" t="str">
        <f t="shared" si="113"/>
        <v/>
      </c>
      <c r="AO710" s="87" t="str">
        <f t="shared" si="114"/>
        <v/>
      </c>
      <c r="AP710" s="87" t="str">
        <f t="shared" si="115"/>
        <v>Kiseru</v>
      </c>
      <c r="AQ710" s="1419">
        <f>IF(OR($L710=AQ$627,$L710="",$D710=$AS$626),MAX(AQ$629:AQ709)+1,0)</f>
        <v>16</v>
      </c>
      <c r="AR710" s="1420">
        <f>IF(OR($L710=AR$627,$L710="",$D710=$AS$626),MAX(AR$629:AR709)+1,0)</f>
        <v>0</v>
      </c>
      <c r="AS710" s="1421">
        <f>IF(OR($L710=AS$627,$L710="",$D710=$AS$626),MAX(AS$629:AS709)+1,0)</f>
        <v>0</v>
      </c>
      <c r="AT710" s="5701"/>
      <c r="AU710" s="961" t="str">
        <f t="shared" si="116"/>
        <v/>
      </c>
      <c r="AV710" s="87" t="str">
        <f t="shared" si="117"/>
        <v/>
      </c>
      <c r="AW710" s="87" t="str">
        <f t="shared" si="118"/>
        <v>Kiseru</v>
      </c>
      <c r="AX710" s="1419">
        <f>IF(OR($L710=AX$627,$L710="",$D710=$AZ$626),MAX(AX$629:AX709)+1,0)</f>
        <v>16</v>
      </c>
      <c r="AY710" s="1420">
        <f>IF(OR($L710=AY$627,$L710="",$D710=$AZ$626),MAX(AY$629:AY709)+1,0)</f>
        <v>0</v>
      </c>
      <c r="AZ710" s="1421">
        <f>IF(OR($L710=AZ$627,$L710="",$D710=$AZ$626),MAX(AZ$629:AZ709)+1,0)</f>
        <v>0</v>
      </c>
      <c r="BA710" s="5701"/>
      <c r="BB710" s="961" t="str">
        <f t="shared" si="119"/>
        <v/>
      </c>
      <c r="BC710" s="87" t="str">
        <f t="shared" si="120"/>
        <v/>
      </c>
      <c r="BD710" s="87" t="str">
        <f t="shared" si="121"/>
        <v>Kiseru</v>
      </c>
      <c r="BE710" s="1419">
        <f>IF(OR($L710=BE$627,$L710="",$D710=$BG$626),MAX(BE$629:BE709)+1,0)</f>
        <v>16</v>
      </c>
      <c r="BF710" s="1420">
        <f>IF(OR($L710=BF$627,$L710="",$D710=$BG$626),MAX(BF$629:BF709)+1,0)</f>
        <v>0</v>
      </c>
      <c r="BG710" s="1421">
        <f>IF(OR($L710=BG$627,$L710="",$D710=$BG$626),MAX(BG$629:BG709)+1,0)</f>
        <v>0</v>
      </c>
      <c r="BH710" s="5701"/>
      <c r="BI710" s="961" t="str">
        <f t="shared" si="122"/>
        <v/>
      </c>
      <c r="BJ710" s="87" t="str">
        <f t="shared" si="123"/>
        <v/>
      </c>
      <c r="BK710" s="87" t="str">
        <f t="shared" si="124"/>
        <v>Kiseru</v>
      </c>
      <c r="BL710" s="1419">
        <f>IF(OR($L710=BL$627,$L710="",$D710=$BN$626),MAX(BL$629:BL709)+1,0)</f>
        <v>16</v>
      </c>
      <c r="BM710" s="1420">
        <f>IF(OR($L710=BM$627,$L710="",$D710=$BN$626),MAX(BM$629:BM709)+1,0)</f>
        <v>0</v>
      </c>
      <c r="BN710" s="1421">
        <f>IF(OR($L710=BN$627,$L710="",$D710=$BN$626),MAX(BN$629:BN709)+1,0)</f>
        <v>0</v>
      </c>
      <c r="BO710" s="5701"/>
      <c r="BP710" s="961" t="str">
        <f t="shared" si="125"/>
        <v/>
      </c>
      <c r="BQ710" s="87" t="str">
        <f t="shared" si="126"/>
        <v/>
      </c>
      <c r="BR710" s="87" t="str">
        <f t="shared" si="127"/>
        <v>Kiseru</v>
      </c>
      <c r="BS710" s="1419">
        <f>IF(OR($L710=BS$627,$L710="",$D710=$BU$626),MAX(BS$629:BS709)+1,0)</f>
        <v>16</v>
      </c>
      <c r="BT710" s="1420">
        <f>IF(OR($L710=BT$627,$L710="",$D710=$BU$626),MAX(BT$629:BT709)+1,0)</f>
        <v>0</v>
      </c>
      <c r="BU710" s="1421">
        <f>IF(OR($L710=BU$627,$L710="",$D710=$BU$626),MAX(BU$629:BU709)+1,0)</f>
        <v>0</v>
      </c>
    </row>
    <row r="711" spans="1:73" ht="12.75" customHeight="1" x14ac:dyDescent="0.2">
      <c r="A711" s="242">
        <v>711</v>
      </c>
      <c r="B711" s="5664"/>
      <c r="C711" s="1288"/>
      <c r="D711" s="1289" t="s">
        <v>2206</v>
      </c>
      <c r="E711" s="1293"/>
      <c r="F711" s="1293"/>
      <c r="G711" s="1293"/>
      <c r="H711" s="1293"/>
      <c r="I711" s="1293"/>
      <c r="J711" s="1293"/>
      <c r="K711" s="1050" t="s">
        <v>7517</v>
      </c>
      <c r="L711" s="1293"/>
      <c r="M711" s="1293"/>
      <c r="N711" s="1293"/>
      <c r="O711" s="1293"/>
      <c r="P711" s="1293"/>
      <c r="Q711" s="1293"/>
      <c r="R711" s="1293"/>
      <c r="S711" s="1293"/>
      <c r="T711" s="1293"/>
      <c r="U711" s="1293"/>
      <c r="V711" s="1050"/>
      <c r="W711" s="1050"/>
      <c r="X711" s="1294"/>
      <c r="Z711" s="1418" t="str">
        <f t="shared" si="128"/>
        <v/>
      </c>
      <c r="AB711" s="961" t="s">
        <v>2225</v>
      </c>
      <c r="AC711" s="241"/>
      <c r="AD711" s="241"/>
      <c r="AE711" s="945"/>
      <c r="AG711" s="961" t="str">
        <f t="shared" si="110"/>
        <v/>
      </c>
      <c r="AH711" s="87" t="str">
        <f t="shared" si="111"/>
        <v/>
      </c>
      <c r="AI711" s="87" t="str">
        <f t="shared" si="112"/>
        <v>Kris</v>
      </c>
      <c r="AJ711" s="1419">
        <f>IF(OR($L711=AJ$627,$L711="",$D711=$AL$626),MAX(AJ$629:AJ710)+1,0)</f>
        <v>17</v>
      </c>
      <c r="AK711" s="1420">
        <f>IF(OR($L711=AK$627,$L711="",$D711=$AL$626),MAX(AK$629:AK710)+1,0)</f>
        <v>7</v>
      </c>
      <c r="AL711" s="1421">
        <f>IF(OR($L711=AL$627,$L711="",$D711=$AL$626),MAX(AL$629:AL710)+1,0)</f>
        <v>60</v>
      </c>
      <c r="AM711" s="5701"/>
      <c r="AN711" s="961" t="str">
        <f t="shared" si="113"/>
        <v/>
      </c>
      <c r="AO711" s="87" t="str">
        <f t="shared" si="114"/>
        <v/>
      </c>
      <c r="AP711" s="87" t="str">
        <f t="shared" si="115"/>
        <v>Kris</v>
      </c>
      <c r="AQ711" s="1419">
        <f>IF(OR($L711=AQ$627,$L711="",$D711=$AS$626),MAX(AQ$629:AQ710)+1,0)</f>
        <v>17</v>
      </c>
      <c r="AR711" s="1420">
        <f>IF(OR($L711=AR$627,$L711="",$D711=$AS$626),MAX(AR$629:AR710)+1,0)</f>
        <v>7</v>
      </c>
      <c r="AS711" s="1421">
        <f>IF(OR($L711=AS$627,$L711="",$D711=$AS$626),MAX(AS$629:AS710)+1,0)</f>
        <v>60</v>
      </c>
      <c r="AT711" s="5701"/>
      <c r="AU711" s="961" t="str">
        <f t="shared" si="116"/>
        <v/>
      </c>
      <c r="AV711" s="87" t="str">
        <f t="shared" si="117"/>
        <v/>
      </c>
      <c r="AW711" s="87" t="str">
        <f t="shared" si="118"/>
        <v>Kris</v>
      </c>
      <c r="AX711" s="1419">
        <f>IF(OR($L711=AX$627,$L711="",$D711=$AZ$626),MAX(AX$629:AX710)+1,0)</f>
        <v>17</v>
      </c>
      <c r="AY711" s="1420">
        <f>IF(OR($L711=AY$627,$L711="",$D711=$AZ$626),MAX(AY$629:AY710)+1,0)</f>
        <v>7</v>
      </c>
      <c r="AZ711" s="1421">
        <f>IF(OR($L711=AZ$627,$L711="",$D711=$AZ$626),MAX(AZ$629:AZ710)+1,0)</f>
        <v>60</v>
      </c>
      <c r="BA711" s="5701"/>
      <c r="BB711" s="961" t="str">
        <f t="shared" si="119"/>
        <v/>
      </c>
      <c r="BC711" s="87" t="str">
        <f t="shared" si="120"/>
        <v/>
      </c>
      <c r="BD711" s="87" t="str">
        <f t="shared" si="121"/>
        <v>Kris</v>
      </c>
      <c r="BE711" s="1419">
        <f>IF(OR($L711=BE$627,$L711="",$D711=$BG$626),MAX(BE$629:BE710)+1,0)</f>
        <v>17</v>
      </c>
      <c r="BF711" s="1420">
        <f>IF(OR($L711=BF$627,$L711="",$D711=$BG$626),MAX(BF$629:BF710)+1,0)</f>
        <v>7</v>
      </c>
      <c r="BG711" s="1421">
        <f>IF(OR($L711=BG$627,$L711="",$D711=$BG$626),MAX(BG$629:BG710)+1,0)</f>
        <v>60</v>
      </c>
      <c r="BH711" s="5701"/>
      <c r="BI711" s="961" t="str">
        <f t="shared" si="122"/>
        <v/>
      </c>
      <c r="BJ711" s="87" t="str">
        <f t="shared" si="123"/>
        <v/>
      </c>
      <c r="BK711" s="87" t="str">
        <f t="shared" si="124"/>
        <v>Kris</v>
      </c>
      <c r="BL711" s="1419">
        <f>IF(OR($L711=BL$627,$L711="",$D711=$BN$626),MAX(BL$629:BL710)+1,0)</f>
        <v>17</v>
      </c>
      <c r="BM711" s="1420">
        <f>IF(OR($L711=BM$627,$L711="",$D711=$BN$626),MAX(BM$629:BM710)+1,0)</f>
        <v>7</v>
      </c>
      <c r="BN711" s="1421">
        <f>IF(OR($L711=BN$627,$L711="",$D711=$BN$626),MAX(BN$629:BN710)+1,0)</f>
        <v>60</v>
      </c>
      <c r="BO711" s="5701"/>
      <c r="BP711" s="961" t="str">
        <f t="shared" si="125"/>
        <v/>
      </c>
      <c r="BQ711" s="87" t="str">
        <f t="shared" si="126"/>
        <v/>
      </c>
      <c r="BR711" s="87" t="str">
        <f t="shared" si="127"/>
        <v>Kris</v>
      </c>
      <c r="BS711" s="1419">
        <f>IF(OR($L711=BS$627,$L711="",$D711=$BU$626),MAX(BS$629:BS710)+1,0)</f>
        <v>17</v>
      </c>
      <c r="BT711" s="1420">
        <f>IF(OR($L711=BT$627,$L711="",$D711=$BU$626),MAX(BT$629:BT710)+1,0)</f>
        <v>7</v>
      </c>
      <c r="BU711" s="1421">
        <f>IF(OR($L711=BU$627,$L711="",$D711=$BU$626),MAX(BU$629:BU710)+1,0)</f>
        <v>60</v>
      </c>
    </row>
    <row r="712" spans="1:73" ht="12.75" customHeight="1" x14ac:dyDescent="0.2">
      <c r="A712" s="242">
        <v>712</v>
      </c>
      <c r="B712" s="5664"/>
      <c r="C712" s="1288"/>
      <c r="D712" s="1289" t="s">
        <v>2207</v>
      </c>
      <c r="E712" s="1295">
        <v>30</v>
      </c>
      <c r="F712" s="1287">
        <v>20</v>
      </c>
      <c r="G712" s="1287">
        <v>4</v>
      </c>
      <c r="H712" s="1287">
        <v>4</v>
      </c>
      <c r="I712" s="1287" t="s">
        <v>1560</v>
      </c>
      <c r="J712" s="1287" t="s">
        <v>1506</v>
      </c>
      <c r="K712" s="1281" t="s">
        <v>7524</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8860</v>
      </c>
      <c r="W712" s="1672"/>
      <c r="X712" s="1673" t="str">
        <f t="shared" ref="X712:X767" si="131">IF(K712="/","",IF(OR(ISNUMBER(FIND("Mandoble",K712)),ISNUMBER(FIND("Asta",K712))),"Grande",IF(ISNUMBER(FIND("Corta",K712)),"Pequeña","Mediana")))</f>
        <v>Pequeña</v>
      </c>
      <c r="Z712" s="1418" t="str">
        <f t="shared" si="128"/>
        <v/>
      </c>
      <c r="AB712" s="629" t="s">
        <v>2227</v>
      </c>
      <c r="AC712" s="241"/>
      <c r="AD712" s="241"/>
      <c r="AE712" s="945"/>
      <c r="AG712" s="961" t="str">
        <f t="shared" si="110"/>
        <v/>
      </c>
      <c r="AH712" s="87" t="str">
        <f t="shared" si="111"/>
        <v/>
      </c>
      <c r="AI712" s="87" t="str">
        <f t="shared" si="112"/>
        <v>Kunai</v>
      </c>
      <c r="AJ712" s="1419">
        <f>IF(OR($L712=AJ$627,$L712="",$D712=$AL$626),MAX(AJ$629:AJ711)+1,0)</f>
        <v>0</v>
      </c>
      <c r="AK712" s="1420">
        <f>IF(OR($L712=AK$627,$L712="",$D712=$AL$626),MAX(AK$629:AK711)+1,0)</f>
        <v>0</v>
      </c>
      <c r="AL712" s="1421">
        <f>IF(OR($L712=AL$627,$L712="",$D712=$AL$626),MAX(AL$629:AL711)+1,0)</f>
        <v>61</v>
      </c>
      <c r="AM712" s="5701"/>
      <c r="AN712" s="961" t="str">
        <f t="shared" si="113"/>
        <v/>
      </c>
      <c r="AO712" s="87" t="str">
        <f t="shared" si="114"/>
        <v/>
      </c>
      <c r="AP712" s="87" t="str">
        <f t="shared" si="115"/>
        <v>Kunai</v>
      </c>
      <c r="AQ712" s="1419">
        <f>IF(OR($L712=AQ$627,$L712="",$D712=$AS$626),MAX(AQ$629:AQ711)+1,0)</f>
        <v>0</v>
      </c>
      <c r="AR712" s="1420">
        <f>IF(OR($L712=AR$627,$L712="",$D712=$AS$626),MAX(AR$629:AR711)+1,0)</f>
        <v>0</v>
      </c>
      <c r="AS712" s="1421">
        <f>IF(OR($L712=AS$627,$L712="",$D712=$AS$626),MAX(AS$629:AS711)+1,0)</f>
        <v>61</v>
      </c>
      <c r="AT712" s="5701"/>
      <c r="AU712" s="961" t="str">
        <f t="shared" si="116"/>
        <v/>
      </c>
      <c r="AV712" s="87" t="str">
        <f t="shared" si="117"/>
        <v/>
      </c>
      <c r="AW712" s="87" t="str">
        <f t="shared" si="118"/>
        <v>Kunai</v>
      </c>
      <c r="AX712" s="1419">
        <f>IF(OR($L712=AX$627,$L712="",$D712=$AZ$626),MAX(AX$629:AX711)+1,0)</f>
        <v>0</v>
      </c>
      <c r="AY712" s="1420">
        <f>IF(OR($L712=AY$627,$L712="",$D712=$AZ$626),MAX(AY$629:AY711)+1,0)</f>
        <v>0</v>
      </c>
      <c r="AZ712" s="1421">
        <f>IF(OR($L712=AZ$627,$L712="",$D712=$AZ$626),MAX(AZ$629:AZ711)+1,0)</f>
        <v>61</v>
      </c>
      <c r="BA712" s="5701"/>
      <c r="BB712" s="961" t="str">
        <f t="shared" si="119"/>
        <v/>
      </c>
      <c r="BC712" s="87" t="str">
        <f t="shared" si="120"/>
        <v/>
      </c>
      <c r="BD712" s="87" t="str">
        <f t="shared" si="121"/>
        <v>Kunai</v>
      </c>
      <c r="BE712" s="1419">
        <f>IF(OR($L712=BE$627,$L712="",$D712=$BG$626),MAX(BE$629:BE711)+1,0)</f>
        <v>0</v>
      </c>
      <c r="BF712" s="1420">
        <f>IF(OR($L712=BF$627,$L712="",$D712=$BG$626),MAX(BF$629:BF711)+1,0)</f>
        <v>0</v>
      </c>
      <c r="BG712" s="1421">
        <f>IF(OR($L712=BG$627,$L712="",$D712=$BG$626),MAX(BG$629:BG711)+1,0)</f>
        <v>61</v>
      </c>
      <c r="BH712" s="5701"/>
      <c r="BI712" s="961" t="str">
        <f t="shared" si="122"/>
        <v/>
      </c>
      <c r="BJ712" s="87" t="str">
        <f t="shared" si="123"/>
        <v/>
      </c>
      <c r="BK712" s="87" t="str">
        <f t="shared" si="124"/>
        <v>Kunai</v>
      </c>
      <c r="BL712" s="1419">
        <f>IF(OR($L712=BL$627,$L712="",$D712=$BN$626),MAX(BL$629:BL711)+1,0)</f>
        <v>0</v>
      </c>
      <c r="BM712" s="1420">
        <f>IF(OR($L712=BM$627,$L712="",$D712=$BN$626),MAX(BM$629:BM711)+1,0)</f>
        <v>0</v>
      </c>
      <c r="BN712" s="1421">
        <f>IF(OR($L712=BN$627,$L712="",$D712=$BN$626),MAX(BN$629:BN711)+1,0)</f>
        <v>61</v>
      </c>
      <c r="BO712" s="5701"/>
      <c r="BP712" s="961" t="str">
        <f t="shared" si="125"/>
        <v/>
      </c>
      <c r="BQ712" s="87" t="str">
        <f t="shared" si="126"/>
        <v/>
      </c>
      <c r="BR712" s="87" t="str">
        <f t="shared" si="127"/>
        <v>Kunai</v>
      </c>
      <c r="BS712" s="1419">
        <f>IF(OR($L712=BS$627,$L712="",$D712=$BU$626),MAX(BS$629:BS711)+1,0)</f>
        <v>0</v>
      </c>
      <c r="BT712" s="1420">
        <f>IF(OR($L712=BT$627,$L712="",$D712=$BU$626),MAX(BT$629:BT711)+1,0)</f>
        <v>0</v>
      </c>
      <c r="BU712" s="1421">
        <f>IF(OR($L712=BU$627,$L712="",$D712=$BU$626),MAX(BU$629:BU711)+1,0)</f>
        <v>61</v>
      </c>
    </row>
    <row r="713" spans="1:73" ht="12.75" customHeight="1" x14ac:dyDescent="0.2">
      <c r="A713" s="242">
        <v>713</v>
      </c>
      <c r="B713" s="5664"/>
      <c r="C713" s="1288"/>
      <c r="D713" s="1289" t="s">
        <v>2208</v>
      </c>
      <c r="E713" s="1295">
        <v>35</v>
      </c>
      <c r="F713" s="1287">
        <v>15</v>
      </c>
      <c r="G713" s="1287">
        <v>4</v>
      </c>
      <c r="H713" s="1287">
        <v>4</v>
      </c>
      <c r="I713" s="1287" t="s">
        <v>1560</v>
      </c>
      <c r="J713" s="1287" t="s">
        <v>1561</v>
      </c>
      <c r="K713" s="1281" t="s">
        <v>7519</v>
      </c>
      <c r="L713" s="1287" t="str">
        <f>IF(ISNUMBER(SEARCH($D713,Armas_Conocidas)),"Conocida",IF(OR(ISNUMBER(SEARCH(LEFT($K713,SEARCH("/",$K713)),Tipologías_Conocidas)),AND(NOT(ISNUMBER(SEARCH("/-",$K713))),ISNUMBER(SEARCH(MID($K713,SEARCH("/",$K713)+1,LEN($K713)),Tipologías_Conocidas)))),IF(ISNUMBER(SEARCH($K713,Tipologías_Conocidas)),"Similar","Mixta"),"Distinta"))</f>
        <v>Similar</v>
      </c>
      <c r="M713" s="1296">
        <v>12</v>
      </c>
      <c r="N713" s="1296">
        <v>2</v>
      </c>
      <c r="O713" s="1296">
        <v>25</v>
      </c>
      <c r="P713" s="1287"/>
      <c r="Q713" s="1287"/>
      <c r="R713" s="1287" t="s">
        <v>1464</v>
      </c>
      <c r="S713" s="1287" t="s">
        <v>1464</v>
      </c>
      <c r="T713" s="1287" t="s">
        <v>1464</v>
      </c>
      <c r="U713" s="1287"/>
      <c r="V713" s="1672" t="s">
        <v>2209</v>
      </c>
      <c r="W713" s="1672"/>
      <c r="X713" s="1673" t="str">
        <f t="shared" si="131"/>
        <v>Grande</v>
      </c>
      <c r="Z713" s="1418" t="str">
        <f t="shared" si="128"/>
        <v/>
      </c>
      <c r="AB713" s="629" t="s">
        <v>2228</v>
      </c>
      <c r="AC713" s="241"/>
      <c r="AD713" s="241"/>
      <c r="AE713" s="945"/>
      <c r="AG713" s="961" t="str">
        <f t="shared" si="110"/>
        <v/>
      </c>
      <c r="AH713" s="87" t="str">
        <f t="shared" si="111"/>
        <v/>
      </c>
      <c r="AI713" s="87" t="str">
        <f t="shared" si="112"/>
        <v>Kyoketsu-shogui</v>
      </c>
      <c r="AJ713" s="1419">
        <f>IF(OR($L713=AJ$627,$L713="",$D713=$AL$626),MAX(AJ$629:AJ712)+1,0)</f>
        <v>18</v>
      </c>
      <c r="AK713" s="1420">
        <f>IF(OR($L713=AK$627,$L713="",$D713=$AL$626),MAX(AK$629:AK712)+1,0)</f>
        <v>0</v>
      </c>
      <c r="AL713" s="1421">
        <f>IF(OR($L713=AL$627,$L713="",$D713=$AL$626),MAX(AL$629:AL712)+1,0)</f>
        <v>0</v>
      </c>
      <c r="AM713" s="5701"/>
      <c r="AN713" s="961" t="str">
        <f t="shared" si="113"/>
        <v/>
      </c>
      <c r="AO713" s="87" t="str">
        <f t="shared" si="114"/>
        <v/>
      </c>
      <c r="AP713" s="87" t="str">
        <f t="shared" si="115"/>
        <v>Kyoketsu-shogui</v>
      </c>
      <c r="AQ713" s="1419">
        <f>IF(OR($L713=AQ$627,$L713="",$D713=$AS$626),MAX(AQ$629:AQ712)+1,0)</f>
        <v>18</v>
      </c>
      <c r="AR713" s="1420">
        <f>IF(OR($L713=AR$627,$L713="",$D713=$AS$626),MAX(AR$629:AR712)+1,0)</f>
        <v>0</v>
      </c>
      <c r="AS713" s="1421">
        <f>IF(OR($L713=AS$627,$L713="",$D713=$AS$626),MAX(AS$629:AS712)+1,0)</f>
        <v>0</v>
      </c>
      <c r="AT713" s="5701"/>
      <c r="AU713" s="961" t="str">
        <f t="shared" si="116"/>
        <v/>
      </c>
      <c r="AV713" s="87" t="str">
        <f t="shared" si="117"/>
        <v/>
      </c>
      <c r="AW713" s="87" t="str">
        <f t="shared" si="118"/>
        <v>Kyoketsu-shogui</v>
      </c>
      <c r="AX713" s="1419">
        <f>IF(OR($L713=AX$627,$L713="",$D713=$AZ$626),MAX(AX$629:AX712)+1,0)</f>
        <v>18</v>
      </c>
      <c r="AY713" s="1420">
        <f>IF(OR($L713=AY$627,$L713="",$D713=$AZ$626),MAX(AY$629:AY712)+1,0)</f>
        <v>0</v>
      </c>
      <c r="AZ713" s="1421">
        <f>IF(OR($L713=AZ$627,$L713="",$D713=$AZ$626),MAX(AZ$629:AZ712)+1,0)</f>
        <v>0</v>
      </c>
      <c r="BA713" s="5701"/>
      <c r="BB713" s="961" t="str">
        <f t="shared" si="119"/>
        <v/>
      </c>
      <c r="BC713" s="87" t="str">
        <f t="shared" si="120"/>
        <v/>
      </c>
      <c r="BD713" s="87" t="str">
        <f t="shared" si="121"/>
        <v>Kyoketsu-shogui</v>
      </c>
      <c r="BE713" s="1419">
        <f>IF(OR($L713=BE$627,$L713="",$D713=$BG$626),MAX(BE$629:BE712)+1,0)</f>
        <v>18</v>
      </c>
      <c r="BF713" s="1420">
        <f>IF(OR($L713=BF$627,$L713="",$D713=$BG$626),MAX(BF$629:BF712)+1,0)</f>
        <v>0</v>
      </c>
      <c r="BG713" s="1421">
        <f>IF(OR($L713=BG$627,$L713="",$D713=$BG$626),MAX(BG$629:BG712)+1,0)</f>
        <v>0</v>
      </c>
      <c r="BH713" s="5701"/>
      <c r="BI713" s="961" t="str">
        <f t="shared" si="122"/>
        <v/>
      </c>
      <c r="BJ713" s="87" t="str">
        <f t="shared" si="123"/>
        <v/>
      </c>
      <c r="BK713" s="87" t="str">
        <f t="shared" si="124"/>
        <v>Kyoketsu-shogui</v>
      </c>
      <c r="BL713" s="1419">
        <f>IF(OR($L713=BL$627,$L713="",$D713=$BN$626),MAX(BL$629:BL712)+1,0)</f>
        <v>18</v>
      </c>
      <c r="BM713" s="1420">
        <f>IF(OR($L713=BM$627,$L713="",$D713=$BN$626),MAX(BM$629:BM712)+1,0)</f>
        <v>0</v>
      </c>
      <c r="BN713" s="1421">
        <f>IF(OR($L713=BN$627,$L713="",$D713=$BN$626),MAX(BN$629:BN712)+1,0)</f>
        <v>0</v>
      </c>
      <c r="BO713" s="5701"/>
      <c r="BP713" s="961" t="str">
        <f t="shared" si="125"/>
        <v/>
      </c>
      <c r="BQ713" s="87" t="str">
        <f t="shared" si="126"/>
        <v/>
      </c>
      <c r="BR713" s="87" t="str">
        <f t="shared" si="127"/>
        <v>Kyoketsu-shogui</v>
      </c>
      <c r="BS713" s="1419">
        <f>IF(OR($L713=BS$627,$L713="",$D713=$BU$626),MAX(BS$629:BS712)+1,0)</f>
        <v>18</v>
      </c>
      <c r="BT713" s="1420">
        <f>IF(OR($L713=BT$627,$L713="",$D713=$BU$626),MAX(BT$629:BT712)+1,0)</f>
        <v>0</v>
      </c>
      <c r="BU713" s="1421">
        <f>IF(OR($L713=BU$627,$L713="",$D713=$BU$626),MAX(BU$629:BU712)+1,0)</f>
        <v>0</v>
      </c>
    </row>
    <row r="714" spans="1:73" ht="12.75" customHeight="1" x14ac:dyDescent="0.2">
      <c r="A714" s="242">
        <v>714</v>
      </c>
      <c r="B714" s="5664"/>
      <c r="C714" s="1288"/>
      <c r="D714" s="1289" t="s">
        <v>2210</v>
      </c>
      <c r="E714" s="1295">
        <v>30</v>
      </c>
      <c r="F714" s="1287">
        <v>10</v>
      </c>
      <c r="G714" s="1287">
        <v>4</v>
      </c>
      <c r="H714" s="1287">
        <v>4</v>
      </c>
      <c r="I714" s="1287" t="s">
        <v>1506</v>
      </c>
      <c r="J714" s="1287" t="s">
        <v>1560</v>
      </c>
      <c r="K714" s="1281" t="s">
        <v>7524</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8861</v>
      </c>
      <c r="W714" s="1672"/>
      <c r="X714" s="1673" t="str">
        <f t="shared" si="131"/>
        <v>Pequeña</v>
      </c>
      <c r="Z714" s="1418" t="str">
        <f t="shared" si="128"/>
        <v/>
      </c>
      <c r="AB714" s="629" t="s">
        <v>2229</v>
      </c>
      <c r="AC714" s="241"/>
      <c r="AD714" s="241"/>
      <c r="AE714" s="945"/>
      <c r="AG714" s="961" t="str">
        <f t="shared" si="110"/>
        <v/>
      </c>
      <c r="AH714" s="87" t="str">
        <f t="shared" si="111"/>
        <v/>
      </c>
      <c r="AI714" s="87" t="str">
        <f t="shared" si="112"/>
        <v>Ninja-to</v>
      </c>
      <c r="AJ714" s="1419">
        <f>IF(OR($L714=AJ$627,$L714="",$D714=$AL$626),MAX(AJ$629:AJ713)+1,0)</f>
        <v>0</v>
      </c>
      <c r="AK714" s="1420">
        <f>IF(OR($L714=AK$627,$L714="",$D714=$AL$626),MAX(AK$629:AK713)+1,0)</f>
        <v>0</v>
      </c>
      <c r="AL714" s="1421">
        <f>IF(OR($L714=AL$627,$L714="",$D714=$AL$626),MAX(AL$629:AL713)+1,0)</f>
        <v>62</v>
      </c>
      <c r="AM714" s="5701"/>
      <c r="AN714" s="961" t="str">
        <f t="shared" si="113"/>
        <v/>
      </c>
      <c r="AO714" s="87" t="str">
        <f t="shared" si="114"/>
        <v/>
      </c>
      <c r="AP714" s="87" t="str">
        <f t="shared" si="115"/>
        <v>Ninja-to</v>
      </c>
      <c r="AQ714" s="1419">
        <f>IF(OR($L714=AQ$627,$L714="",$D714=$AS$626),MAX(AQ$629:AQ713)+1,0)</f>
        <v>0</v>
      </c>
      <c r="AR714" s="1420">
        <f>IF(OR($L714=AR$627,$L714="",$D714=$AS$626),MAX(AR$629:AR713)+1,0)</f>
        <v>0</v>
      </c>
      <c r="AS714" s="1421">
        <f>IF(OR($L714=AS$627,$L714="",$D714=$AS$626),MAX(AS$629:AS713)+1,0)</f>
        <v>62</v>
      </c>
      <c r="AT714" s="5701"/>
      <c r="AU714" s="961" t="str">
        <f t="shared" si="116"/>
        <v/>
      </c>
      <c r="AV714" s="87" t="str">
        <f t="shared" si="117"/>
        <v/>
      </c>
      <c r="AW714" s="87" t="str">
        <f t="shared" si="118"/>
        <v>Ninja-to</v>
      </c>
      <c r="AX714" s="1419">
        <f>IF(OR($L714=AX$627,$L714="",$D714=$AZ$626),MAX(AX$629:AX713)+1,0)</f>
        <v>0</v>
      </c>
      <c r="AY714" s="1420">
        <f>IF(OR($L714=AY$627,$L714="",$D714=$AZ$626),MAX(AY$629:AY713)+1,0)</f>
        <v>0</v>
      </c>
      <c r="AZ714" s="1421">
        <f>IF(OR($L714=AZ$627,$L714="",$D714=$AZ$626),MAX(AZ$629:AZ713)+1,0)</f>
        <v>62</v>
      </c>
      <c r="BA714" s="5701"/>
      <c r="BB714" s="961" t="str">
        <f t="shared" si="119"/>
        <v/>
      </c>
      <c r="BC714" s="87" t="str">
        <f t="shared" si="120"/>
        <v/>
      </c>
      <c r="BD714" s="87" t="str">
        <f t="shared" si="121"/>
        <v>Ninja-to</v>
      </c>
      <c r="BE714" s="1419">
        <f>IF(OR($L714=BE$627,$L714="",$D714=$BG$626),MAX(BE$629:BE713)+1,0)</f>
        <v>0</v>
      </c>
      <c r="BF714" s="1420">
        <f>IF(OR($L714=BF$627,$L714="",$D714=$BG$626),MAX(BF$629:BF713)+1,0)</f>
        <v>0</v>
      </c>
      <c r="BG714" s="1421">
        <f>IF(OR($L714=BG$627,$L714="",$D714=$BG$626),MAX(BG$629:BG713)+1,0)</f>
        <v>62</v>
      </c>
      <c r="BH714" s="5701"/>
      <c r="BI714" s="961" t="str">
        <f t="shared" si="122"/>
        <v/>
      </c>
      <c r="BJ714" s="87" t="str">
        <f t="shared" si="123"/>
        <v/>
      </c>
      <c r="BK714" s="87" t="str">
        <f t="shared" si="124"/>
        <v>Ninja-to</v>
      </c>
      <c r="BL714" s="1419">
        <f>IF(OR($L714=BL$627,$L714="",$D714=$BN$626),MAX(BL$629:BL713)+1,0)</f>
        <v>0</v>
      </c>
      <c r="BM714" s="1420">
        <f>IF(OR($L714=BM$627,$L714="",$D714=$BN$626),MAX(BM$629:BM713)+1,0)</f>
        <v>0</v>
      </c>
      <c r="BN714" s="1421">
        <f>IF(OR($L714=BN$627,$L714="",$D714=$BN$626),MAX(BN$629:BN713)+1,0)</f>
        <v>62</v>
      </c>
      <c r="BO714" s="5701"/>
      <c r="BP714" s="961" t="str">
        <f t="shared" si="125"/>
        <v/>
      </c>
      <c r="BQ714" s="87" t="str">
        <f t="shared" si="126"/>
        <v/>
      </c>
      <c r="BR714" s="87" t="str">
        <f t="shared" si="127"/>
        <v>Ninja-to</v>
      </c>
      <c r="BS714" s="1419">
        <f>IF(OR($L714=BS$627,$L714="",$D714=$BU$626),MAX(BS$629:BS713)+1,0)</f>
        <v>0</v>
      </c>
      <c r="BT714" s="1420">
        <f>IF(OR($L714=BT$627,$L714="",$D714=$BU$626),MAX(BT$629:BT713)+1,0)</f>
        <v>0</v>
      </c>
      <c r="BU714" s="1421">
        <f>IF(OR($L714=BU$627,$L714="",$D714=$BU$626),MAX(BU$629:BU713)+1,0)</f>
        <v>62</v>
      </c>
    </row>
    <row r="715" spans="1:73" ht="12.75" customHeight="1" x14ac:dyDescent="0.2">
      <c r="A715" s="242">
        <v>715</v>
      </c>
      <c r="B715" s="5664"/>
      <c r="C715" s="1288"/>
      <c r="D715" s="1289" t="s">
        <v>2211</v>
      </c>
      <c r="E715" s="1295">
        <v>35</v>
      </c>
      <c r="F715" s="1287">
        <v>10</v>
      </c>
      <c r="G715" s="1287">
        <v>4</v>
      </c>
      <c r="H715" s="1287">
        <v>4</v>
      </c>
      <c r="I715" s="1287" t="s">
        <v>1506</v>
      </c>
      <c r="J715" s="1287" t="s">
        <v>1560</v>
      </c>
      <c r="K715" s="1281" t="s">
        <v>7524</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2212</v>
      </c>
      <c r="W715" s="1672"/>
      <c r="X715" s="1673" t="str">
        <f t="shared" si="131"/>
        <v>Pequeña</v>
      </c>
      <c r="Z715" s="1418" t="str">
        <f t="shared" si="128"/>
        <v/>
      </c>
      <c r="AB715" s="629" t="s">
        <v>2230</v>
      </c>
      <c r="AC715" s="241"/>
      <c r="AD715" s="241"/>
      <c r="AE715" s="945"/>
      <c r="AG715" s="961" t="str">
        <f t="shared" si="110"/>
        <v/>
      </c>
      <c r="AH715" s="87" t="str">
        <f t="shared" si="111"/>
        <v/>
      </c>
      <c r="AI715" s="87" t="str">
        <f t="shared" si="112"/>
        <v>Ram Dao</v>
      </c>
      <c r="AJ715" s="1419">
        <f>IF(OR($L715=AJ$627,$L715="",$D715=$AL$626),MAX(AJ$629:AJ714)+1,0)</f>
        <v>0</v>
      </c>
      <c r="AK715" s="1420">
        <f>IF(OR($L715=AK$627,$L715="",$D715=$AL$626),MAX(AK$629:AK714)+1,0)</f>
        <v>0</v>
      </c>
      <c r="AL715" s="1421">
        <f>IF(OR($L715=AL$627,$L715="",$D715=$AL$626),MAX(AL$629:AL714)+1,0)</f>
        <v>63</v>
      </c>
      <c r="AM715" s="5701"/>
      <c r="AN715" s="961" t="str">
        <f t="shared" si="113"/>
        <v/>
      </c>
      <c r="AO715" s="87" t="str">
        <f t="shared" si="114"/>
        <v/>
      </c>
      <c r="AP715" s="87" t="str">
        <f t="shared" si="115"/>
        <v>Ram Dao</v>
      </c>
      <c r="AQ715" s="1419">
        <f>IF(OR($L715=AQ$627,$L715="",$D715=$AS$626),MAX(AQ$629:AQ714)+1,0)</f>
        <v>0</v>
      </c>
      <c r="AR715" s="1420">
        <f>IF(OR($L715=AR$627,$L715="",$D715=$AS$626),MAX(AR$629:AR714)+1,0)</f>
        <v>0</v>
      </c>
      <c r="AS715" s="1421">
        <f>IF(OR($L715=AS$627,$L715="",$D715=$AS$626),MAX(AS$629:AS714)+1,0)</f>
        <v>63</v>
      </c>
      <c r="AT715" s="5701"/>
      <c r="AU715" s="961" t="str">
        <f t="shared" si="116"/>
        <v/>
      </c>
      <c r="AV715" s="87" t="str">
        <f t="shared" si="117"/>
        <v/>
      </c>
      <c r="AW715" s="87" t="str">
        <f t="shared" si="118"/>
        <v>Ram Dao</v>
      </c>
      <c r="AX715" s="1419">
        <f>IF(OR($L715=AX$627,$L715="",$D715=$AZ$626),MAX(AX$629:AX714)+1,0)</f>
        <v>0</v>
      </c>
      <c r="AY715" s="1420">
        <f>IF(OR($L715=AY$627,$L715="",$D715=$AZ$626),MAX(AY$629:AY714)+1,0)</f>
        <v>0</v>
      </c>
      <c r="AZ715" s="1421">
        <f>IF(OR($L715=AZ$627,$L715="",$D715=$AZ$626),MAX(AZ$629:AZ714)+1,0)</f>
        <v>63</v>
      </c>
      <c r="BA715" s="5701"/>
      <c r="BB715" s="961" t="str">
        <f t="shared" si="119"/>
        <v/>
      </c>
      <c r="BC715" s="87" t="str">
        <f t="shared" si="120"/>
        <v/>
      </c>
      <c r="BD715" s="87" t="str">
        <f t="shared" si="121"/>
        <v>Ram Dao</v>
      </c>
      <c r="BE715" s="1419">
        <f>IF(OR($L715=BE$627,$L715="",$D715=$BG$626),MAX(BE$629:BE714)+1,0)</f>
        <v>0</v>
      </c>
      <c r="BF715" s="1420">
        <f>IF(OR($L715=BF$627,$L715="",$D715=$BG$626),MAX(BF$629:BF714)+1,0)</f>
        <v>0</v>
      </c>
      <c r="BG715" s="1421">
        <f>IF(OR($L715=BG$627,$L715="",$D715=$BG$626),MAX(BG$629:BG714)+1,0)</f>
        <v>63</v>
      </c>
      <c r="BH715" s="5701"/>
      <c r="BI715" s="961" t="str">
        <f t="shared" si="122"/>
        <v/>
      </c>
      <c r="BJ715" s="87" t="str">
        <f t="shared" si="123"/>
        <v/>
      </c>
      <c r="BK715" s="87" t="str">
        <f t="shared" si="124"/>
        <v>Ram Dao</v>
      </c>
      <c r="BL715" s="1419">
        <f>IF(OR($L715=BL$627,$L715="",$D715=$BN$626),MAX(BL$629:BL714)+1,0)</f>
        <v>0</v>
      </c>
      <c r="BM715" s="1420">
        <f>IF(OR($L715=BM$627,$L715="",$D715=$BN$626),MAX(BM$629:BM714)+1,0)</f>
        <v>0</v>
      </c>
      <c r="BN715" s="1421">
        <f>IF(OR($L715=BN$627,$L715="",$D715=$BN$626),MAX(BN$629:BN714)+1,0)</f>
        <v>63</v>
      </c>
      <c r="BO715" s="5701"/>
      <c r="BP715" s="961" t="str">
        <f t="shared" si="125"/>
        <v/>
      </c>
      <c r="BQ715" s="87" t="str">
        <f t="shared" si="126"/>
        <v/>
      </c>
      <c r="BR715" s="87" t="str">
        <f t="shared" si="127"/>
        <v>Ram Dao</v>
      </c>
      <c r="BS715" s="1419">
        <f>IF(OR($L715=BS$627,$L715="",$D715=$BU$626),MAX(BS$629:BS714)+1,0)</f>
        <v>0</v>
      </c>
      <c r="BT715" s="1420">
        <f>IF(OR($L715=BT$627,$L715="",$D715=$BU$626),MAX(BT$629:BT714)+1,0)</f>
        <v>0</v>
      </c>
      <c r="BU715" s="1421">
        <f>IF(OR($L715=BU$627,$L715="",$D715=$BU$626),MAX(BU$629:BU714)+1,0)</f>
        <v>63</v>
      </c>
    </row>
    <row r="716" spans="1:73" ht="12.75" customHeight="1" x14ac:dyDescent="0.2">
      <c r="A716" s="242">
        <v>716</v>
      </c>
      <c r="B716" s="5664"/>
      <c r="C716" s="1288"/>
      <c r="D716" s="1289" t="s">
        <v>2213</v>
      </c>
      <c r="E716" s="1295">
        <v>30</v>
      </c>
      <c r="F716" s="1287">
        <v>15</v>
      </c>
      <c r="G716" s="1287">
        <v>4</v>
      </c>
      <c r="H716" s="1287">
        <v>4</v>
      </c>
      <c r="I716" s="1287" t="s">
        <v>1560</v>
      </c>
      <c r="J716" s="1287" t="s">
        <v>1561</v>
      </c>
      <c r="K716" s="1281" t="s">
        <v>7524</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7249</v>
      </c>
      <c r="AC716" s="241"/>
      <c r="AD716" s="241"/>
      <c r="AE716" s="945"/>
      <c r="AG716" s="961" t="str">
        <f t="shared" si="110"/>
        <v/>
      </c>
      <c r="AH716" s="87" t="str">
        <f t="shared" si="111"/>
        <v/>
      </c>
      <c r="AI716" s="87" t="str">
        <f t="shared" si="112"/>
        <v>Tetsubo</v>
      </c>
      <c r="AJ716" s="1419">
        <f>IF(OR($L716=AJ$627,$L716="",$D716=$AL$626),MAX(AJ$629:AJ715)+1,0)</f>
        <v>0</v>
      </c>
      <c r="AK716" s="1420">
        <f>IF(OR($L716=AK$627,$L716="",$D716=$AL$626),MAX(AK$629:AK715)+1,0)</f>
        <v>0</v>
      </c>
      <c r="AL716" s="1421">
        <f>IF(OR($L716=AL$627,$L716="",$D716=$AL$626),MAX(AL$629:AL715)+1,0)</f>
        <v>64</v>
      </c>
      <c r="AM716" s="5701"/>
      <c r="AN716" s="961" t="str">
        <f t="shared" si="113"/>
        <v/>
      </c>
      <c r="AO716" s="87" t="str">
        <f t="shared" si="114"/>
        <v/>
      </c>
      <c r="AP716" s="87" t="str">
        <f t="shared" si="115"/>
        <v>Tetsubo</v>
      </c>
      <c r="AQ716" s="1419">
        <f>IF(OR($L716=AQ$627,$L716="",$D716=$AS$626),MAX(AQ$629:AQ715)+1,0)</f>
        <v>0</v>
      </c>
      <c r="AR716" s="1420">
        <f>IF(OR($L716=AR$627,$L716="",$D716=$AS$626),MAX(AR$629:AR715)+1,0)</f>
        <v>0</v>
      </c>
      <c r="AS716" s="1421">
        <f>IF(OR($L716=AS$627,$L716="",$D716=$AS$626),MAX(AS$629:AS715)+1,0)</f>
        <v>64</v>
      </c>
      <c r="AT716" s="5701"/>
      <c r="AU716" s="961" t="str">
        <f t="shared" si="116"/>
        <v/>
      </c>
      <c r="AV716" s="87" t="str">
        <f t="shared" si="117"/>
        <v/>
      </c>
      <c r="AW716" s="87" t="str">
        <f t="shared" si="118"/>
        <v>Tetsubo</v>
      </c>
      <c r="AX716" s="1419">
        <f>IF(OR($L716=AX$627,$L716="",$D716=$AZ$626),MAX(AX$629:AX715)+1,0)</f>
        <v>0</v>
      </c>
      <c r="AY716" s="1420">
        <f>IF(OR($L716=AY$627,$L716="",$D716=$AZ$626),MAX(AY$629:AY715)+1,0)</f>
        <v>0</v>
      </c>
      <c r="AZ716" s="1421">
        <f>IF(OR($L716=AZ$627,$L716="",$D716=$AZ$626),MAX(AZ$629:AZ715)+1,0)</f>
        <v>64</v>
      </c>
      <c r="BA716" s="5701"/>
      <c r="BB716" s="961" t="str">
        <f t="shared" si="119"/>
        <v/>
      </c>
      <c r="BC716" s="87" t="str">
        <f t="shared" si="120"/>
        <v/>
      </c>
      <c r="BD716" s="87" t="str">
        <f t="shared" si="121"/>
        <v>Tetsubo</v>
      </c>
      <c r="BE716" s="1419">
        <f>IF(OR($L716=BE$627,$L716="",$D716=$BG$626),MAX(BE$629:BE715)+1,0)</f>
        <v>0</v>
      </c>
      <c r="BF716" s="1420">
        <f>IF(OR($L716=BF$627,$L716="",$D716=$BG$626),MAX(BF$629:BF715)+1,0)</f>
        <v>0</v>
      </c>
      <c r="BG716" s="1421">
        <f>IF(OR($L716=BG$627,$L716="",$D716=$BG$626),MAX(BG$629:BG715)+1,0)</f>
        <v>64</v>
      </c>
      <c r="BH716" s="5701"/>
      <c r="BI716" s="961" t="str">
        <f t="shared" si="122"/>
        <v/>
      </c>
      <c r="BJ716" s="87" t="str">
        <f t="shared" si="123"/>
        <v/>
      </c>
      <c r="BK716" s="87" t="str">
        <f t="shared" si="124"/>
        <v>Tetsubo</v>
      </c>
      <c r="BL716" s="1419">
        <f>IF(OR($L716=BL$627,$L716="",$D716=$BN$626),MAX(BL$629:BL715)+1,0)</f>
        <v>0</v>
      </c>
      <c r="BM716" s="1420">
        <f>IF(OR($L716=BM$627,$L716="",$D716=$BN$626),MAX(BM$629:BM715)+1,0)</f>
        <v>0</v>
      </c>
      <c r="BN716" s="1421">
        <f>IF(OR($L716=BN$627,$L716="",$D716=$BN$626),MAX(BN$629:BN715)+1,0)</f>
        <v>64</v>
      </c>
      <c r="BO716" s="5701"/>
      <c r="BP716" s="961" t="str">
        <f t="shared" si="125"/>
        <v/>
      </c>
      <c r="BQ716" s="87" t="str">
        <f t="shared" si="126"/>
        <v/>
      </c>
      <c r="BR716" s="87" t="str">
        <f t="shared" si="127"/>
        <v>Tetsubo</v>
      </c>
      <c r="BS716" s="1419">
        <f>IF(OR($L716=BS$627,$L716="",$D716=$BU$626),MAX(BS$629:BS715)+1,0)</f>
        <v>0</v>
      </c>
      <c r="BT716" s="1420">
        <f>IF(OR($L716=BT$627,$L716="",$D716=$BU$626),MAX(BT$629:BT715)+1,0)</f>
        <v>0</v>
      </c>
      <c r="BU716" s="1421">
        <f>IF(OR($L716=BU$627,$L716="",$D716=$BU$626),MAX(BU$629:BU715)+1,0)</f>
        <v>64</v>
      </c>
    </row>
    <row r="717" spans="1:73" ht="12.75" customHeight="1" x14ac:dyDescent="0.2">
      <c r="A717" s="242">
        <v>717</v>
      </c>
      <c r="B717" s="5664"/>
      <c r="C717" s="1288"/>
      <c r="D717" s="1289" t="s">
        <v>2214</v>
      </c>
      <c r="E717" s="1295">
        <v>50</v>
      </c>
      <c r="F717" s="1287">
        <v>0</v>
      </c>
      <c r="G717" s="1287">
        <v>6</v>
      </c>
      <c r="H717" s="1287">
        <v>5</v>
      </c>
      <c r="I717" s="1287" t="s">
        <v>1560</v>
      </c>
      <c r="J717" s="1287" t="s">
        <v>1464</v>
      </c>
      <c r="K717" s="1281" t="s">
        <v>7522</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2164</v>
      </c>
      <c r="W717" s="1672"/>
      <c r="X717" s="1673" t="str">
        <f t="shared" si="131"/>
        <v>Mediana</v>
      </c>
      <c r="Z717" s="1418" t="str">
        <f t="shared" si="128"/>
        <v/>
      </c>
      <c r="AB717" s="629" t="s">
        <v>7266</v>
      </c>
      <c r="AC717" s="241"/>
      <c r="AD717" s="241"/>
      <c r="AE717" s="945"/>
      <c r="AG717" s="961" t="str">
        <f t="shared" si="110"/>
        <v/>
      </c>
      <c r="AH717" s="87" t="str">
        <f t="shared" si="111"/>
        <v/>
      </c>
      <c r="AI717" s="87" t="str">
        <f t="shared" si="112"/>
        <v>Wakizasi</v>
      </c>
      <c r="AJ717" s="1419">
        <f>IF(OR($L717=AJ$627,$L717="",$D717=$AL$626),MAX(AJ$629:AJ716)+1,0)</f>
        <v>0</v>
      </c>
      <c r="AK717" s="1420">
        <f>IF(OR($L717=AK$627,$L717="",$D717=$AL$626),MAX(AK$629:AK716)+1,0)</f>
        <v>0</v>
      </c>
      <c r="AL717" s="1421">
        <f>IF(OR($L717=AL$627,$L717="",$D717=$AL$626),MAX(AL$629:AL716)+1,0)</f>
        <v>65</v>
      </c>
      <c r="AM717" s="5701"/>
      <c r="AN717" s="961" t="str">
        <f t="shared" si="113"/>
        <v/>
      </c>
      <c r="AO717" s="87" t="str">
        <f t="shared" si="114"/>
        <v/>
      </c>
      <c r="AP717" s="87" t="str">
        <f t="shared" si="115"/>
        <v>Wakizasi</v>
      </c>
      <c r="AQ717" s="1419">
        <f>IF(OR($L717=AQ$627,$L717="",$D717=$AS$626),MAX(AQ$629:AQ716)+1,0)</f>
        <v>0</v>
      </c>
      <c r="AR717" s="1420">
        <f>IF(OR($L717=AR$627,$L717="",$D717=$AS$626),MAX(AR$629:AR716)+1,0)</f>
        <v>0</v>
      </c>
      <c r="AS717" s="1421">
        <f>IF(OR($L717=AS$627,$L717="",$D717=$AS$626),MAX(AS$629:AS716)+1,0)</f>
        <v>65</v>
      </c>
      <c r="AT717" s="5701"/>
      <c r="AU717" s="961" t="str">
        <f t="shared" si="116"/>
        <v/>
      </c>
      <c r="AV717" s="87" t="str">
        <f t="shared" si="117"/>
        <v/>
      </c>
      <c r="AW717" s="87" t="str">
        <f t="shared" si="118"/>
        <v>Wakizasi</v>
      </c>
      <c r="AX717" s="1419">
        <f>IF(OR($L717=AX$627,$L717="",$D717=$AZ$626),MAX(AX$629:AX716)+1,0)</f>
        <v>0</v>
      </c>
      <c r="AY717" s="1420">
        <f>IF(OR($L717=AY$627,$L717="",$D717=$AZ$626),MAX(AY$629:AY716)+1,0)</f>
        <v>0</v>
      </c>
      <c r="AZ717" s="1421">
        <f>IF(OR($L717=AZ$627,$L717="",$D717=$AZ$626),MAX(AZ$629:AZ716)+1,0)</f>
        <v>65</v>
      </c>
      <c r="BA717" s="5701"/>
      <c r="BB717" s="961" t="str">
        <f t="shared" si="119"/>
        <v/>
      </c>
      <c r="BC717" s="87" t="str">
        <f t="shared" si="120"/>
        <v/>
      </c>
      <c r="BD717" s="87" t="str">
        <f t="shared" si="121"/>
        <v>Wakizasi</v>
      </c>
      <c r="BE717" s="1419">
        <f>IF(OR($L717=BE$627,$L717="",$D717=$BG$626),MAX(BE$629:BE716)+1,0)</f>
        <v>0</v>
      </c>
      <c r="BF717" s="1420">
        <f>IF(OR($L717=BF$627,$L717="",$D717=$BG$626),MAX(BF$629:BF716)+1,0)</f>
        <v>0</v>
      </c>
      <c r="BG717" s="1421">
        <f>IF(OR($L717=BG$627,$L717="",$D717=$BG$626),MAX(BG$629:BG716)+1,0)</f>
        <v>65</v>
      </c>
      <c r="BH717" s="5701"/>
      <c r="BI717" s="961" t="str">
        <f t="shared" si="122"/>
        <v/>
      </c>
      <c r="BJ717" s="87" t="str">
        <f t="shared" si="123"/>
        <v/>
      </c>
      <c r="BK717" s="87" t="str">
        <f t="shared" si="124"/>
        <v>Wakizasi</v>
      </c>
      <c r="BL717" s="1419">
        <f>IF(OR($L717=BL$627,$L717="",$D717=$BN$626),MAX(BL$629:BL716)+1,0)</f>
        <v>0</v>
      </c>
      <c r="BM717" s="1420">
        <f>IF(OR($L717=BM$627,$L717="",$D717=$BN$626),MAX(BM$629:BM716)+1,0)</f>
        <v>0</v>
      </c>
      <c r="BN717" s="1421">
        <f>IF(OR($L717=BN$627,$L717="",$D717=$BN$626),MAX(BN$629:BN716)+1,0)</f>
        <v>65</v>
      </c>
      <c r="BO717" s="5701"/>
      <c r="BP717" s="961" t="str">
        <f t="shared" si="125"/>
        <v/>
      </c>
      <c r="BQ717" s="87" t="str">
        <f t="shared" si="126"/>
        <v/>
      </c>
      <c r="BR717" s="87" t="str">
        <f t="shared" si="127"/>
        <v>Wakizasi</v>
      </c>
      <c r="BS717" s="1419">
        <f>IF(OR($L717=BS$627,$L717="",$D717=$BU$626),MAX(BS$629:BS716)+1,0)</f>
        <v>0</v>
      </c>
      <c r="BT717" s="1420">
        <f>IF(OR($L717=BT$627,$L717="",$D717=$BU$626),MAX(BT$629:BT716)+1,0)</f>
        <v>0</v>
      </c>
      <c r="BU717" s="1421">
        <f>IF(OR($L717=BU$627,$L717="",$D717=$BU$626),MAX(BU$629:BU716)+1,0)</f>
        <v>65</v>
      </c>
    </row>
    <row r="718" spans="1:73" ht="12.75" customHeight="1" x14ac:dyDescent="0.2">
      <c r="A718" s="242">
        <v>718</v>
      </c>
      <c r="B718" s="5664"/>
      <c r="C718" s="1288"/>
      <c r="D718" s="1289" t="s">
        <v>2215</v>
      </c>
      <c r="E718" s="1295">
        <f>55-Bono_Fue</f>
        <v>55</v>
      </c>
      <c r="F718" s="1287">
        <v>-5</v>
      </c>
      <c r="G718" s="1287">
        <v>8</v>
      </c>
      <c r="H718" s="1287">
        <v>8</v>
      </c>
      <c r="I718" s="1287" t="s">
        <v>1560</v>
      </c>
      <c r="J718" s="1287" t="s">
        <v>1464</v>
      </c>
      <c r="K718" s="1281" t="s">
        <v>7522</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2216</v>
      </c>
      <c r="W718" s="1672"/>
      <c r="X718" s="1673" t="str">
        <f t="shared" si="131"/>
        <v>Mediana</v>
      </c>
      <c r="Z718" s="1418" t="str">
        <f t="shared" si="128"/>
        <v/>
      </c>
      <c r="AB718" s="961" t="s">
        <v>7267</v>
      </c>
      <c r="AC718" s="241"/>
      <c r="AD718" s="241"/>
      <c r="AE718" s="945"/>
      <c r="AG718" s="961" t="str">
        <f t="shared" si="110"/>
        <v/>
      </c>
      <c r="AH718" s="87" t="str">
        <f t="shared" si="111"/>
        <v/>
      </c>
      <c r="AI718" s="87" t="str">
        <f t="shared" si="112"/>
        <v>&gt; A. DE PROYECTILES</v>
      </c>
      <c r="AJ718" s="1419">
        <f>IF(OR($L718=AJ$627,$L718="",$D718=$AL$626),MAX(AJ$629:AJ717)+1,0)</f>
        <v>0</v>
      </c>
      <c r="AK718" s="1420">
        <f>IF(OR($L718=AK$627,$L718="",$D718=$AL$626),MAX(AK$629:AK717)+1,0)</f>
        <v>0</v>
      </c>
      <c r="AL718" s="1421">
        <f>IF(OR($L718=AL$627,$L718="",$D718=$AL$626),MAX(AL$629:AL717)+1,0)</f>
        <v>66</v>
      </c>
      <c r="AM718" s="5701"/>
      <c r="AN718" s="961" t="str">
        <f t="shared" si="113"/>
        <v/>
      </c>
      <c r="AO718" s="87" t="str">
        <f t="shared" si="114"/>
        <v/>
      </c>
      <c r="AP718" s="87" t="str">
        <f t="shared" si="115"/>
        <v>&gt; A. DE PROYECTILES</v>
      </c>
      <c r="AQ718" s="1419">
        <f>IF(OR($L718=AQ$627,$L718="",$D718=$AS$626),MAX(AQ$629:AQ717)+1,0)</f>
        <v>0</v>
      </c>
      <c r="AR718" s="1420">
        <f>IF(OR($L718=AR$627,$L718="",$D718=$AS$626),MAX(AR$629:AR717)+1,0)</f>
        <v>0</v>
      </c>
      <c r="AS718" s="1421">
        <f>IF(OR($L718=AS$627,$L718="",$D718=$AS$626),MAX(AS$629:AS717)+1,0)</f>
        <v>66</v>
      </c>
      <c r="AT718" s="5701"/>
      <c r="AU718" s="961" t="str">
        <f t="shared" si="116"/>
        <v/>
      </c>
      <c r="AV718" s="87" t="str">
        <f t="shared" si="117"/>
        <v/>
      </c>
      <c r="AW718" s="87" t="str">
        <f t="shared" si="118"/>
        <v>&gt; A. DE PROYECTILES</v>
      </c>
      <c r="AX718" s="1419">
        <f>IF(OR($L718=AX$627,$L718="",$D718=$AZ$626),MAX(AX$629:AX717)+1,0)</f>
        <v>0</v>
      </c>
      <c r="AY718" s="1420">
        <f>IF(OR($L718=AY$627,$L718="",$D718=$AZ$626),MAX(AY$629:AY717)+1,0)</f>
        <v>0</v>
      </c>
      <c r="AZ718" s="1421">
        <f>IF(OR($L718=AZ$627,$L718="",$D718=$AZ$626),MAX(AZ$629:AZ717)+1,0)</f>
        <v>66</v>
      </c>
      <c r="BA718" s="5701"/>
      <c r="BB718" s="961" t="str">
        <f t="shared" si="119"/>
        <v/>
      </c>
      <c r="BC718" s="87" t="str">
        <f t="shared" si="120"/>
        <v/>
      </c>
      <c r="BD718" s="87" t="str">
        <f t="shared" si="121"/>
        <v>&gt; A. DE PROYECTILES</v>
      </c>
      <c r="BE718" s="1419">
        <f>IF(OR($L718=BE$627,$L718="",$D718=$BG$626),MAX(BE$629:BE717)+1,0)</f>
        <v>0</v>
      </c>
      <c r="BF718" s="1420">
        <f>IF(OR($L718=BF$627,$L718="",$D718=$BG$626),MAX(BF$629:BF717)+1,0)</f>
        <v>0</v>
      </c>
      <c r="BG718" s="1421">
        <f>IF(OR($L718=BG$627,$L718="",$D718=$BG$626),MAX(BG$629:BG717)+1,0)</f>
        <v>66</v>
      </c>
      <c r="BH718" s="5701"/>
      <c r="BI718" s="961" t="str">
        <f t="shared" si="122"/>
        <v/>
      </c>
      <c r="BJ718" s="87" t="str">
        <f t="shared" si="123"/>
        <v/>
      </c>
      <c r="BK718" s="87" t="str">
        <f t="shared" si="124"/>
        <v>&gt; A. DE PROYECTILES</v>
      </c>
      <c r="BL718" s="1419">
        <f>IF(OR($L718=BL$627,$L718="",$D718=$BN$626),MAX(BL$629:BL717)+1,0)</f>
        <v>0</v>
      </c>
      <c r="BM718" s="1420">
        <f>IF(OR($L718=BM$627,$L718="",$D718=$BN$626),MAX(BM$629:BM717)+1,0)</f>
        <v>0</v>
      </c>
      <c r="BN718" s="1421">
        <f>IF(OR($L718=BN$627,$L718="",$D718=$BN$626),MAX(BN$629:BN717)+1,0)</f>
        <v>66</v>
      </c>
      <c r="BO718" s="5701"/>
      <c r="BP718" s="961" t="str">
        <f t="shared" si="125"/>
        <v/>
      </c>
      <c r="BQ718" s="87" t="str">
        <f t="shared" si="126"/>
        <v/>
      </c>
      <c r="BR718" s="87" t="str">
        <f t="shared" si="127"/>
        <v>&gt; A. DE PROYECTILES</v>
      </c>
      <c r="BS718" s="1419">
        <f>IF(OR($L718=BS$627,$L718="",$D718=$BU$626),MAX(BS$629:BS717)+1,0)</f>
        <v>0</v>
      </c>
      <c r="BT718" s="1420">
        <f>IF(OR($L718=BT$627,$L718="",$D718=$BU$626),MAX(BT$629:BT717)+1,0)</f>
        <v>0</v>
      </c>
      <c r="BU718" s="1421">
        <f>IF(OR($L718=BU$627,$L718="",$D718=$BU$626),MAX(BU$629:BU717)+1,0)</f>
        <v>66</v>
      </c>
    </row>
    <row r="719" spans="1:73" ht="12.75" customHeight="1" x14ac:dyDescent="0.2">
      <c r="A719" s="242">
        <v>719</v>
      </c>
      <c r="B719" s="5664"/>
      <c r="C719" s="1288"/>
      <c r="D719" s="1289" t="s">
        <v>2217</v>
      </c>
      <c r="E719" s="1295">
        <v>40</v>
      </c>
      <c r="F719" s="1287">
        <v>10</v>
      </c>
      <c r="G719" s="1287">
        <v>8</v>
      </c>
      <c r="H719" s="1287">
        <v>8</v>
      </c>
      <c r="I719" s="1287" t="s">
        <v>1561</v>
      </c>
      <c r="J719" s="1287" t="s">
        <v>1560</v>
      </c>
      <c r="K719" s="1281" t="s">
        <v>7524</v>
      </c>
      <c r="L719" s="1287" t="str">
        <f t="shared" si="132"/>
        <v>Distinta</v>
      </c>
      <c r="M719" s="1296">
        <v>13</v>
      </c>
      <c r="N719" s="1296">
        <v>3</v>
      </c>
      <c r="O719" s="1296">
        <v>25</v>
      </c>
      <c r="P719" s="1287"/>
      <c r="Q719" s="1287"/>
      <c r="R719" s="1287" t="s">
        <v>1464</v>
      </c>
      <c r="S719" s="1287" t="s">
        <v>1464</v>
      </c>
      <c r="T719" s="1287" t="s">
        <v>1464</v>
      </c>
      <c r="U719" s="1287"/>
      <c r="V719" s="1672" t="s">
        <v>2218</v>
      </c>
      <c r="W719" s="1672"/>
      <c r="X719" s="1673" t="str">
        <f t="shared" si="131"/>
        <v>Pequeña</v>
      </c>
      <c r="Z719" s="1418" t="str">
        <f t="shared" si="128"/>
        <v/>
      </c>
      <c r="AB719" s="961" t="s">
        <v>7268</v>
      </c>
      <c r="AC719" s="241"/>
      <c r="AD719" s="241"/>
      <c r="AE719" s="945"/>
      <c r="AG719" s="961" t="str">
        <f t="shared" si="110"/>
        <v/>
      </c>
      <c r="AH719" s="87" t="str">
        <f t="shared" si="111"/>
        <v/>
      </c>
      <c r="AI719" s="87" t="str">
        <f t="shared" si="112"/>
        <v>&gt; ARMAS DE ASEDIO</v>
      </c>
      <c r="AJ719" s="1419">
        <f>IF(OR($L719=AJ$627,$L719="",$D719=$AL$626),MAX(AJ$629:AJ718)+1,0)</f>
        <v>0</v>
      </c>
      <c r="AK719" s="1420">
        <f>IF(OR($L719=AK$627,$L719="",$D719=$AL$626),MAX(AK$629:AK718)+1,0)</f>
        <v>0</v>
      </c>
      <c r="AL719" s="1421">
        <f>IF(OR($L719=AL$627,$L719="",$D719=$AL$626),MAX(AL$629:AL718)+1,0)</f>
        <v>67</v>
      </c>
      <c r="AM719" s="5701"/>
      <c r="AN719" s="961" t="str">
        <f t="shared" si="113"/>
        <v/>
      </c>
      <c r="AO719" s="87" t="str">
        <f t="shared" si="114"/>
        <v/>
      </c>
      <c r="AP719" s="87" t="str">
        <f t="shared" si="115"/>
        <v>&gt; ARMAS DE ASEDIO</v>
      </c>
      <c r="AQ719" s="1419">
        <f>IF(OR($L719=AQ$627,$L719="",$D719=$AS$626),MAX(AQ$629:AQ718)+1,0)</f>
        <v>0</v>
      </c>
      <c r="AR719" s="1420">
        <f>IF(OR($L719=AR$627,$L719="",$D719=$AS$626),MAX(AR$629:AR718)+1,0)</f>
        <v>0</v>
      </c>
      <c r="AS719" s="1421">
        <f>IF(OR($L719=AS$627,$L719="",$D719=$AS$626),MAX(AS$629:AS718)+1,0)</f>
        <v>67</v>
      </c>
      <c r="AT719" s="5701"/>
      <c r="AU719" s="961" t="str">
        <f t="shared" si="116"/>
        <v/>
      </c>
      <c r="AV719" s="87" t="str">
        <f t="shared" si="117"/>
        <v/>
      </c>
      <c r="AW719" s="87" t="str">
        <f t="shared" si="118"/>
        <v>&gt; ARMAS DE ASEDIO</v>
      </c>
      <c r="AX719" s="1419">
        <f>IF(OR($L719=AX$627,$L719="",$D719=$AZ$626),MAX(AX$629:AX718)+1,0)</f>
        <v>0</v>
      </c>
      <c r="AY719" s="1420">
        <f>IF(OR($L719=AY$627,$L719="",$D719=$AZ$626),MAX(AY$629:AY718)+1,0)</f>
        <v>0</v>
      </c>
      <c r="AZ719" s="1421">
        <f>IF(OR($L719=AZ$627,$L719="",$D719=$AZ$626),MAX(AZ$629:AZ718)+1,0)</f>
        <v>67</v>
      </c>
      <c r="BA719" s="5701"/>
      <c r="BB719" s="961" t="str">
        <f t="shared" si="119"/>
        <v/>
      </c>
      <c r="BC719" s="87" t="str">
        <f t="shared" si="120"/>
        <v/>
      </c>
      <c r="BD719" s="87" t="str">
        <f t="shared" si="121"/>
        <v>&gt; ARMAS DE ASEDIO</v>
      </c>
      <c r="BE719" s="1419">
        <f>IF(OR($L719=BE$627,$L719="",$D719=$BG$626),MAX(BE$629:BE718)+1,0)</f>
        <v>0</v>
      </c>
      <c r="BF719" s="1420">
        <f>IF(OR($L719=BF$627,$L719="",$D719=$BG$626),MAX(BF$629:BF718)+1,0)</f>
        <v>0</v>
      </c>
      <c r="BG719" s="1421">
        <f>IF(OR($L719=BG$627,$L719="",$D719=$BG$626),MAX(BG$629:BG718)+1,0)</f>
        <v>67</v>
      </c>
      <c r="BH719" s="5701"/>
      <c r="BI719" s="961" t="str">
        <f t="shared" si="122"/>
        <v/>
      </c>
      <c r="BJ719" s="87" t="str">
        <f t="shared" si="123"/>
        <v/>
      </c>
      <c r="BK719" s="87" t="str">
        <f t="shared" si="124"/>
        <v>&gt; ARMAS DE ASEDIO</v>
      </c>
      <c r="BL719" s="1419">
        <f>IF(OR($L719=BL$627,$L719="",$D719=$BN$626),MAX(BL$629:BL718)+1,0)</f>
        <v>0</v>
      </c>
      <c r="BM719" s="1420">
        <f>IF(OR($L719=BM$627,$L719="",$D719=$BN$626),MAX(BM$629:BM718)+1,0)</f>
        <v>0</v>
      </c>
      <c r="BN719" s="1421">
        <f>IF(OR($L719=BN$627,$L719="",$D719=$BN$626),MAX(BN$629:BN718)+1,0)</f>
        <v>67</v>
      </c>
      <c r="BO719" s="5701"/>
      <c r="BP719" s="961" t="str">
        <f t="shared" si="125"/>
        <v/>
      </c>
      <c r="BQ719" s="87" t="str">
        <f t="shared" si="126"/>
        <v/>
      </c>
      <c r="BR719" s="87" t="str">
        <f t="shared" si="127"/>
        <v>&gt; ARMAS DE ASEDIO</v>
      </c>
      <c r="BS719" s="1419">
        <f>IF(OR($L719=BS$627,$L719="",$D719=$BU$626),MAX(BS$629:BS718)+1,0)</f>
        <v>0</v>
      </c>
      <c r="BT719" s="1420">
        <f>IF(OR($L719=BT$627,$L719="",$D719=$BU$626),MAX(BT$629:BT718)+1,0)</f>
        <v>0</v>
      </c>
      <c r="BU719" s="1421">
        <f>IF(OR($L719=BU$627,$L719="",$D719=$BU$626),MAX(BU$629:BU718)+1,0)</f>
        <v>67</v>
      </c>
    </row>
    <row r="720" spans="1:73" ht="12.75" customHeight="1" x14ac:dyDescent="0.2">
      <c r="A720" s="242">
        <v>720</v>
      </c>
      <c r="B720" s="5664"/>
      <c r="C720" s="1288"/>
      <c r="D720" s="1289" t="s">
        <v>2219</v>
      </c>
      <c r="E720" s="1295">
        <f>40-Bono_Fue</f>
        <v>40</v>
      </c>
      <c r="F720" s="1287">
        <v>5</v>
      </c>
      <c r="G720" s="1287">
        <v>5</v>
      </c>
      <c r="H720" s="1287">
        <v>5</v>
      </c>
      <c r="I720" s="1287" t="s">
        <v>1560</v>
      </c>
      <c r="J720" s="1287" t="s">
        <v>2220</v>
      </c>
      <c r="K720" s="1281" t="s">
        <v>7536</v>
      </c>
      <c r="L720" s="1287" t="str">
        <f t="shared" si="132"/>
        <v>Distinta</v>
      </c>
      <c r="M720" s="1296">
        <v>12</v>
      </c>
      <c r="N720" s="1296">
        <v>4</v>
      </c>
      <c r="O720" s="1296">
        <v>25</v>
      </c>
      <c r="P720" s="1287"/>
      <c r="Q720" s="1287"/>
      <c r="R720" s="1287" t="s">
        <v>1464</v>
      </c>
      <c r="S720" s="1287" t="s">
        <v>1464</v>
      </c>
      <c r="T720" s="1287" t="s">
        <v>1464</v>
      </c>
      <c r="U720" s="1287"/>
      <c r="V720" s="1672" t="s">
        <v>2221</v>
      </c>
      <c r="W720" s="1672"/>
      <c r="X720" s="1673" t="str">
        <f t="shared" si="131"/>
        <v>Pequeña</v>
      </c>
      <c r="Z720" s="1418" t="str">
        <f t="shared" si="128"/>
        <v/>
      </c>
      <c r="AB720" s="629" t="s">
        <v>7269</v>
      </c>
      <c r="AC720" s="241"/>
      <c r="AD720" s="241"/>
      <c r="AE720" s="945"/>
      <c r="AG720" s="961" t="str">
        <f t="shared" si="110"/>
        <v/>
      </c>
      <c r="AH720" s="87" t="str">
        <f t="shared" si="111"/>
        <v/>
      </c>
      <c r="AI720" s="87" t="str">
        <f t="shared" si="112"/>
        <v/>
      </c>
      <c r="AJ720" s="1419">
        <f>IF(OR($L720=AJ$627,$L720="",$D720=$AL$626),MAX(AJ$629:AJ719)+1,0)</f>
        <v>0</v>
      </c>
      <c r="AK720" s="1420">
        <f>IF(OR($L720=AK$627,$L720="",$D720=$AL$626),MAX(AK$629:AK719)+1,0)</f>
        <v>0</v>
      </c>
      <c r="AL720" s="1421">
        <f>IF(OR($L720=AL$627,$L720="",$D720=$AL$626),MAX(AL$629:AL719)+1,0)</f>
        <v>68</v>
      </c>
      <c r="AM720" s="5701"/>
      <c r="AN720" s="961" t="str">
        <f t="shared" si="113"/>
        <v/>
      </c>
      <c r="AO720" s="87" t="str">
        <f t="shared" si="114"/>
        <v/>
      </c>
      <c r="AP720" s="87" t="str">
        <f t="shared" si="115"/>
        <v/>
      </c>
      <c r="AQ720" s="1419">
        <f>IF(OR($L720=AQ$627,$L720="",$D720=$AS$626),MAX(AQ$629:AQ719)+1,0)</f>
        <v>0</v>
      </c>
      <c r="AR720" s="1420">
        <f>IF(OR($L720=AR$627,$L720="",$D720=$AS$626),MAX(AR$629:AR719)+1,0)</f>
        <v>0</v>
      </c>
      <c r="AS720" s="1421">
        <f>IF(OR($L720=AS$627,$L720="",$D720=$AS$626),MAX(AS$629:AS719)+1,0)</f>
        <v>68</v>
      </c>
      <c r="AT720" s="5701"/>
      <c r="AU720" s="961" t="str">
        <f t="shared" si="116"/>
        <v/>
      </c>
      <c r="AV720" s="87" t="str">
        <f t="shared" si="117"/>
        <v/>
      </c>
      <c r="AW720" s="87" t="str">
        <f t="shared" si="118"/>
        <v/>
      </c>
      <c r="AX720" s="1419">
        <f>IF(OR($L720=AX$627,$L720="",$D720=$AZ$626),MAX(AX$629:AX719)+1,0)</f>
        <v>0</v>
      </c>
      <c r="AY720" s="1420">
        <f>IF(OR($L720=AY$627,$L720="",$D720=$AZ$626),MAX(AY$629:AY719)+1,0)</f>
        <v>0</v>
      </c>
      <c r="AZ720" s="1421">
        <f>IF(OR($L720=AZ$627,$L720="",$D720=$AZ$626),MAX(AZ$629:AZ719)+1,0)</f>
        <v>68</v>
      </c>
      <c r="BA720" s="5701"/>
      <c r="BB720" s="961" t="str">
        <f t="shared" si="119"/>
        <v/>
      </c>
      <c r="BC720" s="87" t="str">
        <f t="shared" si="120"/>
        <v/>
      </c>
      <c r="BD720" s="87" t="str">
        <f t="shared" si="121"/>
        <v/>
      </c>
      <c r="BE720" s="1419">
        <f>IF(OR($L720=BE$627,$L720="",$D720=$BG$626),MAX(BE$629:BE719)+1,0)</f>
        <v>0</v>
      </c>
      <c r="BF720" s="1420">
        <f>IF(OR($L720=BF$627,$L720="",$D720=$BG$626),MAX(BF$629:BF719)+1,0)</f>
        <v>0</v>
      </c>
      <c r="BG720" s="1421">
        <f>IF(OR($L720=BG$627,$L720="",$D720=$BG$626),MAX(BG$629:BG719)+1,0)</f>
        <v>68</v>
      </c>
      <c r="BH720" s="5701"/>
      <c r="BI720" s="961" t="str">
        <f t="shared" si="122"/>
        <v/>
      </c>
      <c r="BJ720" s="87" t="str">
        <f t="shared" si="123"/>
        <v/>
      </c>
      <c r="BK720" s="87" t="str">
        <f t="shared" si="124"/>
        <v/>
      </c>
      <c r="BL720" s="1419">
        <f>IF(OR($L720=BL$627,$L720="",$D720=$BN$626),MAX(BL$629:BL719)+1,0)</f>
        <v>0</v>
      </c>
      <c r="BM720" s="1420">
        <f>IF(OR($L720=BM$627,$L720="",$D720=$BN$626),MAX(BM$629:BM719)+1,0)</f>
        <v>0</v>
      </c>
      <c r="BN720" s="1421">
        <f>IF(OR($L720=BN$627,$L720="",$D720=$BN$626),MAX(BN$629:BN719)+1,0)</f>
        <v>68</v>
      </c>
      <c r="BO720" s="5701"/>
      <c r="BP720" s="961" t="str">
        <f t="shared" si="125"/>
        <v/>
      </c>
      <c r="BQ720" s="87" t="str">
        <f t="shared" si="126"/>
        <v/>
      </c>
      <c r="BR720" s="87" t="str">
        <f t="shared" si="127"/>
        <v/>
      </c>
      <c r="BS720" s="1419">
        <f>IF(OR($L720=BS$627,$L720="",$D720=$BU$626),MAX(BS$629:BS719)+1,0)</f>
        <v>0</v>
      </c>
      <c r="BT720" s="1420">
        <f>IF(OR($L720=BT$627,$L720="",$D720=$BU$626),MAX(BT$629:BT719)+1,0)</f>
        <v>0</v>
      </c>
      <c r="BU720" s="1421">
        <f>IF(OR($L720=BU$627,$L720="",$D720=$BU$626),MAX(BU$629:BU719)+1,0)</f>
        <v>68</v>
      </c>
    </row>
    <row r="721" spans="1:73" ht="12.75" customHeight="1" x14ac:dyDescent="0.2">
      <c r="A721" s="242">
        <v>721</v>
      </c>
      <c r="B721" s="5664"/>
      <c r="C721" s="1288"/>
      <c r="D721" s="1289" t="s">
        <v>2222</v>
      </c>
      <c r="E721" s="1295">
        <v>80</v>
      </c>
      <c r="F721" s="1287">
        <v>-35</v>
      </c>
      <c r="G721" s="1287">
        <v>10</v>
      </c>
      <c r="H721" s="1287">
        <v>8</v>
      </c>
      <c r="I721" s="1287" t="s">
        <v>1560</v>
      </c>
      <c r="J721" s="1287" t="s">
        <v>1464</v>
      </c>
      <c r="K721" s="1281" t="s">
        <v>7526</v>
      </c>
      <c r="L721" s="1287" t="str">
        <f t="shared" si="132"/>
        <v>Distinta</v>
      </c>
      <c r="M721" s="1296">
        <v>14</v>
      </c>
      <c r="N721" s="1296">
        <v>4</v>
      </c>
      <c r="O721" s="1296">
        <v>40</v>
      </c>
      <c r="P721" s="1287"/>
      <c r="Q721" s="1287"/>
      <c r="R721" s="1287" t="s">
        <v>1464</v>
      </c>
      <c r="S721" s="1287" t="s">
        <v>1464</v>
      </c>
      <c r="T721" s="1287" t="s">
        <v>1464</v>
      </c>
      <c r="U721" s="1287"/>
      <c r="V721" s="1672" t="s">
        <v>2164</v>
      </c>
      <c r="W721" s="1672"/>
      <c r="X721" s="1673" t="str">
        <f t="shared" si="131"/>
        <v>Grande</v>
      </c>
      <c r="Z721" s="1418" t="str">
        <f t="shared" si="128"/>
        <v/>
      </c>
      <c r="AB721" s="629" t="s">
        <v>7270</v>
      </c>
      <c r="AC721" s="241"/>
      <c r="AD721" s="241"/>
      <c r="AE721" s="945"/>
      <c r="AG721" s="961" t="str">
        <f t="shared" si="110"/>
        <v/>
      </c>
      <c r="AH721" s="87" t="str">
        <f t="shared" si="111"/>
        <v/>
      </c>
      <c r="AI721" s="87" t="str">
        <f t="shared" si="112"/>
        <v/>
      </c>
      <c r="AJ721" s="1419">
        <f>IF(OR($L721=AJ$627,$L721="",$D721=$AL$626),MAX(AJ$629:AJ720)+1,0)</f>
        <v>0</v>
      </c>
      <c r="AK721" s="1420">
        <f>IF(OR($L721=AK$627,$L721="",$D721=$AL$626),MAX(AK$629:AK720)+1,0)</f>
        <v>0</v>
      </c>
      <c r="AL721" s="1421">
        <f>IF(OR($L721=AL$627,$L721="",$D721=$AL$626),MAX(AL$629:AL720)+1,0)</f>
        <v>69</v>
      </c>
      <c r="AM721" s="5701"/>
      <c r="AN721" s="961" t="str">
        <f t="shared" si="113"/>
        <v/>
      </c>
      <c r="AO721" s="87" t="str">
        <f t="shared" si="114"/>
        <v/>
      </c>
      <c r="AP721" s="87" t="str">
        <f t="shared" si="115"/>
        <v/>
      </c>
      <c r="AQ721" s="1419">
        <f>IF(OR($L721=AQ$627,$L721="",$D721=$AS$626),MAX(AQ$629:AQ720)+1,0)</f>
        <v>0</v>
      </c>
      <c r="AR721" s="1420">
        <f>IF(OR($L721=AR$627,$L721="",$D721=$AS$626),MAX(AR$629:AR720)+1,0)</f>
        <v>0</v>
      </c>
      <c r="AS721" s="1421">
        <f>IF(OR($L721=AS$627,$L721="",$D721=$AS$626),MAX(AS$629:AS720)+1,0)</f>
        <v>69</v>
      </c>
      <c r="AT721" s="5701"/>
      <c r="AU721" s="961" t="str">
        <f t="shared" si="116"/>
        <v/>
      </c>
      <c r="AV721" s="87" t="str">
        <f t="shared" si="117"/>
        <v/>
      </c>
      <c r="AW721" s="87" t="str">
        <f t="shared" si="118"/>
        <v/>
      </c>
      <c r="AX721" s="1419">
        <f>IF(OR($L721=AX$627,$L721="",$D721=$AZ$626),MAX(AX$629:AX720)+1,0)</f>
        <v>0</v>
      </c>
      <c r="AY721" s="1420">
        <f>IF(OR($L721=AY$627,$L721="",$D721=$AZ$626),MAX(AY$629:AY720)+1,0)</f>
        <v>0</v>
      </c>
      <c r="AZ721" s="1421">
        <f>IF(OR($L721=AZ$627,$L721="",$D721=$AZ$626),MAX(AZ$629:AZ720)+1,0)</f>
        <v>69</v>
      </c>
      <c r="BA721" s="5701"/>
      <c r="BB721" s="961" t="str">
        <f t="shared" si="119"/>
        <v/>
      </c>
      <c r="BC721" s="87" t="str">
        <f t="shared" si="120"/>
        <v/>
      </c>
      <c r="BD721" s="87" t="str">
        <f t="shared" si="121"/>
        <v/>
      </c>
      <c r="BE721" s="1419">
        <f>IF(OR($L721=BE$627,$L721="",$D721=$BG$626),MAX(BE$629:BE720)+1,0)</f>
        <v>0</v>
      </c>
      <c r="BF721" s="1420">
        <f>IF(OR($L721=BF$627,$L721="",$D721=$BG$626),MAX(BF$629:BF720)+1,0)</f>
        <v>0</v>
      </c>
      <c r="BG721" s="1421">
        <f>IF(OR($L721=BG$627,$L721="",$D721=$BG$626),MAX(BG$629:BG720)+1,0)</f>
        <v>69</v>
      </c>
      <c r="BH721" s="5701"/>
      <c r="BI721" s="961" t="str">
        <f t="shared" si="122"/>
        <v/>
      </c>
      <c r="BJ721" s="87" t="str">
        <f t="shared" si="123"/>
        <v/>
      </c>
      <c r="BK721" s="87" t="str">
        <f t="shared" si="124"/>
        <v/>
      </c>
      <c r="BL721" s="1419">
        <f>IF(OR($L721=BL$627,$L721="",$D721=$BN$626),MAX(BL$629:BL720)+1,0)</f>
        <v>0</v>
      </c>
      <c r="BM721" s="1420">
        <f>IF(OR($L721=BM$627,$L721="",$D721=$BN$626),MAX(BM$629:BM720)+1,0)</f>
        <v>0</v>
      </c>
      <c r="BN721" s="1421">
        <f>IF(OR($L721=BN$627,$L721="",$D721=$BN$626),MAX(BN$629:BN720)+1,0)</f>
        <v>69</v>
      </c>
      <c r="BO721" s="5701"/>
      <c r="BP721" s="961" t="str">
        <f t="shared" si="125"/>
        <v/>
      </c>
      <c r="BQ721" s="87" t="str">
        <f t="shared" si="126"/>
        <v/>
      </c>
      <c r="BR721" s="87" t="str">
        <f t="shared" si="127"/>
        <v/>
      </c>
      <c r="BS721" s="1419">
        <f>IF(OR($L721=BS$627,$L721="",$D721=$BU$626),MAX(BS$629:BS720)+1,0)</f>
        <v>0</v>
      </c>
      <c r="BT721" s="1420">
        <f>IF(OR($L721=BT$627,$L721="",$D721=$BU$626),MAX(BT$629:BT720)+1,0)</f>
        <v>0</v>
      </c>
      <c r="BU721" s="1421">
        <f>IF(OR($L721=BU$627,$L721="",$D721=$BU$626),MAX(BU$629:BU720)+1,0)</f>
        <v>69</v>
      </c>
    </row>
    <row r="722" spans="1:73" ht="12.75" customHeight="1" x14ac:dyDescent="0.2">
      <c r="A722" s="242">
        <v>722</v>
      </c>
      <c r="B722" s="5664"/>
      <c r="C722" s="1288"/>
      <c r="D722" s="1289" t="s">
        <v>2223</v>
      </c>
      <c r="E722" s="1295">
        <v>30</v>
      </c>
      <c r="F722" s="1287">
        <v>15</v>
      </c>
      <c r="G722" s="1287">
        <v>5</v>
      </c>
      <c r="H722" s="1287">
        <v>5</v>
      </c>
      <c r="I722" s="1287" t="s">
        <v>1506</v>
      </c>
      <c r="J722" s="1287" t="s">
        <v>1464</v>
      </c>
      <c r="K722" s="1281" t="s">
        <v>7523</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7271</v>
      </c>
      <c r="AC722" s="241"/>
      <c r="AD722" s="241"/>
      <c r="AE722" s="945"/>
      <c r="AG722" s="961" t="str">
        <f t="shared" si="110"/>
        <v/>
      </c>
      <c r="AH722" s="87" t="str">
        <f t="shared" si="111"/>
        <v/>
      </c>
      <c r="AI722" s="87" t="str">
        <f t="shared" si="112"/>
        <v/>
      </c>
      <c r="AJ722" s="1419">
        <f>IF(OR($L722=AJ$627,$L722="",$D722=$AL$626),MAX(AJ$629:AJ721)+1,0)</f>
        <v>0</v>
      </c>
      <c r="AK722" s="1420">
        <f>IF(OR($L722=AK$627,$L722="",$D722=$AL$626),MAX(AK$629:AK721)+1,0)</f>
        <v>0</v>
      </c>
      <c r="AL722" s="1421">
        <f>IF(OR($L722=AL$627,$L722="",$D722=$AL$626),MAX(AL$629:AL721)+1,0)</f>
        <v>70</v>
      </c>
      <c r="AM722" s="5701"/>
      <c r="AN722" s="961" t="str">
        <f t="shared" si="113"/>
        <v/>
      </c>
      <c r="AO722" s="87" t="str">
        <f t="shared" si="114"/>
        <v/>
      </c>
      <c r="AP722" s="87" t="str">
        <f t="shared" si="115"/>
        <v/>
      </c>
      <c r="AQ722" s="1419">
        <f>IF(OR($L722=AQ$627,$L722="",$D722=$AS$626),MAX(AQ$629:AQ721)+1,0)</f>
        <v>0</v>
      </c>
      <c r="AR722" s="1420">
        <f>IF(OR($L722=AR$627,$L722="",$D722=$AS$626),MAX(AR$629:AR721)+1,0)</f>
        <v>0</v>
      </c>
      <c r="AS722" s="1421">
        <f>IF(OR($L722=AS$627,$L722="",$D722=$AS$626),MAX(AS$629:AS721)+1,0)</f>
        <v>70</v>
      </c>
      <c r="AT722" s="5701"/>
      <c r="AU722" s="961" t="str">
        <f t="shared" si="116"/>
        <v/>
      </c>
      <c r="AV722" s="87" t="str">
        <f t="shared" si="117"/>
        <v/>
      </c>
      <c r="AW722" s="87" t="str">
        <f t="shared" si="118"/>
        <v/>
      </c>
      <c r="AX722" s="1419">
        <f>IF(OR($L722=AX$627,$L722="",$D722=$AZ$626),MAX(AX$629:AX721)+1,0)</f>
        <v>0</v>
      </c>
      <c r="AY722" s="1420">
        <f>IF(OR($L722=AY$627,$L722="",$D722=$AZ$626),MAX(AY$629:AY721)+1,0)</f>
        <v>0</v>
      </c>
      <c r="AZ722" s="1421">
        <f>IF(OR($L722=AZ$627,$L722="",$D722=$AZ$626),MAX(AZ$629:AZ721)+1,0)</f>
        <v>70</v>
      </c>
      <c r="BA722" s="5701"/>
      <c r="BB722" s="961" t="str">
        <f t="shared" si="119"/>
        <v/>
      </c>
      <c r="BC722" s="87" t="str">
        <f t="shared" si="120"/>
        <v/>
      </c>
      <c r="BD722" s="87" t="str">
        <f t="shared" si="121"/>
        <v/>
      </c>
      <c r="BE722" s="1419">
        <f>IF(OR($L722=BE$627,$L722="",$D722=$BG$626),MAX(BE$629:BE721)+1,0)</f>
        <v>0</v>
      </c>
      <c r="BF722" s="1420">
        <f>IF(OR($L722=BF$627,$L722="",$D722=$BG$626),MAX(BF$629:BF721)+1,0)</f>
        <v>0</v>
      </c>
      <c r="BG722" s="1421">
        <f>IF(OR($L722=BG$627,$L722="",$D722=$BG$626),MAX(BG$629:BG721)+1,0)</f>
        <v>70</v>
      </c>
      <c r="BH722" s="5701"/>
      <c r="BI722" s="961" t="str">
        <f t="shared" si="122"/>
        <v/>
      </c>
      <c r="BJ722" s="87" t="str">
        <f t="shared" si="123"/>
        <v/>
      </c>
      <c r="BK722" s="87" t="str">
        <f t="shared" si="124"/>
        <v/>
      </c>
      <c r="BL722" s="1419">
        <f>IF(OR($L722=BL$627,$L722="",$D722=$BN$626),MAX(BL$629:BL721)+1,0)</f>
        <v>0</v>
      </c>
      <c r="BM722" s="1420">
        <f>IF(OR($L722=BM$627,$L722="",$D722=$BN$626),MAX(BM$629:BM721)+1,0)</f>
        <v>0</v>
      </c>
      <c r="BN722" s="1421">
        <f>IF(OR($L722=BN$627,$L722="",$D722=$BN$626),MAX(BN$629:BN721)+1,0)</f>
        <v>70</v>
      </c>
      <c r="BO722" s="5701"/>
      <c r="BP722" s="961" t="str">
        <f t="shared" si="125"/>
        <v/>
      </c>
      <c r="BQ722" s="87" t="str">
        <f t="shared" si="126"/>
        <v/>
      </c>
      <c r="BR722" s="87" t="str">
        <f t="shared" si="127"/>
        <v/>
      </c>
      <c r="BS722" s="1419">
        <f>IF(OR($L722=BS$627,$L722="",$D722=$BU$626),MAX(BS$629:BS721)+1,0)</f>
        <v>0</v>
      </c>
      <c r="BT722" s="1420">
        <f>IF(OR($L722=BT$627,$L722="",$D722=$BU$626),MAX(BT$629:BT721)+1,0)</f>
        <v>0</v>
      </c>
      <c r="BU722" s="1421">
        <f>IF(OR($L722=BU$627,$L722="",$D722=$BU$626),MAX(BU$629:BU721)+1,0)</f>
        <v>70</v>
      </c>
    </row>
    <row r="723" spans="1:73" ht="12.75" customHeight="1" x14ac:dyDescent="0.2">
      <c r="A723" s="242">
        <v>723</v>
      </c>
      <c r="B723" s="5664"/>
      <c r="C723" s="1288"/>
      <c r="D723" s="1289" t="s">
        <v>2224</v>
      </c>
      <c r="E723" s="1295">
        <v>50</v>
      </c>
      <c r="F723" s="1287">
        <v>-20</v>
      </c>
      <c r="G723" s="1287">
        <v>10</v>
      </c>
      <c r="H723" s="1287">
        <v>8</v>
      </c>
      <c r="I723" s="1287" t="s">
        <v>1506</v>
      </c>
      <c r="J723" s="1287" t="s">
        <v>1560</v>
      </c>
      <c r="K723" s="1281" t="s">
        <v>7526</v>
      </c>
      <c r="L723" s="1287" t="str">
        <f t="shared" si="132"/>
        <v>Distinta</v>
      </c>
      <c r="M723" s="1296">
        <v>16</v>
      </c>
      <c r="N723" s="1296">
        <v>8</v>
      </c>
      <c r="O723" s="1296">
        <v>25</v>
      </c>
      <c r="P723" s="1287"/>
      <c r="Q723" s="1287"/>
      <c r="R723" s="1287" t="s">
        <v>1464</v>
      </c>
      <c r="S723" s="1287" t="s">
        <v>1464</v>
      </c>
      <c r="T723" s="1287" t="s">
        <v>1464</v>
      </c>
      <c r="U723" s="1287"/>
      <c r="V723" s="1672" t="s">
        <v>2164</v>
      </c>
      <c r="W723" s="1672"/>
      <c r="X723" s="1673" t="str">
        <f t="shared" si="131"/>
        <v>Grande</v>
      </c>
      <c r="Z723" s="1418" t="str">
        <f t="shared" si="128"/>
        <v/>
      </c>
      <c r="AB723" s="629" t="s">
        <v>7272</v>
      </c>
      <c r="AC723" s="241"/>
      <c r="AD723" s="241"/>
      <c r="AE723" s="945"/>
      <c r="AG723" s="961" t="str">
        <f t="shared" si="110"/>
        <v/>
      </c>
      <c r="AH723" s="87" t="str">
        <f t="shared" si="111"/>
        <v/>
      </c>
      <c r="AI723" s="87" t="str">
        <f t="shared" si="112"/>
        <v/>
      </c>
      <c r="AJ723" s="1419">
        <f>IF(OR($L723=AJ$627,$L723="",$D723=$AL$626),MAX(AJ$629:AJ722)+1,0)</f>
        <v>0</v>
      </c>
      <c r="AK723" s="1420">
        <f>IF(OR($L723=AK$627,$L723="",$D723=$AL$626),MAX(AK$629:AK722)+1,0)</f>
        <v>0</v>
      </c>
      <c r="AL723" s="1421">
        <f>IF(OR($L723=AL$627,$L723="",$D723=$AL$626),MAX(AL$629:AL722)+1,0)</f>
        <v>71</v>
      </c>
      <c r="AM723" s="5701"/>
      <c r="AN723" s="961" t="str">
        <f t="shared" si="113"/>
        <v/>
      </c>
      <c r="AO723" s="87" t="str">
        <f t="shared" si="114"/>
        <v/>
      </c>
      <c r="AP723" s="87" t="str">
        <f t="shared" si="115"/>
        <v/>
      </c>
      <c r="AQ723" s="1419">
        <f>IF(OR($L723=AQ$627,$L723="",$D723=$AS$626),MAX(AQ$629:AQ722)+1,0)</f>
        <v>0</v>
      </c>
      <c r="AR723" s="1420">
        <f>IF(OR($L723=AR$627,$L723="",$D723=$AS$626),MAX(AR$629:AR722)+1,0)</f>
        <v>0</v>
      </c>
      <c r="AS723" s="1421">
        <f>IF(OR($L723=AS$627,$L723="",$D723=$AS$626),MAX(AS$629:AS722)+1,0)</f>
        <v>71</v>
      </c>
      <c r="AT723" s="5701"/>
      <c r="AU723" s="961" t="str">
        <f t="shared" si="116"/>
        <v/>
      </c>
      <c r="AV723" s="87" t="str">
        <f t="shared" si="117"/>
        <v/>
      </c>
      <c r="AW723" s="87" t="str">
        <f t="shared" si="118"/>
        <v/>
      </c>
      <c r="AX723" s="1419">
        <f>IF(OR($L723=AX$627,$L723="",$D723=$AZ$626),MAX(AX$629:AX722)+1,0)</f>
        <v>0</v>
      </c>
      <c r="AY723" s="1420">
        <f>IF(OR($L723=AY$627,$L723="",$D723=$AZ$626),MAX(AY$629:AY722)+1,0)</f>
        <v>0</v>
      </c>
      <c r="AZ723" s="1421">
        <f>IF(OR($L723=AZ$627,$L723="",$D723=$AZ$626),MAX(AZ$629:AZ722)+1,0)</f>
        <v>71</v>
      </c>
      <c r="BA723" s="5701"/>
      <c r="BB723" s="961" t="str">
        <f t="shared" si="119"/>
        <v/>
      </c>
      <c r="BC723" s="87" t="str">
        <f t="shared" si="120"/>
        <v/>
      </c>
      <c r="BD723" s="87" t="str">
        <f t="shared" si="121"/>
        <v/>
      </c>
      <c r="BE723" s="1419">
        <f>IF(OR($L723=BE$627,$L723="",$D723=$BG$626),MAX(BE$629:BE722)+1,0)</f>
        <v>0</v>
      </c>
      <c r="BF723" s="1420">
        <f>IF(OR($L723=BF$627,$L723="",$D723=$BG$626),MAX(BF$629:BF722)+1,0)</f>
        <v>0</v>
      </c>
      <c r="BG723" s="1421">
        <f>IF(OR($L723=BG$627,$L723="",$D723=$BG$626),MAX(BG$629:BG722)+1,0)</f>
        <v>71</v>
      </c>
      <c r="BH723" s="5701"/>
      <c r="BI723" s="961" t="str">
        <f t="shared" si="122"/>
        <v/>
      </c>
      <c r="BJ723" s="87" t="str">
        <f t="shared" si="123"/>
        <v/>
      </c>
      <c r="BK723" s="87" t="str">
        <f t="shared" si="124"/>
        <v/>
      </c>
      <c r="BL723" s="1419">
        <f>IF(OR($L723=BL$627,$L723="",$D723=$BN$626),MAX(BL$629:BL722)+1,0)</f>
        <v>0</v>
      </c>
      <c r="BM723" s="1420">
        <f>IF(OR($L723=BM$627,$L723="",$D723=$BN$626),MAX(BM$629:BM722)+1,0)</f>
        <v>0</v>
      </c>
      <c r="BN723" s="1421">
        <f>IF(OR($L723=BN$627,$L723="",$D723=$BN$626),MAX(BN$629:BN722)+1,0)</f>
        <v>71</v>
      </c>
      <c r="BO723" s="5701"/>
      <c r="BP723" s="961" t="str">
        <f t="shared" si="125"/>
        <v/>
      </c>
      <c r="BQ723" s="87" t="str">
        <f t="shared" si="126"/>
        <v/>
      </c>
      <c r="BR723" s="87" t="str">
        <f t="shared" si="127"/>
        <v/>
      </c>
      <c r="BS723" s="1419">
        <f>IF(OR($L723=BS$627,$L723="",$D723=$BU$626),MAX(BS$629:BS722)+1,0)</f>
        <v>0</v>
      </c>
      <c r="BT723" s="1420">
        <f>IF(OR($L723=BT$627,$L723="",$D723=$BU$626),MAX(BT$629:BT722)+1,0)</f>
        <v>0</v>
      </c>
      <c r="BU723" s="1421">
        <f>IF(OR($L723=BU$627,$L723="",$D723=$BU$626),MAX(BU$629:BU722)+1,0)</f>
        <v>71</v>
      </c>
    </row>
    <row r="724" spans="1:73" ht="12.75" customHeight="1" x14ac:dyDescent="0.2">
      <c r="A724" s="242">
        <v>724</v>
      </c>
      <c r="B724" s="5664"/>
      <c r="C724" s="1288"/>
      <c r="D724" s="1289" t="s">
        <v>2225</v>
      </c>
      <c r="E724" s="1295">
        <v>35</v>
      </c>
      <c r="F724" s="1287">
        <v>15</v>
      </c>
      <c r="G724" s="1287">
        <v>4</v>
      </c>
      <c r="H724" s="1287">
        <v>4</v>
      </c>
      <c r="I724" s="1287" t="s">
        <v>1561</v>
      </c>
      <c r="J724" s="1287" t="s">
        <v>1560</v>
      </c>
      <c r="K724" s="1281" t="s">
        <v>7524</v>
      </c>
      <c r="L724" s="1287" t="str">
        <f t="shared" si="132"/>
        <v>Distinta</v>
      </c>
      <c r="M724" s="1296">
        <v>12</v>
      </c>
      <c r="N724" s="1296">
        <v>0</v>
      </c>
      <c r="O724" s="1296">
        <v>25</v>
      </c>
      <c r="P724" s="1287"/>
      <c r="Q724" s="1287"/>
      <c r="R724" s="1287" t="s">
        <v>1464</v>
      </c>
      <c r="S724" s="1287" t="s">
        <v>1464</v>
      </c>
      <c r="T724" s="1287" t="s">
        <v>1464</v>
      </c>
      <c r="U724" s="1287"/>
      <c r="V724" s="1672" t="s">
        <v>2226</v>
      </c>
      <c r="W724" s="1672"/>
      <c r="X724" s="1673" t="str">
        <f t="shared" si="131"/>
        <v>Pequeña</v>
      </c>
      <c r="Z724" s="1418" t="str">
        <f t="shared" si="128"/>
        <v/>
      </c>
      <c r="AB724" s="629" t="s">
        <v>7273</v>
      </c>
      <c r="AC724" s="241"/>
      <c r="AD724" s="241"/>
      <c r="AE724" s="945"/>
      <c r="AG724" s="961" t="str">
        <f t="shared" si="110"/>
        <v/>
      </c>
      <c r="AH724" s="87" t="str">
        <f t="shared" si="111"/>
        <v/>
      </c>
      <c r="AI724" s="87" t="str">
        <f t="shared" si="112"/>
        <v/>
      </c>
      <c r="AJ724" s="1419">
        <f>IF(OR($L724=AJ$627,$L724="",$D724=$AL$626),MAX(AJ$629:AJ723)+1,0)</f>
        <v>0</v>
      </c>
      <c r="AK724" s="1420">
        <f>IF(OR($L724=AK$627,$L724="",$D724=$AL$626),MAX(AK$629:AK723)+1,0)</f>
        <v>0</v>
      </c>
      <c r="AL724" s="1421">
        <f>IF(OR($L724=AL$627,$L724="",$D724=$AL$626),MAX(AL$629:AL723)+1,0)</f>
        <v>72</v>
      </c>
      <c r="AM724" s="5701"/>
      <c r="AN724" s="961" t="str">
        <f t="shared" si="113"/>
        <v/>
      </c>
      <c r="AO724" s="87" t="str">
        <f t="shared" si="114"/>
        <v/>
      </c>
      <c r="AP724" s="87" t="str">
        <f t="shared" si="115"/>
        <v/>
      </c>
      <c r="AQ724" s="1419">
        <f>IF(OR($L724=AQ$627,$L724="",$D724=$AS$626),MAX(AQ$629:AQ723)+1,0)</f>
        <v>0</v>
      </c>
      <c r="AR724" s="1420">
        <f>IF(OR($L724=AR$627,$L724="",$D724=$AS$626),MAX(AR$629:AR723)+1,0)</f>
        <v>0</v>
      </c>
      <c r="AS724" s="1421">
        <f>IF(OR($L724=AS$627,$L724="",$D724=$AS$626),MAX(AS$629:AS723)+1,0)</f>
        <v>72</v>
      </c>
      <c r="AT724" s="5701"/>
      <c r="AU724" s="961" t="str">
        <f t="shared" si="116"/>
        <v/>
      </c>
      <c r="AV724" s="87" t="str">
        <f t="shared" si="117"/>
        <v/>
      </c>
      <c r="AW724" s="87" t="str">
        <f t="shared" si="118"/>
        <v/>
      </c>
      <c r="AX724" s="1419">
        <f>IF(OR($L724=AX$627,$L724="",$D724=$AZ$626),MAX(AX$629:AX723)+1,0)</f>
        <v>0</v>
      </c>
      <c r="AY724" s="1420">
        <f>IF(OR($L724=AY$627,$L724="",$D724=$AZ$626),MAX(AY$629:AY723)+1,0)</f>
        <v>0</v>
      </c>
      <c r="AZ724" s="1421">
        <f>IF(OR($L724=AZ$627,$L724="",$D724=$AZ$626),MAX(AZ$629:AZ723)+1,0)</f>
        <v>72</v>
      </c>
      <c r="BA724" s="5701"/>
      <c r="BB724" s="961" t="str">
        <f t="shared" si="119"/>
        <v/>
      </c>
      <c r="BC724" s="87" t="str">
        <f t="shared" si="120"/>
        <v/>
      </c>
      <c r="BD724" s="87" t="str">
        <f t="shared" si="121"/>
        <v/>
      </c>
      <c r="BE724" s="1419">
        <f>IF(OR($L724=BE$627,$L724="",$D724=$BG$626),MAX(BE$629:BE723)+1,0)</f>
        <v>0</v>
      </c>
      <c r="BF724" s="1420">
        <f>IF(OR($L724=BF$627,$L724="",$D724=$BG$626),MAX(BF$629:BF723)+1,0)</f>
        <v>0</v>
      </c>
      <c r="BG724" s="1421">
        <f>IF(OR($L724=BG$627,$L724="",$D724=$BG$626),MAX(BG$629:BG723)+1,0)</f>
        <v>72</v>
      </c>
      <c r="BH724" s="5701"/>
      <c r="BI724" s="961" t="str">
        <f t="shared" si="122"/>
        <v/>
      </c>
      <c r="BJ724" s="87" t="str">
        <f t="shared" si="123"/>
        <v/>
      </c>
      <c r="BK724" s="87" t="str">
        <f t="shared" si="124"/>
        <v/>
      </c>
      <c r="BL724" s="1419">
        <f>IF(OR($L724=BL$627,$L724="",$D724=$BN$626),MAX(BL$629:BL723)+1,0)</f>
        <v>0</v>
      </c>
      <c r="BM724" s="1420">
        <f>IF(OR($L724=BM$627,$L724="",$D724=$BN$626),MAX(BM$629:BM723)+1,0)</f>
        <v>0</v>
      </c>
      <c r="BN724" s="1421">
        <f>IF(OR($L724=BN$627,$L724="",$D724=$BN$626),MAX(BN$629:BN723)+1,0)</f>
        <v>72</v>
      </c>
      <c r="BO724" s="5701"/>
      <c r="BP724" s="961" t="str">
        <f t="shared" si="125"/>
        <v/>
      </c>
      <c r="BQ724" s="87" t="str">
        <f t="shared" si="126"/>
        <v/>
      </c>
      <c r="BR724" s="87" t="str">
        <f t="shared" si="127"/>
        <v/>
      </c>
      <c r="BS724" s="1419">
        <f>IF(OR($L724=BS$627,$L724="",$D724=$BU$626),MAX(BS$629:BS723)+1,0)</f>
        <v>0</v>
      </c>
      <c r="BT724" s="1420">
        <f>IF(OR($L724=BT$627,$L724="",$D724=$BU$626),MAX(BT$629:BT723)+1,0)</f>
        <v>0</v>
      </c>
      <c r="BU724" s="1421">
        <f>IF(OR($L724=BU$627,$L724="",$D724=$BU$626),MAX(BU$629:BU723)+1,0)</f>
        <v>72</v>
      </c>
    </row>
    <row r="725" spans="1:73" ht="12.75" customHeight="1" x14ac:dyDescent="0.2">
      <c r="A725" s="242">
        <v>725</v>
      </c>
      <c r="B725" s="5664"/>
      <c r="C725" s="1288"/>
      <c r="D725" s="1289" t="s">
        <v>2227</v>
      </c>
      <c r="E725" s="1295">
        <v>20</v>
      </c>
      <c r="F725" s="1287">
        <v>10</v>
      </c>
      <c r="G725" s="1287">
        <v>4</v>
      </c>
      <c r="H725" s="1287">
        <v>4</v>
      </c>
      <c r="I725" s="1287" t="s">
        <v>1561</v>
      </c>
      <c r="J725" s="1287" t="s">
        <v>1464</v>
      </c>
      <c r="K725" s="1281" t="s">
        <v>7524</v>
      </c>
      <c r="L725" s="1287" t="str">
        <f t="shared" si="132"/>
        <v>Distinta</v>
      </c>
      <c r="M725" s="1296">
        <v>9</v>
      </c>
      <c r="N725" s="1296">
        <v>-2</v>
      </c>
      <c r="O725" s="1296">
        <v>25</v>
      </c>
      <c r="P725" s="1287"/>
      <c r="Q725" s="1287"/>
      <c r="R725" s="1287" t="s">
        <v>1464</v>
      </c>
      <c r="S725" s="1287" t="s">
        <v>1464</v>
      </c>
      <c r="T725" s="1287" t="s">
        <v>1464</v>
      </c>
      <c r="U725" s="1287"/>
      <c r="V725" s="1672" t="s">
        <v>2185</v>
      </c>
      <c r="W725" s="1672"/>
      <c r="X725" s="1673" t="str">
        <f t="shared" si="131"/>
        <v>Pequeña</v>
      </c>
      <c r="Z725" s="1418" t="str">
        <f t="shared" si="128"/>
        <v/>
      </c>
      <c r="AB725" s="961" t="s">
        <v>7252</v>
      </c>
      <c r="AC725" s="241"/>
      <c r="AD725" s="241"/>
      <c r="AE725" s="945"/>
      <c r="AG725" s="961" t="str">
        <f t="shared" si="110"/>
        <v/>
      </c>
      <c r="AH725" s="87" t="str">
        <f t="shared" si="111"/>
        <v/>
      </c>
      <c r="AI725" s="87" t="str">
        <f t="shared" si="112"/>
        <v/>
      </c>
      <c r="AJ725" s="1419">
        <f>IF(OR($L725=AJ$627,$L725="",$D725=$AL$626),MAX(AJ$629:AJ724)+1,0)</f>
        <v>0</v>
      </c>
      <c r="AK725" s="1420">
        <f>IF(OR($L725=AK$627,$L725="",$D725=$AL$626),MAX(AK$629:AK724)+1,0)</f>
        <v>0</v>
      </c>
      <c r="AL725" s="1421">
        <f>IF(OR($L725=AL$627,$L725="",$D725=$AL$626),MAX(AL$629:AL724)+1,0)</f>
        <v>73</v>
      </c>
      <c r="AM725" s="5701"/>
      <c r="AN725" s="961" t="str">
        <f t="shared" si="113"/>
        <v/>
      </c>
      <c r="AO725" s="87" t="str">
        <f t="shared" si="114"/>
        <v/>
      </c>
      <c r="AP725" s="87" t="str">
        <f t="shared" si="115"/>
        <v/>
      </c>
      <c r="AQ725" s="1419">
        <f>IF(OR($L725=AQ$627,$L725="",$D725=$AS$626),MAX(AQ$629:AQ724)+1,0)</f>
        <v>0</v>
      </c>
      <c r="AR725" s="1420">
        <f>IF(OR($L725=AR$627,$L725="",$D725=$AS$626),MAX(AR$629:AR724)+1,0)</f>
        <v>0</v>
      </c>
      <c r="AS725" s="1421">
        <f>IF(OR($L725=AS$627,$L725="",$D725=$AS$626),MAX(AS$629:AS724)+1,0)</f>
        <v>73</v>
      </c>
      <c r="AT725" s="5701"/>
      <c r="AU725" s="961" t="str">
        <f t="shared" si="116"/>
        <v/>
      </c>
      <c r="AV725" s="87" t="str">
        <f t="shared" si="117"/>
        <v/>
      </c>
      <c r="AW725" s="87" t="str">
        <f t="shared" si="118"/>
        <v/>
      </c>
      <c r="AX725" s="1419">
        <f>IF(OR($L725=AX$627,$L725="",$D725=$AZ$626),MAX(AX$629:AX724)+1,0)</f>
        <v>0</v>
      </c>
      <c r="AY725" s="1420">
        <f>IF(OR($L725=AY$627,$L725="",$D725=$AZ$626),MAX(AY$629:AY724)+1,0)</f>
        <v>0</v>
      </c>
      <c r="AZ725" s="1421">
        <f>IF(OR($L725=AZ$627,$L725="",$D725=$AZ$626),MAX(AZ$629:AZ724)+1,0)</f>
        <v>73</v>
      </c>
      <c r="BA725" s="5701"/>
      <c r="BB725" s="961" t="str">
        <f t="shared" si="119"/>
        <v/>
      </c>
      <c r="BC725" s="87" t="str">
        <f t="shared" si="120"/>
        <v/>
      </c>
      <c r="BD725" s="87" t="str">
        <f t="shared" si="121"/>
        <v/>
      </c>
      <c r="BE725" s="1419">
        <f>IF(OR($L725=BE$627,$L725="",$D725=$BG$626),MAX(BE$629:BE724)+1,0)</f>
        <v>0</v>
      </c>
      <c r="BF725" s="1420">
        <f>IF(OR($L725=BF$627,$L725="",$D725=$BG$626),MAX(BF$629:BF724)+1,0)</f>
        <v>0</v>
      </c>
      <c r="BG725" s="1421">
        <f>IF(OR($L725=BG$627,$L725="",$D725=$BG$626),MAX(BG$629:BG724)+1,0)</f>
        <v>73</v>
      </c>
      <c r="BH725" s="5701"/>
      <c r="BI725" s="961" t="str">
        <f t="shared" si="122"/>
        <v/>
      </c>
      <c r="BJ725" s="87" t="str">
        <f t="shared" si="123"/>
        <v/>
      </c>
      <c r="BK725" s="87" t="str">
        <f t="shared" si="124"/>
        <v/>
      </c>
      <c r="BL725" s="1419">
        <f>IF(OR($L725=BL$627,$L725="",$D725=$BN$626),MAX(BL$629:BL724)+1,0)</f>
        <v>0</v>
      </c>
      <c r="BM725" s="1420">
        <f>IF(OR($L725=BM$627,$L725="",$D725=$BN$626),MAX(BM$629:BM724)+1,0)</f>
        <v>0</v>
      </c>
      <c r="BN725" s="1421">
        <f>IF(OR($L725=BN$627,$L725="",$D725=$BN$626),MAX(BN$629:BN724)+1,0)</f>
        <v>73</v>
      </c>
      <c r="BO725" s="5701"/>
      <c r="BP725" s="961" t="str">
        <f t="shared" si="125"/>
        <v/>
      </c>
      <c r="BQ725" s="87" t="str">
        <f t="shared" si="126"/>
        <v/>
      </c>
      <c r="BR725" s="87" t="str">
        <f t="shared" si="127"/>
        <v/>
      </c>
      <c r="BS725" s="1419">
        <f>IF(OR($L725=BS$627,$L725="",$D725=$BU$626),MAX(BS$629:BS724)+1,0)</f>
        <v>0</v>
      </c>
      <c r="BT725" s="1420">
        <f>IF(OR($L725=BT$627,$L725="",$D725=$BU$626),MAX(BT$629:BT724)+1,0)</f>
        <v>0</v>
      </c>
      <c r="BU725" s="1421">
        <f>IF(OR($L725=BU$627,$L725="",$D725=$BU$626),MAX(BU$629:BU724)+1,0)</f>
        <v>73</v>
      </c>
    </row>
    <row r="726" spans="1:73" ht="12.75" customHeight="1" x14ac:dyDescent="0.2">
      <c r="A726" s="242">
        <v>726</v>
      </c>
      <c r="B726" s="5664"/>
      <c r="C726" s="1288"/>
      <c r="D726" s="1289" t="s">
        <v>2228</v>
      </c>
      <c r="E726" s="1295">
        <v>25</v>
      </c>
      <c r="F726" s="1287">
        <v>20</v>
      </c>
      <c r="G726" s="1287">
        <v>4</v>
      </c>
      <c r="H726" s="1287">
        <v>4</v>
      </c>
      <c r="I726" s="1287" t="s">
        <v>1560</v>
      </c>
      <c r="J726" s="1287" t="s">
        <v>1561</v>
      </c>
      <c r="K726" s="1281" t="s">
        <v>7524</v>
      </c>
      <c r="L726" s="1287" t="str">
        <f t="shared" si="132"/>
        <v>Distinta</v>
      </c>
      <c r="M726" s="1296">
        <v>10</v>
      </c>
      <c r="N726" s="1296">
        <v>1</v>
      </c>
      <c r="O726" s="1296">
        <v>20</v>
      </c>
      <c r="P726" s="1287"/>
      <c r="Q726" s="1287"/>
      <c r="R726" s="1296">
        <v>30</v>
      </c>
      <c r="S726" s="1287" t="s">
        <v>1464</v>
      </c>
      <c r="T726" s="1287">
        <v>20</v>
      </c>
      <c r="U726" s="1287"/>
      <c r="V726" s="1672" t="s">
        <v>8862</v>
      </c>
      <c r="W726" s="1672"/>
      <c r="X726" s="1673" t="str">
        <f t="shared" si="131"/>
        <v>Pequeña</v>
      </c>
      <c r="Z726" s="1418" t="str">
        <f t="shared" si="128"/>
        <v/>
      </c>
      <c r="AB726" s="629" t="s">
        <v>7274</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
      </c>
      <c r="AJ726" s="1419">
        <f>IF(OR($L726=AJ$627,$L726="",$D726=$AL$626),MAX(AJ$629:AJ725)+1,0)</f>
        <v>0</v>
      </c>
      <c r="AK726" s="1420">
        <f>IF(OR($L726=AK$627,$L726="",$D726=$AL$626),MAX(AK$629:AK725)+1,0)</f>
        <v>0</v>
      </c>
      <c r="AL726" s="1421">
        <f>IF(OR($L726=AL$627,$L726="",$D726=$AL$626),MAX(AL$629:AL725)+1,0)</f>
        <v>74</v>
      </c>
      <c r="AM726" s="5701"/>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
      </c>
      <c r="AQ726" s="1419">
        <f>IF(OR($L726=AQ$627,$L726="",$D726=$AS$626),MAX(AQ$629:AQ725)+1,0)</f>
        <v>0</v>
      </c>
      <c r="AR726" s="1420">
        <f>IF(OR($L726=AR$627,$L726="",$D726=$AS$626),MAX(AR$629:AR725)+1,0)</f>
        <v>0</v>
      </c>
      <c r="AS726" s="1421">
        <f>IF(OR($L726=AS$627,$L726="",$D726=$AS$626),MAX(AS$629:AS725)+1,0)</f>
        <v>74</v>
      </c>
      <c r="AT726" s="5701"/>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
      </c>
      <c r="AX726" s="1419">
        <f>IF(OR($L726=AX$627,$L726="",$D726=$AZ$626),MAX(AX$629:AX725)+1,0)</f>
        <v>0</v>
      </c>
      <c r="AY726" s="1420">
        <f>IF(OR($L726=AY$627,$L726="",$D726=$AZ$626),MAX(AY$629:AY725)+1,0)</f>
        <v>0</v>
      </c>
      <c r="AZ726" s="1421">
        <f>IF(OR($L726=AZ$627,$L726="",$D726=$AZ$626),MAX(AZ$629:AZ725)+1,0)</f>
        <v>74</v>
      </c>
      <c r="BA726" s="5701"/>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
      </c>
      <c r="BE726" s="1419">
        <f>IF(OR($L726=BE$627,$L726="",$D726=$BG$626),MAX(BE$629:BE725)+1,0)</f>
        <v>0</v>
      </c>
      <c r="BF726" s="1420">
        <f>IF(OR($L726=BF$627,$L726="",$D726=$BG$626),MAX(BF$629:BF725)+1,0)</f>
        <v>0</v>
      </c>
      <c r="BG726" s="1421">
        <f>IF(OR($L726=BG$627,$L726="",$D726=$BG$626),MAX(BG$629:BG725)+1,0)</f>
        <v>74</v>
      </c>
      <c r="BH726" s="5701"/>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
      </c>
      <c r="BL726" s="1419">
        <f>IF(OR($L726=BL$627,$L726="",$D726=$BN$626),MAX(BL$629:BL725)+1,0)</f>
        <v>0</v>
      </c>
      <c r="BM726" s="1420">
        <f>IF(OR($L726=BM$627,$L726="",$D726=$BN$626),MAX(BM$629:BM725)+1,0)</f>
        <v>0</v>
      </c>
      <c r="BN726" s="1421">
        <f>IF(OR($L726=BN$627,$L726="",$D726=$BN$626),MAX(BN$629:BN725)+1,0)</f>
        <v>74</v>
      </c>
      <c r="BO726" s="5701"/>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
      </c>
      <c r="BS726" s="1419">
        <f>IF(OR($L726=BS$627,$L726="",$D726=$BU$626),MAX(BS$629:BS725)+1,0)</f>
        <v>0</v>
      </c>
      <c r="BT726" s="1420">
        <f>IF(OR($L726=BT$627,$L726="",$D726=$BU$626),MAX(BT$629:BT725)+1,0)</f>
        <v>0</v>
      </c>
      <c r="BU726" s="1421">
        <f>IF(OR($L726=BU$627,$L726="",$D726=$BU$626),MAX(BU$629:BU725)+1,0)</f>
        <v>74</v>
      </c>
    </row>
    <row r="727" spans="1:73" ht="12.75" customHeight="1" x14ac:dyDescent="0.2">
      <c r="A727" s="242">
        <v>727</v>
      </c>
      <c r="B727" s="5664"/>
      <c r="C727" s="1288"/>
      <c r="D727" s="1289" t="s">
        <v>2229</v>
      </c>
      <c r="E727" s="1295">
        <v>40</v>
      </c>
      <c r="F727" s="1287">
        <v>20</v>
      </c>
      <c r="G727" s="1287">
        <v>3</v>
      </c>
      <c r="H727" s="1287">
        <v>3</v>
      </c>
      <c r="I727" s="1287" t="s">
        <v>1560</v>
      </c>
      <c r="J727" s="1287" t="s">
        <v>1464</v>
      </c>
      <c r="K727" s="1281" t="s">
        <v>7524</v>
      </c>
      <c r="L727" s="1287" t="str">
        <f t="shared" si="132"/>
        <v>Distinta</v>
      </c>
      <c r="M727" s="1296">
        <v>9</v>
      </c>
      <c r="N727" s="1296">
        <v>1</v>
      </c>
      <c r="O727" s="1296">
        <v>40</v>
      </c>
      <c r="P727" s="1287"/>
      <c r="Q727" s="1287"/>
      <c r="R727" s="1287" t="s">
        <v>1464</v>
      </c>
      <c r="S727" s="1287" t="s">
        <v>1464</v>
      </c>
      <c r="T727" s="1287" t="s">
        <v>1464</v>
      </c>
      <c r="U727" s="1287"/>
      <c r="V727" s="1672" t="s">
        <v>2168</v>
      </c>
      <c r="W727" s="1672"/>
      <c r="X727" s="1673" t="str">
        <f t="shared" si="131"/>
        <v>Pequeña</v>
      </c>
      <c r="Z727" s="1418" t="str">
        <f t="shared" si="128"/>
        <v/>
      </c>
      <c r="AB727" s="629" t="s">
        <v>7254</v>
      </c>
      <c r="AC727" s="241"/>
      <c r="AD727" s="241"/>
      <c r="AE727" s="945"/>
      <c r="AG727" s="961" t="str">
        <f t="shared" si="133"/>
        <v/>
      </c>
      <c r="AH727" s="87" t="str">
        <f t="shared" si="134"/>
        <v/>
      </c>
      <c r="AI727" s="87" t="str">
        <f t="shared" si="135"/>
        <v/>
      </c>
      <c r="AJ727" s="1419">
        <f>IF(OR($L727=AJ$627,$L727="",$D727=$AL$626),MAX(AJ$629:AJ726)+1,0)</f>
        <v>0</v>
      </c>
      <c r="AK727" s="1420">
        <f>IF(OR($L727=AK$627,$L727="",$D727=$AL$626),MAX(AK$629:AK726)+1,0)</f>
        <v>0</v>
      </c>
      <c r="AL727" s="1421">
        <f>IF(OR($L727=AL$627,$L727="",$D727=$AL$626),MAX(AL$629:AL726)+1,0)</f>
        <v>75</v>
      </c>
      <c r="AM727" s="5701"/>
      <c r="AN727" s="961" t="str">
        <f t="shared" si="136"/>
        <v/>
      </c>
      <c r="AO727" s="87" t="str">
        <f t="shared" si="137"/>
        <v/>
      </c>
      <c r="AP727" s="87" t="str">
        <f t="shared" si="138"/>
        <v/>
      </c>
      <c r="AQ727" s="1419">
        <f>IF(OR($L727=AQ$627,$L727="",$D727=$AS$626),MAX(AQ$629:AQ726)+1,0)</f>
        <v>0</v>
      </c>
      <c r="AR727" s="1420">
        <f>IF(OR($L727=AR$627,$L727="",$D727=$AS$626),MAX(AR$629:AR726)+1,0)</f>
        <v>0</v>
      </c>
      <c r="AS727" s="1421">
        <f>IF(OR($L727=AS$627,$L727="",$D727=$AS$626),MAX(AS$629:AS726)+1,0)</f>
        <v>75</v>
      </c>
      <c r="AT727" s="5701"/>
      <c r="AU727" s="961" t="str">
        <f t="shared" si="139"/>
        <v/>
      </c>
      <c r="AV727" s="87" t="str">
        <f t="shared" si="140"/>
        <v/>
      </c>
      <c r="AW727" s="87" t="str">
        <f t="shared" si="141"/>
        <v/>
      </c>
      <c r="AX727" s="1419">
        <f>IF(OR($L727=AX$627,$L727="",$D727=$AZ$626),MAX(AX$629:AX726)+1,0)</f>
        <v>0</v>
      </c>
      <c r="AY727" s="1420">
        <f>IF(OR($L727=AY$627,$L727="",$D727=$AZ$626),MAX(AY$629:AY726)+1,0)</f>
        <v>0</v>
      </c>
      <c r="AZ727" s="1421">
        <f>IF(OR($L727=AZ$627,$L727="",$D727=$AZ$626),MAX(AZ$629:AZ726)+1,0)</f>
        <v>75</v>
      </c>
      <c r="BA727" s="5701"/>
      <c r="BB727" s="961" t="str">
        <f t="shared" si="142"/>
        <v/>
      </c>
      <c r="BC727" s="87" t="str">
        <f t="shared" si="143"/>
        <v/>
      </c>
      <c r="BD727" s="87" t="str">
        <f t="shared" si="144"/>
        <v/>
      </c>
      <c r="BE727" s="1419">
        <f>IF(OR($L727=BE$627,$L727="",$D727=$BG$626),MAX(BE$629:BE726)+1,0)</f>
        <v>0</v>
      </c>
      <c r="BF727" s="1420">
        <f>IF(OR($L727=BF$627,$L727="",$D727=$BG$626),MAX(BF$629:BF726)+1,0)</f>
        <v>0</v>
      </c>
      <c r="BG727" s="1421">
        <f>IF(OR($L727=BG$627,$L727="",$D727=$BG$626),MAX(BG$629:BG726)+1,0)</f>
        <v>75</v>
      </c>
      <c r="BH727" s="5701"/>
      <c r="BI727" s="961" t="str">
        <f t="shared" si="145"/>
        <v/>
      </c>
      <c r="BJ727" s="87" t="str">
        <f t="shared" si="146"/>
        <v/>
      </c>
      <c r="BK727" s="87" t="str">
        <f t="shared" si="147"/>
        <v/>
      </c>
      <c r="BL727" s="1419">
        <f>IF(OR($L727=BL$627,$L727="",$D727=$BN$626),MAX(BL$629:BL726)+1,0)</f>
        <v>0</v>
      </c>
      <c r="BM727" s="1420">
        <f>IF(OR($L727=BM$627,$L727="",$D727=$BN$626),MAX(BM$629:BM726)+1,0)</f>
        <v>0</v>
      </c>
      <c r="BN727" s="1421">
        <f>IF(OR($L727=BN$627,$L727="",$D727=$BN$626),MAX(BN$629:BN726)+1,0)</f>
        <v>75</v>
      </c>
      <c r="BO727" s="5701"/>
      <c r="BP727" s="961" t="str">
        <f t="shared" si="148"/>
        <v/>
      </c>
      <c r="BQ727" s="87" t="str">
        <f t="shared" si="149"/>
        <v/>
      </c>
      <c r="BR727" s="87" t="str">
        <f t="shared" si="150"/>
        <v/>
      </c>
      <c r="BS727" s="1419">
        <f>IF(OR($L727=BS$627,$L727="",$D727=$BU$626),MAX(BS$629:BS726)+1,0)</f>
        <v>0</v>
      </c>
      <c r="BT727" s="1420">
        <f>IF(OR($L727=BT$627,$L727="",$D727=$BU$626),MAX(BT$629:BT726)+1,0)</f>
        <v>0</v>
      </c>
      <c r="BU727" s="1421">
        <f>IF(OR($L727=BU$627,$L727="",$D727=$BU$626),MAX(BU$629:BU726)+1,0)</f>
        <v>75</v>
      </c>
    </row>
    <row r="728" spans="1:73" ht="12.75" customHeight="1" x14ac:dyDescent="0.2">
      <c r="A728" s="242">
        <v>728</v>
      </c>
      <c r="B728" s="5664"/>
      <c r="C728" s="1288"/>
      <c r="D728" s="1289" t="s">
        <v>2230</v>
      </c>
      <c r="E728" s="1295">
        <v>30</v>
      </c>
      <c r="F728" s="1287">
        <v>20</v>
      </c>
      <c r="G728" s="1287">
        <v>4</v>
      </c>
      <c r="H728" s="1287">
        <v>4</v>
      </c>
      <c r="I728" s="1287" t="s">
        <v>1506</v>
      </c>
      <c r="J728" s="1287" t="s">
        <v>1464</v>
      </c>
      <c r="K728" s="1281" t="s">
        <v>7524</v>
      </c>
      <c r="L728" s="1287" t="str">
        <f t="shared" si="132"/>
        <v>Distinta</v>
      </c>
      <c r="M728" s="1296">
        <v>13</v>
      </c>
      <c r="N728" s="1296">
        <v>0</v>
      </c>
      <c r="O728" s="1296">
        <v>25</v>
      </c>
      <c r="P728" s="1287"/>
      <c r="Q728" s="1287"/>
      <c r="R728" s="1287" t="s">
        <v>1464</v>
      </c>
      <c r="S728" s="1287" t="s">
        <v>1464</v>
      </c>
      <c r="T728" s="1287" t="s">
        <v>1464</v>
      </c>
      <c r="U728" s="1287"/>
      <c r="V728" s="1672" t="s">
        <v>2168</v>
      </c>
      <c r="W728" s="1672"/>
      <c r="X728" s="1673" t="str">
        <f t="shared" si="131"/>
        <v>Pequeña</v>
      </c>
      <c r="Z728" s="1418" t="str">
        <f t="shared" si="128"/>
        <v/>
      </c>
      <c r="AB728" s="629" t="s">
        <v>7275</v>
      </c>
      <c r="AC728" s="241"/>
      <c r="AD728" s="241"/>
      <c r="AE728" s="945"/>
      <c r="AG728" s="961" t="str">
        <f t="shared" si="133"/>
        <v/>
      </c>
      <c r="AH728" s="87" t="str">
        <f t="shared" si="134"/>
        <v/>
      </c>
      <c r="AI728" s="87" t="str">
        <f t="shared" si="135"/>
        <v/>
      </c>
      <c r="AJ728" s="1419">
        <f>IF(OR($L728=AJ$627,$L728="",$D728=$AL$626),MAX(AJ$629:AJ727)+1,0)</f>
        <v>0</v>
      </c>
      <c r="AK728" s="1420">
        <f>IF(OR($L728=AK$627,$L728="",$D728=$AL$626),MAX(AK$629:AK727)+1,0)</f>
        <v>0</v>
      </c>
      <c r="AL728" s="1421">
        <f>IF(OR($L728=AL$627,$L728="",$D728=$AL$626),MAX(AL$629:AL727)+1,0)</f>
        <v>76</v>
      </c>
      <c r="AM728" s="5701"/>
      <c r="AN728" s="961" t="str">
        <f t="shared" si="136"/>
        <v/>
      </c>
      <c r="AO728" s="87" t="str">
        <f t="shared" si="137"/>
        <v/>
      </c>
      <c r="AP728" s="87" t="str">
        <f t="shared" si="138"/>
        <v/>
      </c>
      <c r="AQ728" s="1419">
        <f>IF(OR($L728=AQ$627,$L728="",$D728=$AS$626),MAX(AQ$629:AQ727)+1,0)</f>
        <v>0</v>
      </c>
      <c r="AR728" s="1420">
        <f>IF(OR($L728=AR$627,$L728="",$D728=$AS$626),MAX(AR$629:AR727)+1,0)</f>
        <v>0</v>
      </c>
      <c r="AS728" s="1421">
        <f>IF(OR($L728=AS$627,$L728="",$D728=$AS$626),MAX(AS$629:AS727)+1,0)</f>
        <v>76</v>
      </c>
      <c r="AT728" s="5701"/>
      <c r="AU728" s="961" t="str">
        <f t="shared" si="139"/>
        <v/>
      </c>
      <c r="AV728" s="87" t="str">
        <f t="shared" si="140"/>
        <v/>
      </c>
      <c r="AW728" s="87" t="str">
        <f t="shared" si="141"/>
        <v/>
      </c>
      <c r="AX728" s="1419">
        <f>IF(OR($L728=AX$627,$L728="",$D728=$AZ$626),MAX(AX$629:AX727)+1,0)</f>
        <v>0</v>
      </c>
      <c r="AY728" s="1420">
        <f>IF(OR($L728=AY$627,$L728="",$D728=$AZ$626),MAX(AY$629:AY727)+1,0)</f>
        <v>0</v>
      </c>
      <c r="AZ728" s="1421">
        <f>IF(OR($L728=AZ$627,$L728="",$D728=$AZ$626),MAX(AZ$629:AZ727)+1,0)</f>
        <v>76</v>
      </c>
      <c r="BA728" s="5701"/>
      <c r="BB728" s="961" t="str">
        <f t="shared" si="142"/>
        <v/>
      </c>
      <c r="BC728" s="87" t="str">
        <f t="shared" si="143"/>
        <v/>
      </c>
      <c r="BD728" s="87" t="str">
        <f t="shared" si="144"/>
        <v/>
      </c>
      <c r="BE728" s="1419">
        <f>IF(OR($L728=BE$627,$L728="",$D728=$BG$626),MAX(BE$629:BE727)+1,0)</f>
        <v>0</v>
      </c>
      <c r="BF728" s="1420">
        <f>IF(OR($L728=BF$627,$L728="",$D728=$BG$626),MAX(BF$629:BF727)+1,0)</f>
        <v>0</v>
      </c>
      <c r="BG728" s="1421">
        <f>IF(OR($L728=BG$627,$L728="",$D728=$BG$626),MAX(BG$629:BG727)+1,0)</f>
        <v>76</v>
      </c>
      <c r="BH728" s="5701"/>
      <c r="BI728" s="961" t="str">
        <f t="shared" si="145"/>
        <v/>
      </c>
      <c r="BJ728" s="87" t="str">
        <f t="shared" si="146"/>
        <v/>
      </c>
      <c r="BK728" s="87" t="str">
        <f t="shared" si="147"/>
        <v/>
      </c>
      <c r="BL728" s="1419">
        <f>IF(OR($L728=BL$627,$L728="",$D728=$BN$626),MAX(BL$629:BL727)+1,0)</f>
        <v>0</v>
      </c>
      <c r="BM728" s="1420">
        <f>IF(OR($L728=BM$627,$L728="",$D728=$BN$626),MAX(BM$629:BM727)+1,0)</f>
        <v>0</v>
      </c>
      <c r="BN728" s="1421">
        <f>IF(OR($L728=BN$627,$L728="",$D728=$BN$626),MAX(BN$629:BN727)+1,0)</f>
        <v>76</v>
      </c>
      <c r="BO728" s="5701"/>
      <c r="BP728" s="961" t="str">
        <f t="shared" si="148"/>
        <v/>
      </c>
      <c r="BQ728" s="87" t="str">
        <f t="shared" si="149"/>
        <v/>
      </c>
      <c r="BR728" s="87" t="str">
        <f t="shared" si="150"/>
        <v/>
      </c>
      <c r="BS728" s="1419">
        <f>IF(OR($L728=BS$627,$L728="",$D728=$BU$626),MAX(BS$629:BS727)+1,0)</f>
        <v>0</v>
      </c>
      <c r="BT728" s="1420">
        <f>IF(OR($L728=BT$627,$L728="",$D728=$BU$626),MAX(BT$629:BT727)+1,0)</f>
        <v>0</v>
      </c>
      <c r="BU728" s="1421">
        <f>IF(OR($L728=BU$627,$L728="",$D728=$BU$626),MAX(BU$629:BU727)+1,0)</f>
        <v>76</v>
      </c>
    </row>
    <row r="729" spans="1:73" ht="12.75" customHeight="1" x14ac:dyDescent="0.2">
      <c r="A729" s="242">
        <v>729</v>
      </c>
      <c r="B729" s="5664"/>
      <c r="C729" s="1288"/>
      <c r="D729" s="1289" t="s">
        <v>7249</v>
      </c>
      <c r="E729" s="1295">
        <v>25</v>
      </c>
      <c r="F729" s="1287">
        <v>0</v>
      </c>
      <c r="G729" s="1287">
        <v>6</v>
      </c>
      <c r="H729" s="1287">
        <v>5</v>
      </c>
      <c r="I729" s="1287" t="s">
        <v>1506</v>
      </c>
      <c r="J729" s="1287" t="s">
        <v>1464</v>
      </c>
      <c r="K729" s="1281" t="s">
        <v>7522</v>
      </c>
      <c r="L729" s="1298" t="str">
        <f>L717</f>
        <v>Distinta</v>
      </c>
      <c r="M729" s="1296">
        <v>8</v>
      </c>
      <c r="N729" s="1296">
        <v>-1</v>
      </c>
      <c r="O729" s="1296">
        <v>15</v>
      </c>
      <c r="P729" s="1287"/>
      <c r="Q729" s="1287"/>
      <c r="R729" s="1287" t="s">
        <v>1464</v>
      </c>
      <c r="S729" s="1287" t="s">
        <v>1464</v>
      </c>
      <c r="T729" s="1287" t="s">
        <v>1464</v>
      </c>
      <c r="U729" s="1287"/>
      <c r="V729" s="1281" t="s">
        <v>2237</v>
      </c>
      <c r="W729" s="1281"/>
      <c r="X729" s="1282" t="str">
        <f t="shared" si="131"/>
        <v>Mediana</v>
      </c>
      <c r="Z729" s="1418" t="str">
        <f t="shared" si="128"/>
        <v/>
      </c>
      <c r="AB729" s="629" t="s">
        <v>7257</v>
      </c>
      <c r="AC729" s="241"/>
      <c r="AD729" s="241"/>
      <c r="AE729" s="945"/>
      <c r="AG729" s="961" t="str">
        <f t="shared" si="133"/>
        <v/>
      </c>
      <c r="AH729" s="87" t="str">
        <f t="shared" si="134"/>
        <v/>
      </c>
      <c r="AI729" s="87" t="str">
        <f t="shared" si="135"/>
        <v/>
      </c>
      <c r="AJ729" s="1419">
        <f>IF(OR($L729=AJ$627,$L729="",$D729=$AL$626),MAX(AJ$629:AJ728)+1,0)</f>
        <v>0</v>
      </c>
      <c r="AK729" s="1420">
        <f>IF(OR($L729=AK$627,$L729="",$D729=$AL$626),MAX(AK$629:AK728)+1,0)</f>
        <v>0</v>
      </c>
      <c r="AL729" s="1421">
        <f>IF(OR($L729=AL$627,$L729="",$D729=$AL$626),MAX(AL$629:AL728)+1,0)</f>
        <v>77</v>
      </c>
      <c r="AM729" s="5701"/>
      <c r="AN729" s="961" t="str">
        <f t="shared" si="136"/>
        <v/>
      </c>
      <c r="AO729" s="87" t="str">
        <f t="shared" si="137"/>
        <v/>
      </c>
      <c r="AP729" s="87" t="str">
        <f t="shared" si="138"/>
        <v/>
      </c>
      <c r="AQ729" s="1419">
        <f>IF(OR($L729=AQ$627,$L729="",$D729=$AS$626),MAX(AQ$629:AQ728)+1,0)</f>
        <v>0</v>
      </c>
      <c r="AR729" s="1420">
        <f>IF(OR($L729=AR$627,$L729="",$D729=$AS$626),MAX(AR$629:AR728)+1,0)</f>
        <v>0</v>
      </c>
      <c r="AS729" s="1421">
        <f>IF(OR($L729=AS$627,$L729="",$D729=$AS$626),MAX(AS$629:AS728)+1,0)</f>
        <v>77</v>
      </c>
      <c r="AT729" s="5701"/>
      <c r="AU729" s="961" t="str">
        <f t="shared" si="139"/>
        <v/>
      </c>
      <c r="AV729" s="87" t="str">
        <f t="shared" si="140"/>
        <v/>
      </c>
      <c r="AW729" s="87" t="str">
        <f t="shared" si="141"/>
        <v/>
      </c>
      <c r="AX729" s="1419">
        <f>IF(OR($L729=AX$627,$L729="",$D729=$AZ$626),MAX(AX$629:AX728)+1,0)</f>
        <v>0</v>
      </c>
      <c r="AY729" s="1420">
        <f>IF(OR($L729=AY$627,$L729="",$D729=$AZ$626),MAX(AY$629:AY728)+1,0)</f>
        <v>0</v>
      </c>
      <c r="AZ729" s="1421">
        <f>IF(OR($L729=AZ$627,$L729="",$D729=$AZ$626),MAX(AZ$629:AZ728)+1,0)</f>
        <v>77</v>
      </c>
      <c r="BA729" s="5701"/>
      <c r="BB729" s="961" t="str">
        <f t="shared" si="142"/>
        <v/>
      </c>
      <c r="BC729" s="87" t="str">
        <f t="shared" si="143"/>
        <v/>
      </c>
      <c r="BD729" s="87" t="str">
        <f t="shared" si="144"/>
        <v/>
      </c>
      <c r="BE729" s="1419">
        <f>IF(OR($L729=BE$627,$L729="",$D729=$BG$626),MAX(BE$629:BE728)+1,0)</f>
        <v>0</v>
      </c>
      <c r="BF729" s="1420">
        <f>IF(OR($L729=BF$627,$L729="",$D729=$BG$626),MAX(BF$629:BF728)+1,0)</f>
        <v>0</v>
      </c>
      <c r="BG729" s="1421">
        <f>IF(OR($L729=BG$627,$L729="",$D729=$BG$626),MAX(BG$629:BG728)+1,0)</f>
        <v>77</v>
      </c>
      <c r="BH729" s="5701"/>
      <c r="BI729" s="961" t="str">
        <f t="shared" si="145"/>
        <v/>
      </c>
      <c r="BJ729" s="87" t="str">
        <f t="shared" si="146"/>
        <v/>
      </c>
      <c r="BK729" s="87" t="str">
        <f t="shared" si="147"/>
        <v/>
      </c>
      <c r="BL729" s="1419">
        <f>IF(OR($L729=BL$627,$L729="",$D729=$BN$626),MAX(BL$629:BL728)+1,0)</f>
        <v>0</v>
      </c>
      <c r="BM729" s="1420">
        <f>IF(OR($L729=BM$627,$L729="",$D729=$BN$626),MAX(BM$629:BM728)+1,0)</f>
        <v>0</v>
      </c>
      <c r="BN729" s="1421">
        <f>IF(OR($L729=BN$627,$L729="",$D729=$BN$626),MAX(BN$629:BN728)+1,0)</f>
        <v>77</v>
      </c>
      <c r="BO729" s="5701"/>
      <c r="BP729" s="961" t="str">
        <f t="shared" si="148"/>
        <v/>
      </c>
      <c r="BQ729" s="87" t="str">
        <f t="shared" si="149"/>
        <v/>
      </c>
      <c r="BR729" s="87" t="str">
        <f t="shared" si="150"/>
        <v/>
      </c>
      <c r="BS729" s="1419">
        <f>IF(OR($L729=BS$627,$L729="",$D729=$BU$626),MAX(BS$629:BS728)+1,0)</f>
        <v>0</v>
      </c>
      <c r="BT729" s="1420">
        <f>IF(OR($L729=BT$627,$L729="",$D729=$BU$626),MAX(BT$629:BT728)+1,0)</f>
        <v>0</v>
      </c>
      <c r="BU729" s="1421">
        <f>IF(OR($L729=BU$627,$L729="",$D729=$BU$626),MAX(BU$629:BU728)+1,0)</f>
        <v>77</v>
      </c>
    </row>
    <row r="730" spans="1:73" ht="12.75" customHeight="1" x14ac:dyDescent="0.2">
      <c r="A730" s="242">
        <v>730</v>
      </c>
      <c r="B730" s="5664"/>
      <c r="C730" s="1288"/>
      <c r="D730" s="1289" t="s">
        <v>7266</v>
      </c>
      <c r="E730" s="1295">
        <v>20</v>
      </c>
      <c r="F730" s="1287">
        <v>15</v>
      </c>
      <c r="G730" s="1287">
        <v>4</v>
      </c>
      <c r="H730" s="1287">
        <v>4</v>
      </c>
      <c r="I730" s="1287" t="s">
        <v>1506</v>
      </c>
      <c r="J730" s="1287" t="s">
        <v>1464</v>
      </c>
      <c r="K730" s="1281" t="s">
        <v>7524</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7286</v>
      </c>
      <c r="W730" s="1281"/>
      <c r="X730" s="1282" t="str">
        <f t="shared" si="131"/>
        <v>Pequeña</v>
      </c>
      <c r="Z730" s="1418" t="str">
        <f t="shared" si="128"/>
        <v/>
      </c>
      <c r="AB730" s="629" t="s">
        <v>7276</v>
      </c>
      <c r="AC730" s="241"/>
      <c r="AD730" s="241"/>
      <c r="AE730" s="945"/>
      <c r="AG730" s="961" t="str">
        <f t="shared" si="133"/>
        <v/>
      </c>
      <c r="AH730" s="87" t="str">
        <f t="shared" si="134"/>
        <v/>
      </c>
      <c r="AI730" s="87" t="str">
        <f t="shared" si="135"/>
        <v/>
      </c>
      <c r="AJ730" s="1419">
        <f>IF(OR($L730=AJ$627,$L730="",$D730=$AL$626),MAX(AJ$629:AJ729)+1,0)</f>
        <v>0</v>
      </c>
      <c r="AK730" s="1420">
        <f>IF(OR($L730=AK$627,$L730="",$D730=$AL$626),MAX(AK$629:AK729)+1,0)</f>
        <v>0</v>
      </c>
      <c r="AL730" s="1421">
        <f>IF(OR($L730=AL$627,$L730="",$D730=$AL$626),MAX(AL$629:AL729)+1,0)</f>
        <v>78</v>
      </c>
      <c r="AM730" s="5701"/>
      <c r="AN730" s="961" t="str">
        <f t="shared" si="136"/>
        <v/>
      </c>
      <c r="AO730" s="87" t="str">
        <f t="shared" si="137"/>
        <v/>
      </c>
      <c r="AP730" s="87" t="str">
        <f t="shared" si="138"/>
        <v/>
      </c>
      <c r="AQ730" s="1419">
        <f>IF(OR($L730=AQ$627,$L730="",$D730=$AS$626),MAX(AQ$629:AQ729)+1,0)</f>
        <v>0</v>
      </c>
      <c r="AR730" s="1420">
        <f>IF(OR($L730=AR$627,$L730="",$D730=$AS$626),MAX(AR$629:AR729)+1,0)</f>
        <v>0</v>
      </c>
      <c r="AS730" s="1421">
        <f>IF(OR($L730=AS$627,$L730="",$D730=$AS$626),MAX(AS$629:AS729)+1,0)</f>
        <v>78</v>
      </c>
      <c r="AT730" s="5701"/>
      <c r="AU730" s="961" t="str">
        <f t="shared" si="139"/>
        <v/>
      </c>
      <c r="AV730" s="87" t="str">
        <f t="shared" si="140"/>
        <v/>
      </c>
      <c r="AW730" s="87" t="str">
        <f t="shared" si="141"/>
        <v/>
      </c>
      <c r="AX730" s="1419">
        <f>IF(OR($L730=AX$627,$L730="",$D730=$AZ$626),MAX(AX$629:AX729)+1,0)</f>
        <v>0</v>
      </c>
      <c r="AY730" s="1420">
        <f>IF(OR($L730=AY$627,$L730="",$D730=$AZ$626),MAX(AY$629:AY729)+1,0)</f>
        <v>0</v>
      </c>
      <c r="AZ730" s="1421">
        <f>IF(OR($L730=AZ$627,$L730="",$D730=$AZ$626),MAX(AZ$629:AZ729)+1,0)</f>
        <v>78</v>
      </c>
      <c r="BA730" s="5701"/>
      <c r="BB730" s="961" t="str">
        <f t="shared" si="142"/>
        <v/>
      </c>
      <c r="BC730" s="87" t="str">
        <f t="shared" si="143"/>
        <v/>
      </c>
      <c r="BD730" s="87" t="str">
        <f t="shared" si="144"/>
        <v/>
      </c>
      <c r="BE730" s="1419">
        <f>IF(OR($L730=BE$627,$L730="",$D730=$BG$626),MAX(BE$629:BE729)+1,0)</f>
        <v>0</v>
      </c>
      <c r="BF730" s="1420">
        <f>IF(OR($L730=BF$627,$L730="",$D730=$BG$626),MAX(BF$629:BF729)+1,0)</f>
        <v>0</v>
      </c>
      <c r="BG730" s="1421">
        <f>IF(OR($L730=BG$627,$L730="",$D730=$BG$626),MAX(BG$629:BG729)+1,0)</f>
        <v>78</v>
      </c>
      <c r="BH730" s="5701"/>
      <c r="BI730" s="961" t="str">
        <f t="shared" si="145"/>
        <v/>
      </c>
      <c r="BJ730" s="87" t="str">
        <f t="shared" si="146"/>
        <v/>
      </c>
      <c r="BK730" s="87" t="str">
        <f t="shared" si="147"/>
        <v/>
      </c>
      <c r="BL730" s="1419">
        <f>IF(OR($L730=BL$627,$L730="",$D730=$BN$626),MAX(BL$629:BL729)+1,0)</f>
        <v>0</v>
      </c>
      <c r="BM730" s="1420">
        <f>IF(OR($L730=BM$627,$L730="",$D730=$BN$626),MAX(BM$629:BM729)+1,0)</f>
        <v>0</v>
      </c>
      <c r="BN730" s="1421">
        <f>IF(OR($L730=BN$627,$L730="",$D730=$BN$626),MAX(BN$629:BN729)+1,0)</f>
        <v>78</v>
      </c>
      <c r="BO730" s="5701"/>
      <c r="BP730" s="961" t="str">
        <f t="shared" si="148"/>
        <v/>
      </c>
      <c r="BQ730" s="87" t="str">
        <f t="shared" si="149"/>
        <v/>
      </c>
      <c r="BR730" s="87" t="str">
        <f t="shared" si="150"/>
        <v/>
      </c>
      <c r="BS730" s="1419">
        <f>IF(OR($L730=BS$627,$L730="",$D730=$BU$626),MAX(BS$629:BS729)+1,0)</f>
        <v>0</v>
      </c>
      <c r="BT730" s="1420">
        <f>IF(OR($L730=BT$627,$L730="",$D730=$BU$626),MAX(BT$629:BT729)+1,0)</f>
        <v>0</v>
      </c>
      <c r="BU730" s="1421">
        <f>IF(OR($L730=BU$627,$L730="",$D730=$BU$626),MAX(BU$629:BU729)+1,0)</f>
        <v>78</v>
      </c>
    </row>
    <row r="731" spans="1:73" ht="12.75" customHeight="1" x14ac:dyDescent="0.2">
      <c r="A731" s="242">
        <v>731</v>
      </c>
      <c r="B731" s="5664"/>
      <c r="C731" s="1288"/>
      <c r="D731" s="1289" t="s">
        <v>7267</v>
      </c>
      <c r="E731" s="1295">
        <v>40</v>
      </c>
      <c r="F731" s="1287">
        <v>5</v>
      </c>
      <c r="G731" s="1287">
        <v>4</v>
      </c>
      <c r="H731" s="1287">
        <v>4</v>
      </c>
      <c r="I731" s="1287" t="s">
        <v>1560</v>
      </c>
      <c r="J731" s="1287" t="s">
        <v>1561</v>
      </c>
      <c r="K731" s="1281" t="s">
        <v>7524</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7277</v>
      </c>
      <c r="AC731" s="241"/>
      <c r="AD731" s="241"/>
      <c r="AE731" s="945"/>
      <c r="AG731" s="961" t="str">
        <f t="shared" si="133"/>
        <v/>
      </c>
      <c r="AH731" s="87" t="str">
        <f t="shared" si="134"/>
        <v/>
      </c>
      <c r="AI731" s="87" t="str">
        <f t="shared" si="135"/>
        <v/>
      </c>
      <c r="AJ731" s="1419">
        <f>IF(OR($L731=AJ$627,$L731="",$D731=$AL$626),MAX(AJ$629:AJ730)+1,0)</f>
        <v>0</v>
      </c>
      <c r="AK731" s="1420">
        <f>IF(OR($L731=AK$627,$L731="",$D731=$AL$626),MAX(AK$629:AK730)+1,0)</f>
        <v>0</v>
      </c>
      <c r="AL731" s="1421">
        <f>IF(OR($L731=AL$627,$L731="",$D731=$AL$626),MAX(AL$629:AL730)+1,0)</f>
        <v>79</v>
      </c>
      <c r="AM731" s="5701"/>
      <c r="AN731" s="961" t="str">
        <f t="shared" si="136"/>
        <v/>
      </c>
      <c r="AO731" s="87" t="str">
        <f t="shared" si="137"/>
        <v/>
      </c>
      <c r="AP731" s="87" t="str">
        <f t="shared" si="138"/>
        <v/>
      </c>
      <c r="AQ731" s="1419">
        <f>IF(OR($L731=AQ$627,$L731="",$D731=$AS$626),MAX(AQ$629:AQ730)+1,0)</f>
        <v>0</v>
      </c>
      <c r="AR731" s="1420">
        <f>IF(OR($L731=AR$627,$L731="",$D731=$AS$626),MAX(AR$629:AR730)+1,0)</f>
        <v>0</v>
      </c>
      <c r="AS731" s="1421">
        <f>IF(OR($L731=AS$627,$L731="",$D731=$AS$626),MAX(AS$629:AS730)+1,0)</f>
        <v>79</v>
      </c>
      <c r="AT731" s="5701"/>
      <c r="AU731" s="961" t="str">
        <f t="shared" si="139"/>
        <v/>
      </c>
      <c r="AV731" s="87" t="str">
        <f t="shared" si="140"/>
        <v/>
      </c>
      <c r="AW731" s="87" t="str">
        <f t="shared" si="141"/>
        <v/>
      </c>
      <c r="AX731" s="1419">
        <f>IF(OR($L731=AX$627,$L731="",$D731=$AZ$626),MAX(AX$629:AX730)+1,0)</f>
        <v>0</v>
      </c>
      <c r="AY731" s="1420">
        <f>IF(OR($L731=AY$627,$L731="",$D731=$AZ$626),MAX(AY$629:AY730)+1,0)</f>
        <v>0</v>
      </c>
      <c r="AZ731" s="1421">
        <f>IF(OR($L731=AZ$627,$L731="",$D731=$AZ$626),MAX(AZ$629:AZ730)+1,0)</f>
        <v>79</v>
      </c>
      <c r="BA731" s="5701"/>
      <c r="BB731" s="961" t="str">
        <f t="shared" si="142"/>
        <v/>
      </c>
      <c r="BC731" s="87" t="str">
        <f t="shared" si="143"/>
        <v/>
      </c>
      <c r="BD731" s="87" t="str">
        <f t="shared" si="144"/>
        <v/>
      </c>
      <c r="BE731" s="1419">
        <f>IF(OR($L731=BE$627,$L731="",$D731=$BG$626),MAX(BE$629:BE730)+1,0)</f>
        <v>0</v>
      </c>
      <c r="BF731" s="1420">
        <f>IF(OR($L731=BF$627,$L731="",$D731=$BG$626),MAX(BF$629:BF730)+1,0)</f>
        <v>0</v>
      </c>
      <c r="BG731" s="1421">
        <f>IF(OR($L731=BG$627,$L731="",$D731=$BG$626),MAX(BG$629:BG730)+1,0)</f>
        <v>79</v>
      </c>
      <c r="BH731" s="5701"/>
      <c r="BI731" s="961" t="str">
        <f t="shared" si="145"/>
        <v/>
      </c>
      <c r="BJ731" s="87" t="str">
        <f t="shared" si="146"/>
        <v/>
      </c>
      <c r="BK731" s="87" t="str">
        <f t="shared" si="147"/>
        <v/>
      </c>
      <c r="BL731" s="1419">
        <f>IF(OR($L731=BL$627,$L731="",$D731=$BN$626),MAX(BL$629:BL730)+1,0)</f>
        <v>0</v>
      </c>
      <c r="BM731" s="1420">
        <f>IF(OR($L731=BM$627,$L731="",$D731=$BN$626),MAX(BM$629:BM730)+1,0)</f>
        <v>0</v>
      </c>
      <c r="BN731" s="1421">
        <f>IF(OR($L731=BN$627,$L731="",$D731=$BN$626),MAX(BN$629:BN730)+1,0)</f>
        <v>79</v>
      </c>
      <c r="BO731" s="5701"/>
      <c r="BP731" s="961" t="str">
        <f t="shared" si="148"/>
        <v/>
      </c>
      <c r="BQ731" s="87" t="str">
        <f t="shared" si="149"/>
        <v/>
      </c>
      <c r="BR731" s="87" t="str">
        <f t="shared" si="150"/>
        <v/>
      </c>
      <c r="BS731" s="1419">
        <f>IF(OR($L731=BS$627,$L731="",$D731=$BU$626),MAX(BS$629:BS730)+1,0)</f>
        <v>0</v>
      </c>
      <c r="BT731" s="1420">
        <f>IF(OR($L731=BT$627,$L731="",$D731=$BU$626),MAX(BT$629:BT730)+1,0)</f>
        <v>0</v>
      </c>
      <c r="BU731" s="1421">
        <f>IF(OR($L731=BU$627,$L731="",$D731=$BU$626),MAX(BU$629:BU730)+1,0)</f>
        <v>79</v>
      </c>
    </row>
    <row r="732" spans="1:73" ht="12.75" customHeight="1" x14ac:dyDescent="0.2">
      <c r="A732" s="242">
        <v>732</v>
      </c>
      <c r="B732" s="5664"/>
      <c r="C732" s="1288"/>
      <c r="D732" s="1289" t="s">
        <v>7268</v>
      </c>
      <c r="E732" s="1295">
        <v>30</v>
      </c>
      <c r="F732" s="1287">
        <v>0</v>
      </c>
      <c r="G732" s="1287">
        <v>6</v>
      </c>
      <c r="H732" s="1287">
        <v>6</v>
      </c>
      <c r="I732" s="1287" t="s">
        <v>1506</v>
      </c>
      <c r="J732" s="1287" t="s">
        <v>1464</v>
      </c>
      <c r="K732" s="1281" t="s">
        <v>7523</v>
      </c>
      <c r="L732" s="1287" t="str">
        <f t="shared" si="151"/>
        <v>Distinta</v>
      </c>
      <c r="M732" s="1296">
        <v>13</v>
      </c>
      <c r="N732" s="1296">
        <v>3</v>
      </c>
      <c r="O732" s="1296">
        <v>20</v>
      </c>
      <c r="P732" s="1287"/>
      <c r="Q732" s="1287"/>
      <c r="R732" s="1287" t="s">
        <v>1464</v>
      </c>
      <c r="S732" s="1287" t="s">
        <v>1464</v>
      </c>
      <c r="T732" s="1287" t="s">
        <v>1464</v>
      </c>
      <c r="U732" s="1287"/>
      <c r="V732" s="1281" t="s">
        <v>7287</v>
      </c>
      <c r="W732" s="1281"/>
      <c r="X732" s="1282" t="str">
        <f t="shared" si="131"/>
        <v>Mediana</v>
      </c>
      <c r="Z732" s="1418" t="str">
        <f t="shared" si="152"/>
        <v/>
      </c>
      <c r="AB732" s="961" t="s">
        <v>2262</v>
      </c>
      <c r="AC732" s="241"/>
      <c r="AD732" s="241"/>
      <c r="AE732" s="945"/>
      <c r="AG732" s="961" t="str">
        <f t="shared" si="133"/>
        <v/>
      </c>
      <c r="AH732" s="87" t="str">
        <f t="shared" si="134"/>
        <v/>
      </c>
      <c r="AI732" s="87" t="str">
        <f t="shared" si="135"/>
        <v/>
      </c>
      <c r="AJ732" s="1419">
        <f>IF(OR($L732=AJ$627,$L732="",$D732=$AL$626),MAX(AJ$629:AJ731)+1,0)</f>
        <v>0</v>
      </c>
      <c r="AK732" s="1420">
        <f>IF(OR($L732=AK$627,$L732="",$D732=$AL$626),MAX(AK$629:AK731)+1,0)</f>
        <v>0</v>
      </c>
      <c r="AL732" s="1421">
        <f>IF(OR($L732=AL$627,$L732="",$D732=$AL$626),MAX(AL$629:AL731)+1,0)</f>
        <v>80</v>
      </c>
      <c r="AM732" s="5701"/>
      <c r="AN732" s="961" t="str">
        <f t="shared" si="136"/>
        <v/>
      </c>
      <c r="AO732" s="87" t="str">
        <f t="shared" si="137"/>
        <v/>
      </c>
      <c r="AP732" s="87" t="str">
        <f t="shared" si="138"/>
        <v/>
      </c>
      <c r="AQ732" s="1419">
        <f>IF(OR($L732=AQ$627,$L732="",$D732=$AS$626),MAX(AQ$629:AQ731)+1,0)</f>
        <v>0</v>
      </c>
      <c r="AR732" s="1420">
        <f>IF(OR($L732=AR$627,$L732="",$D732=$AS$626),MAX(AR$629:AR731)+1,0)</f>
        <v>0</v>
      </c>
      <c r="AS732" s="1421">
        <f>IF(OR($L732=AS$627,$L732="",$D732=$AS$626),MAX(AS$629:AS731)+1,0)</f>
        <v>80</v>
      </c>
      <c r="AT732" s="5701"/>
      <c r="AU732" s="961" t="str">
        <f t="shared" si="139"/>
        <v/>
      </c>
      <c r="AV732" s="87" t="str">
        <f t="shared" si="140"/>
        <v/>
      </c>
      <c r="AW732" s="87" t="str">
        <f t="shared" si="141"/>
        <v/>
      </c>
      <c r="AX732" s="1419">
        <f>IF(OR($L732=AX$627,$L732="",$D732=$AZ$626),MAX(AX$629:AX731)+1,0)</f>
        <v>0</v>
      </c>
      <c r="AY732" s="1420">
        <f>IF(OR($L732=AY$627,$L732="",$D732=$AZ$626),MAX(AY$629:AY731)+1,0)</f>
        <v>0</v>
      </c>
      <c r="AZ732" s="1421">
        <f>IF(OR($L732=AZ$627,$L732="",$D732=$AZ$626),MAX(AZ$629:AZ731)+1,0)</f>
        <v>80</v>
      </c>
      <c r="BA732" s="5701"/>
      <c r="BB732" s="961" t="str">
        <f t="shared" si="142"/>
        <v/>
      </c>
      <c r="BC732" s="87" t="str">
        <f t="shared" si="143"/>
        <v/>
      </c>
      <c r="BD732" s="87" t="str">
        <f t="shared" si="144"/>
        <v/>
      </c>
      <c r="BE732" s="1419">
        <f>IF(OR($L732=BE$627,$L732="",$D732=$BG$626),MAX(BE$629:BE731)+1,0)</f>
        <v>0</v>
      </c>
      <c r="BF732" s="1420">
        <f>IF(OR($L732=BF$627,$L732="",$D732=$BG$626),MAX(BF$629:BF731)+1,0)</f>
        <v>0</v>
      </c>
      <c r="BG732" s="1421">
        <f>IF(OR($L732=BG$627,$L732="",$D732=$BG$626),MAX(BG$629:BG731)+1,0)</f>
        <v>80</v>
      </c>
      <c r="BH732" s="5701"/>
      <c r="BI732" s="961" t="str">
        <f t="shared" si="145"/>
        <v/>
      </c>
      <c r="BJ732" s="87" t="str">
        <f t="shared" si="146"/>
        <v/>
      </c>
      <c r="BK732" s="87" t="str">
        <f t="shared" si="147"/>
        <v/>
      </c>
      <c r="BL732" s="1419">
        <f>IF(OR($L732=BL$627,$L732="",$D732=$BN$626),MAX(BL$629:BL731)+1,0)</f>
        <v>0</v>
      </c>
      <c r="BM732" s="1420">
        <f>IF(OR($L732=BM$627,$L732="",$D732=$BN$626),MAX(BM$629:BM731)+1,0)</f>
        <v>0</v>
      </c>
      <c r="BN732" s="1421">
        <f>IF(OR($L732=BN$627,$L732="",$D732=$BN$626),MAX(BN$629:BN731)+1,0)</f>
        <v>80</v>
      </c>
      <c r="BO732" s="5701"/>
      <c r="BP732" s="961" t="str">
        <f t="shared" si="148"/>
        <v/>
      </c>
      <c r="BQ732" s="87" t="str">
        <f t="shared" si="149"/>
        <v/>
      </c>
      <c r="BR732" s="87" t="str">
        <f t="shared" si="150"/>
        <v/>
      </c>
      <c r="BS732" s="1419">
        <f>IF(OR($L732=BS$627,$L732="",$D732=$BU$626),MAX(BS$629:BS731)+1,0)</f>
        <v>0</v>
      </c>
      <c r="BT732" s="1420">
        <f>IF(OR($L732=BT$627,$L732="",$D732=$BU$626),MAX(BT$629:BT731)+1,0)</f>
        <v>0</v>
      </c>
      <c r="BU732" s="1421">
        <f>IF(OR($L732=BU$627,$L732="",$D732=$BU$626),MAX(BU$629:BU731)+1,0)</f>
        <v>80</v>
      </c>
    </row>
    <row r="733" spans="1:73" ht="12.75" customHeight="1" x14ac:dyDescent="0.2">
      <c r="A733" s="242">
        <v>733</v>
      </c>
      <c r="B733" s="5664"/>
      <c r="C733" s="1288"/>
      <c r="D733" s="1289" t="s">
        <v>7269</v>
      </c>
      <c r="E733" s="1295">
        <v>20</v>
      </c>
      <c r="F733" s="1287">
        <v>15</v>
      </c>
      <c r="G733" s="1287">
        <v>4</v>
      </c>
      <c r="H733" s="1287">
        <v>4</v>
      </c>
      <c r="I733" s="1287" t="s">
        <v>1506</v>
      </c>
      <c r="J733" s="1287" t="s">
        <v>1464</v>
      </c>
      <c r="K733" s="1281" t="s">
        <v>7525</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2283</v>
      </c>
      <c r="AC733" s="241"/>
      <c r="AD733" s="241"/>
      <c r="AE733" s="945"/>
      <c r="AG733" s="961" t="str">
        <f t="shared" si="133"/>
        <v/>
      </c>
      <c r="AH733" s="87" t="str">
        <f t="shared" si="134"/>
        <v/>
      </c>
      <c r="AI733" s="87" t="str">
        <f t="shared" si="135"/>
        <v/>
      </c>
      <c r="AJ733" s="1419">
        <f>IF(OR($L733=AJ$627,$L733="",$D733=$AL$626),MAX(AJ$629:AJ732)+1,0)</f>
        <v>0</v>
      </c>
      <c r="AK733" s="1420">
        <f>IF(OR($L733=AK$627,$L733="",$D733=$AL$626),MAX(AK$629:AK732)+1,0)</f>
        <v>0</v>
      </c>
      <c r="AL733" s="1421">
        <f>IF(OR($L733=AL$627,$L733="",$D733=$AL$626),MAX(AL$629:AL732)+1,0)</f>
        <v>81</v>
      </c>
      <c r="AM733" s="5701"/>
      <c r="AN733" s="961" t="str">
        <f t="shared" si="136"/>
        <v/>
      </c>
      <c r="AO733" s="87" t="str">
        <f t="shared" si="137"/>
        <v/>
      </c>
      <c r="AP733" s="87" t="str">
        <f t="shared" si="138"/>
        <v/>
      </c>
      <c r="AQ733" s="1419">
        <f>IF(OR($L733=AQ$627,$L733="",$D733=$AS$626),MAX(AQ$629:AQ732)+1,0)</f>
        <v>0</v>
      </c>
      <c r="AR733" s="1420">
        <f>IF(OR($L733=AR$627,$L733="",$D733=$AS$626),MAX(AR$629:AR732)+1,0)</f>
        <v>0</v>
      </c>
      <c r="AS733" s="1421">
        <f>IF(OR($L733=AS$627,$L733="",$D733=$AS$626),MAX(AS$629:AS732)+1,0)</f>
        <v>81</v>
      </c>
      <c r="AT733" s="5701"/>
      <c r="AU733" s="961" t="str">
        <f t="shared" si="139"/>
        <v/>
      </c>
      <c r="AV733" s="87" t="str">
        <f t="shared" si="140"/>
        <v/>
      </c>
      <c r="AW733" s="87" t="str">
        <f t="shared" si="141"/>
        <v/>
      </c>
      <c r="AX733" s="1419">
        <f>IF(OR($L733=AX$627,$L733="",$D733=$AZ$626),MAX(AX$629:AX732)+1,0)</f>
        <v>0</v>
      </c>
      <c r="AY733" s="1420">
        <f>IF(OR($L733=AY$627,$L733="",$D733=$AZ$626),MAX(AY$629:AY732)+1,0)</f>
        <v>0</v>
      </c>
      <c r="AZ733" s="1421">
        <f>IF(OR($L733=AZ$627,$L733="",$D733=$AZ$626),MAX(AZ$629:AZ732)+1,0)</f>
        <v>81</v>
      </c>
      <c r="BA733" s="5701"/>
      <c r="BB733" s="961" t="str">
        <f t="shared" si="142"/>
        <v/>
      </c>
      <c r="BC733" s="87" t="str">
        <f t="shared" si="143"/>
        <v/>
      </c>
      <c r="BD733" s="87" t="str">
        <f t="shared" si="144"/>
        <v/>
      </c>
      <c r="BE733" s="1419">
        <f>IF(OR($L733=BE$627,$L733="",$D733=$BG$626),MAX(BE$629:BE732)+1,0)</f>
        <v>0</v>
      </c>
      <c r="BF733" s="1420">
        <f>IF(OR($L733=BF$627,$L733="",$D733=$BG$626),MAX(BF$629:BF732)+1,0)</f>
        <v>0</v>
      </c>
      <c r="BG733" s="1421">
        <f>IF(OR($L733=BG$627,$L733="",$D733=$BG$626),MAX(BG$629:BG732)+1,0)</f>
        <v>81</v>
      </c>
      <c r="BH733" s="5701"/>
      <c r="BI733" s="961" t="str">
        <f t="shared" si="145"/>
        <v/>
      </c>
      <c r="BJ733" s="87" t="str">
        <f t="shared" si="146"/>
        <v/>
      </c>
      <c r="BK733" s="87" t="str">
        <f t="shared" si="147"/>
        <v/>
      </c>
      <c r="BL733" s="1419">
        <f>IF(OR($L733=BL$627,$L733="",$D733=$BN$626),MAX(BL$629:BL732)+1,0)</f>
        <v>0</v>
      </c>
      <c r="BM733" s="1420">
        <f>IF(OR($L733=BM$627,$L733="",$D733=$BN$626),MAX(BM$629:BM732)+1,0)</f>
        <v>0</v>
      </c>
      <c r="BN733" s="1421">
        <f>IF(OR($L733=BN$627,$L733="",$D733=$BN$626),MAX(BN$629:BN732)+1,0)</f>
        <v>81</v>
      </c>
      <c r="BO733" s="5701"/>
      <c r="BP733" s="961" t="str">
        <f t="shared" si="148"/>
        <v/>
      </c>
      <c r="BQ733" s="87" t="str">
        <f t="shared" si="149"/>
        <v/>
      </c>
      <c r="BR733" s="87" t="str">
        <f t="shared" si="150"/>
        <v/>
      </c>
      <c r="BS733" s="1419">
        <f>IF(OR($L733=BS$627,$L733="",$D733=$BU$626),MAX(BS$629:BS732)+1,0)</f>
        <v>0</v>
      </c>
      <c r="BT733" s="1420">
        <f>IF(OR($L733=BT$627,$L733="",$D733=$BU$626),MAX(BT$629:BT732)+1,0)</f>
        <v>0</v>
      </c>
      <c r="BU733" s="1421">
        <f>IF(OR($L733=BU$627,$L733="",$D733=$BU$626),MAX(BU$629:BU732)+1,0)</f>
        <v>81</v>
      </c>
    </row>
    <row r="734" spans="1:73" ht="12.75" customHeight="1" x14ac:dyDescent="0.2">
      <c r="A734" s="242">
        <v>734</v>
      </c>
      <c r="B734" s="5664"/>
      <c r="C734" s="1288"/>
      <c r="D734" s="1289" t="s">
        <v>7270</v>
      </c>
      <c r="E734" s="1295">
        <v>30</v>
      </c>
      <c r="F734" s="1287">
        <v>15</v>
      </c>
      <c r="G734" s="1287">
        <v>4</v>
      </c>
      <c r="H734" s="1287">
        <v>4</v>
      </c>
      <c r="I734" s="1287" t="s">
        <v>1561</v>
      </c>
      <c r="J734" s="1287" t="s">
        <v>1560</v>
      </c>
      <c r="K734" s="1281" t="s">
        <v>7524</v>
      </c>
      <c r="L734" s="1287" t="str">
        <f t="shared" si="151"/>
        <v>Distinta</v>
      </c>
      <c r="M734" s="1296">
        <v>11</v>
      </c>
      <c r="N734" s="1296">
        <v>1</v>
      </c>
      <c r="O734" s="1296">
        <v>20</v>
      </c>
      <c r="P734" s="1287"/>
      <c r="Q734" s="1287"/>
      <c r="R734" s="1287" t="s">
        <v>1464</v>
      </c>
      <c r="S734" s="1287" t="s">
        <v>1464</v>
      </c>
      <c r="T734" s="1287" t="s">
        <v>1464</v>
      </c>
      <c r="U734" s="1287"/>
      <c r="V734" s="1281" t="s">
        <v>2168</v>
      </c>
      <c r="W734" s="1281"/>
      <c r="X734" s="1282" t="str">
        <f t="shared" si="131"/>
        <v>Pequeña</v>
      </c>
      <c r="Z734" s="1418" t="str">
        <f t="shared" si="152"/>
        <v/>
      </c>
      <c r="AB734" s="629" t="s">
        <v>2282</v>
      </c>
      <c r="AC734" s="241"/>
      <c r="AD734" s="241"/>
      <c r="AE734" s="945"/>
      <c r="AG734" s="961" t="str">
        <f t="shared" si="133"/>
        <v/>
      </c>
      <c r="AH734" s="87" t="str">
        <f t="shared" si="134"/>
        <v/>
      </c>
      <c r="AI734" s="87" t="str">
        <f t="shared" si="135"/>
        <v/>
      </c>
      <c r="AJ734" s="1419">
        <f>IF(OR($L734=AJ$627,$L734="",$D734=$AL$626),MAX(AJ$629:AJ733)+1,0)</f>
        <v>0</v>
      </c>
      <c r="AK734" s="1420">
        <f>IF(OR($L734=AK$627,$L734="",$D734=$AL$626),MAX(AK$629:AK733)+1,0)</f>
        <v>0</v>
      </c>
      <c r="AL734" s="1421">
        <f>IF(OR($L734=AL$627,$L734="",$D734=$AL$626),MAX(AL$629:AL733)+1,0)</f>
        <v>82</v>
      </c>
      <c r="AM734" s="5701"/>
      <c r="AN734" s="961" t="str">
        <f t="shared" si="136"/>
        <v/>
      </c>
      <c r="AO734" s="87" t="str">
        <f t="shared" si="137"/>
        <v/>
      </c>
      <c r="AP734" s="87" t="str">
        <f t="shared" si="138"/>
        <v/>
      </c>
      <c r="AQ734" s="1419">
        <f>IF(OR($L734=AQ$627,$L734="",$D734=$AS$626),MAX(AQ$629:AQ733)+1,0)</f>
        <v>0</v>
      </c>
      <c r="AR734" s="1420">
        <f>IF(OR($L734=AR$627,$L734="",$D734=$AS$626),MAX(AR$629:AR733)+1,0)</f>
        <v>0</v>
      </c>
      <c r="AS734" s="1421">
        <f>IF(OR($L734=AS$627,$L734="",$D734=$AS$626),MAX(AS$629:AS733)+1,0)</f>
        <v>82</v>
      </c>
      <c r="AT734" s="5701"/>
      <c r="AU734" s="961" t="str">
        <f t="shared" si="139"/>
        <v/>
      </c>
      <c r="AV734" s="87" t="str">
        <f t="shared" si="140"/>
        <v/>
      </c>
      <c r="AW734" s="87" t="str">
        <f t="shared" si="141"/>
        <v/>
      </c>
      <c r="AX734" s="1419">
        <f>IF(OR($L734=AX$627,$L734="",$D734=$AZ$626),MAX(AX$629:AX733)+1,0)</f>
        <v>0</v>
      </c>
      <c r="AY734" s="1420">
        <f>IF(OR($L734=AY$627,$L734="",$D734=$AZ$626),MAX(AY$629:AY733)+1,0)</f>
        <v>0</v>
      </c>
      <c r="AZ734" s="1421">
        <f>IF(OR($L734=AZ$627,$L734="",$D734=$AZ$626),MAX(AZ$629:AZ733)+1,0)</f>
        <v>82</v>
      </c>
      <c r="BA734" s="5701"/>
      <c r="BB734" s="961" t="str">
        <f t="shared" si="142"/>
        <v/>
      </c>
      <c r="BC734" s="87" t="str">
        <f t="shared" si="143"/>
        <v/>
      </c>
      <c r="BD734" s="87" t="str">
        <f t="shared" si="144"/>
        <v/>
      </c>
      <c r="BE734" s="1419">
        <f>IF(OR($L734=BE$627,$L734="",$D734=$BG$626),MAX(BE$629:BE733)+1,0)</f>
        <v>0</v>
      </c>
      <c r="BF734" s="1420">
        <f>IF(OR($L734=BF$627,$L734="",$D734=$BG$626),MAX(BF$629:BF733)+1,0)</f>
        <v>0</v>
      </c>
      <c r="BG734" s="1421">
        <f>IF(OR($L734=BG$627,$L734="",$D734=$BG$626),MAX(BG$629:BG733)+1,0)</f>
        <v>82</v>
      </c>
      <c r="BH734" s="5701"/>
      <c r="BI734" s="961" t="str">
        <f t="shared" si="145"/>
        <v/>
      </c>
      <c r="BJ734" s="87" t="str">
        <f t="shared" si="146"/>
        <v/>
      </c>
      <c r="BK734" s="87" t="str">
        <f t="shared" si="147"/>
        <v/>
      </c>
      <c r="BL734" s="1419">
        <f>IF(OR($L734=BL$627,$L734="",$D734=$BN$626),MAX(BL$629:BL733)+1,0)</f>
        <v>0</v>
      </c>
      <c r="BM734" s="1420">
        <f>IF(OR($L734=BM$627,$L734="",$D734=$BN$626),MAX(BM$629:BM733)+1,0)</f>
        <v>0</v>
      </c>
      <c r="BN734" s="1421">
        <f>IF(OR($L734=BN$627,$L734="",$D734=$BN$626),MAX(BN$629:BN733)+1,0)</f>
        <v>82</v>
      </c>
      <c r="BO734" s="5701"/>
      <c r="BP734" s="961" t="str">
        <f t="shared" si="148"/>
        <v/>
      </c>
      <c r="BQ734" s="87" t="str">
        <f t="shared" si="149"/>
        <v/>
      </c>
      <c r="BR734" s="87" t="str">
        <f t="shared" si="150"/>
        <v/>
      </c>
      <c r="BS734" s="1419">
        <f>IF(OR($L734=BS$627,$L734="",$D734=$BU$626),MAX(BS$629:BS733)+1,0)</f>
        <v>0</v>
      </c>
      <c r="BT734" s="1420">
        <f>IF(OR($L734=BT$627,$L734="",$D734=$BU$626),MAX(BT$629:BT733)+1,0)</f>
        <v>0</v>
      </c>
      <c r="BU734" s="1421">
        <f>IF(OR($L734=BU$627,$L734="",$D734=$BU$626),MAX(BU$629:BU733)+1,0)</f>
        <v>82</v>
      </c>
    </row>
    <row r="735" spans="1:73" ht="12.75" customHeight="1" x14ac:dyDescent="0.2">
      <c r="A735" s="242">
        <v>735</v>
      </c>
      <c r="B735" s="5664"/>
      <c r="C735" s="1288"/>
      <c r="D735" s="1289" t="s">
        <v>7271</v>
      </c>
      <c r="E735" s="1295">
        <v>35</v>
      </c>
      <c r="F735" s="1287">
        <v>-10</v>
      </c>
      <c r="G735" s="1287">
        <v>4</v>
      </c>
      <c r="H735" s="1287">
        <v>4</v>
      </c>
      <c r="I735" s="1287" t="s">
        <v>1561</v>
      </c>
      <c r="J735" s="1287" t="s">
        <v>1464</v>
      </c>
      <c r="K735" s="1281" t="s">
        <v>7519</v>
      </c>
      <c r="L735" s="1287" t="str">
        <f t="shared" si="151"/>
        <v>Similar</v>
      </c>
      <c r="M735" s="1296">
        <v>13</v>
      </c>
      <c r="N735" s="1296">
        <v>2</v>
      </c>
      <c r="O735" s="1296">
        <v>25</v>
      </c>
      <c r="P735" s="1287"/>
      <c r="Q735" s="1287"/>
      <c r="R735" s="1287" t="s">
        <v>1464</v>
      </c>
      <c r="S735" s="1287" t="s">
        <v>1464</v>
      </c>
      <c r="T735" s="1287" t="s">
        <v>1464</v>
      </c>
      <c r="U735" s="1287"/>
      <c r="V735" s="1281" t="s">
        <v>2185</v>
      </c>
      <c r="W735" s="1281"/>
      <c r="X735" s="1282" t="str">
        <f t="shared" si="131"/>
        <v>Grande</v>
      </c>
      <c r="Z735" s="1418" t="str">
        <f t="shared" si="152"/>
        <v/>
      </c>
      <c r="AB735" s="629" t="s">
        <v>2272</v>
      </c>
      <c r="AC735" s="241"/>
      <c r="AD735" s="241"/>
      <c r="AE735" s="945"/>
      <c r="AG735" s="961" t="str">
        <f t="shared" si="133"/>
        <v/>
      </c>
      <c r="AH735" s="87" t="str">
        <f t="shared" si="134"/>
        <v/>
      </c>
      <c r="AI735" s="87" t="str">
        <f t="shared" si="135"/>
        <v/>
      </c>
      <c r="AJ735" s="1419">
        <f>IF(OR($L735=AJ$627,$L735="",$D735=$AL$626),MAX(AJ$629:AJ734)+1,0)</f>
        <v>19</v>
      </c>
      <c r="AK735" s="1420">
        <f>IF(OR($L735=AK$627,$L735="",$D735=$AL$626),MAX(AK$629:AK734)+1,0)</f>
        <v>0</v>
      </c>
      <c r="AL735" s="1421">
        <f>IF(OR($L735=AL$627,$L735="",$D735=$AL$626),MAX(AL$629:AL734)+1,0)</f>
        <v>0</v>
      </c>
      <c r="AM735" s="5701"/>
      <c r="AN735" s="961" t="str">
        <f t="shared" si="136"/>
        <v/>
      </c>
      <c r="AO735" s="87" t="str">
        <f t="shared" si="137"/>
        <v/>
      </c>
      <c r="AP735" s="87" t="str">
        <f t="shared" si="138"/>
        <v/>
      </c>
      <c r="AQ735" s="1419">
        <f>IF(OR($L735=AQ$627,$L735="",$D735=$AS$626),MAX(AQ$629:AQ734)+1,0)</f>
        <v>19</v>
      </c>
      <c r="AR735" s="1420">
        <f>IF(OR($L735=AR$627,$L735="",$D735=$AS$626),MAX(AR$629:AR734)+1,0)</f>
        <v>0</v>
      </c>
      <c r="AS735" s="1421">
        <f>IF(OR($L735=AS$627,$L735="",$D735=$AS$626),MAX(AS$629:AS734)+1,0)</f>
        <v>0</v>
      </c>
      <c r="AT735" s="5701"/>
      <c r="AU735" s="961" t="str">
        <f t="shared" si="139"/>
        <v/>
      </c>
      <c r="AV735" s="87" t="str">
        <f t="shared" si="140"/>
        <v/>
      </c>
      <c r="AW735" s="87" t="str">
        <f t="shared" si="141"/>
        <v/>
      </c>
      <c r="AX735" s="1419">
        <f>IF(OR($L735=AX$627,$L735="",$D735=$AZ$626),MAX(AX$629:AX734)+1,0)</f>
        <v>19</v>
      </c>
      <c r="AY735" s="1420">
        <f>IF(OR($L735=AY$627,$L735="",$D735=$AZ$626),MAX(AY$629:AY734)+1,0)</f>
        <v>0</v>
      </c>
      <c r="AZ735" s="1421">
        <f>IF(OR($L735=AZ$627,$L735="",$D735=$AZ$626),MAX(AZ$629:AZ734)+1,0)</f>
        <v>0</v>
      </c>
      <c r="BA735" s="5701"/>
      <c r="BB735" s="961" t="str">
        <f t="shared" si="142"/>
        <v/>
      </c>
      <c r="BC735" s="87" t="str">
        <f t="shared" si="143"/>
        <v/>
      </c>
      <c r="BD735" s="87" t="str">
        <f t="shared" si="144"/>
        <v/>
      </c>
      <c r="BE735" s="1419">
        <f>IF(OR($L735=BE$627,$L735="",$D735=$BG$626),MAX(BE$629:BE734)+1,0)</f>
        <v>19</v>
      </c>
      <c r="BF735" s="1420">
        <f>IF(OR($L735=BF$627,$L735="",$D735=$BG$626),MAX(BF$629:BF734)+1,0)</f>
        <v>0</v>
      </c>
      <c r="BG735" s="1421">
        <f>IF(OR($L735=BG$627,$L735="",$D735=$BG$626),MAX(BG$629:BG734)+1,0)</f>
        <v>0</v>
      </c>
      <c r="BH735" s="5701"/>
      <c r="BI735" s="961" t="str">
        <f t="shared" si="145"/>
        <v/>
      </c>
      <c r="BJ735" s="87" t="str">
        <f t="shared" si="146"/>
        <v/>
      </c>
      <c r="BK735" s="87" t="str">
        <f t="shared" si="147"/>
        <v/>
      </c>
      <c r="BL735" s="1419">
        <f>IF(OR($L735=BL$627,$L735="",$D735=$BN$626),MAX(BL$629:BL734)+1,0)</f>
        <v>19</v>
      </c>
      <c r="BM735" s="1420">
        <f>IF(OR($L735=BM$627,$L735="",$D735=$BN$626),MAX(BM$629:BM734)+1,0)</f>
        <v>0</v>
      </c>
      <c r="BN735" s="1421">
        <f>IF(OR($L735=BN$627,$L735="",$D735=$BN$626),MAX(BN$629:BN734)+1,0)</f>
        <v>0</v>
      </c>
      <c r="BO735" s="5701"/>
      <c r="BP735" s="961" t="str">
        <f t="shared" si="148"/>
        <v/>
      </c>
      <c r="BQ735" s="87" t="str">
        <f t="shared" si="149"/>
        <v/>
      </c>
      <c r="BR735" s="87" t="str">
        <f t="shared" si="150"/>
        <v/>
      </c>
      <c r="BS735" s="1419">
        <f>IF(OR($L735=BS$627,$L735="",$D735=$BU$626),MAX(BS$629:BS734)+1,0)</f>
        <v>19</v>
      </c>
      <c r="BT735" s="1420">
        <f>IF(OR($L735=BT$627,$L735="",$D735=$BU$626),MAX(BT$629:BT734)+1,0)</f>
        <v>0</v>
      </c>
      <c r="BU735" s="1421">
        <f>IF(OR($L735=BU$627,$L735="",$D735=$BU$626),MAX(BU$629:BU734)+1,0)</f>
        <v>0</v>
      </c>
    </row>
    <row r="736" spans="1:73" ht="12.75" customHeight="1" x14ac:dyDescent="0.2">
      <c r="A736" s="242">
        <v>736</v>
      </c>
      <c r="B736" s="5664"/>
      <c r="C736" s="1288"/>
      <c r="D736" s="1289" t="s">
        <v>7272</v>
      </c>
      <c r="E736" s="1295">
        <v>25</v>
      </c>
      <c r="F736" s="1287">
        <v>20</v>
      </c>
      <c r="G736" s="1287">
        <v>4</v>
      </c>
      <c r="H736" s="1287">
        <v>4</v>
      </c>
      <c r="I736" s="1287" t="s">
        <v>1561</v>
      </c>
      <c r="J736" s="1287" t="s">
        <v>1464</v>
      </c>
      <c r="K736" s="1281" t="s">
        <v>7524</v>
      </c>
      <c r="L736" s="1287" t="str">
        <f t="shared" si="151"/>
        <v>Distinta</v>
      </c>
      <c r="M736" s="1296">
        <v>10</v>
      </c>
      <c r="N736" s="1296">
        <v>2</v>
      </c>
      <c r="O736" s="1296">
        <v>15</v>
      </c>
      <c r="P736" s="1287"/>
      <c r="Q736" s="1287"/>
      <c r="R736" s="1287">
        <v>40</v>
      </c>
      <c r="S736" s="1287" t="s">
        <v>1464</v>
      </c>
      <c r="T736" s="1287">
        <v>20</v>
      </c>
      <c r="U736" s="1287"/>
      <c r="V736" s="1281" t="s">
        <v>8852</v>
      </c>
      <c r="W736" s="1281"/>
      <c r="X736" s="1282" t="str">
        <f t="shared" si="131"/>
        <v>Pequeña</v>
      </c>
      <c r="Z736" s="1418" t="str">
        <f t="shared" si="152"/>
        <v/>
      </c>
      <c r="AB736" s="629" t="s">
        <v>2274</v>
      </c>
      <c r="AC736" s="241"/>
      <c r="AD736" s="241"/>
      <c r="AE736" s="945"/>
      <c r="AG736" s="961" t="str">
        <f t="shared" si="133"/>
        <v/>
      </c>
      <c r="AH736" s="87" t="str">
        <f t="shared" si="134"/>
        <v/>
      </c>
      <c r="AI736" s="87" t="str">
        <f t="shared" si="135"/>
        <v/>
      </c>
      <c r="AJ736" s="1419">
        <f>IF(OR($L736=AJ$627,$L736="",$D736=$AL$626),MAX(AJ$629:AJ735)+1,0)</f>
        <v>0</v>
      </c>
      <c r="AK736" s="1420">
        <f>IF(OR($L736=AK$627,$L736="",$D736=$AL$626),MAX(AK$629:AK735)+1,0)</f>
        <v>0</v>
      </c>
      <c r="AL736" s="1421">
        <f>IF(OR($L736=AL$627,$L736="",$D736=$AL$626),MAX(AL$629:AL735)+1,0)</f>
        <v>83</v>
      </c>
      <c r="AM736" s="5701"/>
      <c r="AN736" s="961" t="str">
        <f t="shared" si="136"/>
        <v/>
      </c>
      <c r="AO736" s="87" t="str">
        <f t="shared" si="137"/>
        <v/>
      </c>
      <c r="AP736" s="87" t="str">
        <f t="shared" si="138"/>
        <v/>
      </c>
      <c r="AQ736" s="1419">
        <f>IF(OR($L736=AQ$627,$L736="",$D736=$AS$626),MAX(AQ$629:AQ735)+1,0)</f>
        <v>0</v>
      </c>
      <c r="AR736" s="1420">
        <f>IF(OR($L736=AR$627,$L736="",$D736=$AS$626),MAX(AR$629:AR735)+1,0)</f>
        <v>0</v>
      </c>
      <c r="AS736" s="1421">
        <f>IF(OR($L736=AS$627,$L736="",$D736=$AS$626),MAX(AS$629:AS735)+1,0)</f>
        <v>83</v>
      </c>
      <c r="AT736" s="5701"/>
      <c r="AU736" s="961" t="str">
        <f t="shared" si="139"/>
        <v/>
      </c>
      <c r="AV736" s="87" t="str">
        <f t="shared" si="140"/>
        <v/>
      </c>
      <c r="AW736" s="87" t="str">
        <f t="shared" si="141"/>
        <v/>
      </c>
      <c r="AX736" s="1419">
        <f>IF(OR($L736=AX$627,$L736="",$D736=$AZ$626),MAX(AX$629:AX735)+1,0)</f>
        <v>0</v>
      </c>
      <c r="AY736" s="1420">
        <f>IF(OR($L736=AY$627,$L736="",$D736=$AZ$626),MAX(AY$629:AY735)+1,0)</f>
        <v>0</v>
      </c>
      <c r="AZ736" s="1421">
        <f>IF(OR($L736=AZ$627,$L736="",$D736=$AZ$626),MAX(AZ$629:AZ735)+1,0)</f>
        <v>83</v>
      </c>
      <c r="BA736" s="5701"/>
      <c r="BB736" s="961" t="str">
        <f t="shared" si="142"/>
        <v/>
      </c>
      <c r="BC736" s="87" t="str">
        <f t="shared" si="143"/>
        <v/>
      </c>
      <c r="BD736" s="87" t="str">
        <f t="shared" si="144"/>
        <v/>
      </c>
      <c r="BE736" s="1419">
        <f>IF(OR($L736=BE$627,$L736="",$D736=$BG$626),MAX(BE$629:BE735)+1,0)</f>
        <v>0</v>
      </c>
      <c r="BF736" s="1420">
        <f>IF(OR($L736=BF$627,$L736="",$D736=$BG$626),MAX(BF$629:BF735)+1,0)</f>
        <v>0</v>
      </c>
      <c r="BG736" s="1421">
        <f>IF(OR($L736=BG$627,$L736="",$D736=$BG$626),MAX(BG$629:BG735)+1,0)</f>
        <v>83</v>
      </c>
      <c r="BH736" s="5701"/>
      <c r="BI736" s="961" t="str">
        <f t="shared" si="145"/>
        <v/>
      </c>
      <c r="BJ736" s="87" t="str">
        <f t="shared" si="146"/>
        <v/>
      </c>
      <c r="BK736" s="87" t="str">
        <f t="shared" si="147"/>
        <v/>
      </c>
      <c r="BL736" s="1419">
        <f>IF(OR($L736=BL$627,$L736="",$D736=$BN$626),MAX(BL$629:BL735)+1,0)</f>
        <v>0</v>
      </c>
      <c r="BM736" s="1420">
        <f>IF(OR($L736=BM$627,$L736="",$D736=$BN$626),MAX(BM$629:BM735)+1,0)</f>
        <v>0</v>
      </c>
      <c r="BN736" s="1421">
        <f>IF(OR($L736=BN$627,$L736="",$D736=$BN$626),MAX(BN$629:BN735)+1,0)</f>
        <v>83</v>
      </c>
      <c r="BO736" s="5701"/>
      <c r="BP736" s="961" t="str">
        <f t="shared" si="148"/>
        <v/>
      </c>
      <c r="BQ736" s="87" t="str">
        <f t="shared" si="149"/>
        <v/>
      </c>
      <c r="BR736" s="87" t="str">
        <f t="shared" si="150"/>
        <v/>
      </c>
      <c r="BS736" s="1419">
        <f>IF(OR($L736=BS$627,$L736="",$D736=$BU$626),MAX(BS$629:BS735)+1,0)</f>
        <v>0</v>
      </c>
      <c r="BT736" s="1420">
        <f>IF(OR($L736=BT$627,$L736="",$D736=$BU$626),MAX(BT$629:BT735)+1,0)</f>
        <v>0</v>
      </c>
      <c r="BU736" s="1421">
        <f>IF(OR($L736=BU$627,$L736="",$D736=$BU$626),MAX(BU$629:BU735)+1,0)</f>
        <v>83</v>
      </c>
    </row>
    <row r="737" spans="1:73" ht="12.75" customHeight="1" x14ac:dyDescent="0.2">
      <c r="A737" s="242">
        <v>737</v>
      </c>
      <c r="B737" s="5664"/>
      <c r="C737" s="1288"/>
      <c r="D737" s="1289" t="s">
        <v>7273</v>
      </c>
      <c r="E737" s="1295">
        <v>25</v>
      </c>
      <c r="F737" s="1287">
        <v>10</v>
      </c>
      <c r="G737" s="1287">
        <v>4</v>
      </c>
      <c r="H737" s="1287">
        <v>4</v>
      </c>
      <c r="I737" s="1287" t="s">
        <v>1561</v>
      </c>
      <c r="J737" s="1287" t="s">
        <v>1464</v>
      </c>
      <c r="K737" s="1281" t="s">
        <v>7536</v>
      </c>
      <c r="L737" s="1287" t="str">
        <f t="shared" si="151"/>
        <v>Distinta</v>
      </c>
      <c r="M737" s="1296">
        <v>9</v>
      </c>
      <c r="N737" s="1296">
        <v>-3</v>
      </c>
      <c r="O737" s="1296">
        <v>20</v>
      </c>
      <c r="P737" s="1287"/>
      <c r="Q737" s="1287"/>
      <c r="R737" s="1287" t="s">
        <v>1464</v>
      </c>
      <c r="S737" s="1287" t="s">
        <v>1464</v>
      </c>
      <c r="T737" s="1287" t="s">
        <v>1464</v>
      </c>
      <c r="U737" s="1287"/>
      <c r="V737" s="1281" t="s">
        <v>7288</v>
      </c>
      <c r="W737" s="1281"/>
      <c r="X737" s="1282" t="str">
        <f t="shared" si="131"/>
        <v>Pequeña</v>
      </c>
      <c r="Z737" s="1418" t="str">
        <f t="shared" si="152"/>
        <v/>
      </c>
      <c r="AB737" s="629" t="s">
        <v>2278</v>
      </c>
      <c r="AC737" s="241"/>
      <c r="AD737" s="241"/>
      <c r="AE737" s="945"/>
      <c r="AG737" s="961" t="str">
        <f t="shared" si="133"/>
        <v/>
      </c>
      <c r="AH737" s="87" t="str">
        <f t="shared" si="134"/>
        <v/>
      </c>
      <c r="AI737" s="87" t="str">
        <f t="shared" si="135"/>
        <v/>
      </c>
      <c r="AJ737" s="1419">
        <f>IF(OR($L737=AJ$627,$L737="",$D737=$AL$626),MAX(AJ$629:AJ736)+1,0)</f>
        <v>0</v>
      </c>
      <c r="AK737" s="1420">
        <f>IF(OR($L737=AK$627,$L737="",$D737=$AL$626),MAX(AK$629:AK736)+1,0)</f>
        <v>0</v>
      </c>
      <c r="AL737" s="1421">
        <f>IF(OR($L737=AL$627,$L737="",$D737=$AL$626),MAX(AL$629:AL736)+1,0)</f>
        <v>84</v>
      </c>
      <c r="AM737" s="5701"/>
      <c r="AN737" s="961" t="str">
        <f t="shared" si="136"/>
        <v/>
      </c>
      <c r="AO737" s="87" t="str">
        <f t="shared" si="137"/>
        <v/>
      </c>
      <c r="AP737" s="87" t="str">
        <f t="shared" si="138"/>
        <v/>
      </c>
      <c r="AQ737" s="1419">
        <f>IF(OR($L737=AQ$627,$L737="",$D737=$AS$626),MAX(AQ$629:AQ736)+1,0)</f>
        <v>0</v>
      </c>
      <c r="AR737" s="1420">
        <f>IF(OR($L737=AR$627,$L737="",$D737=$AS$626),MAX(AR$629:AR736)+1,0)</f>
        <v>0</v>
      </c>
      <c r="AS737" s="1421">
        <f>IF(OR($L737=AS$627,$L737="",$D737=$AS$626),MAX(AS$629:AS736)+1,0)</f>
        <v>84</v>
      </c>
      <c r="AT737" s="5701"/>
      <c r="AU737" s="961" t="str">
        <f t="shared" si="139"/>
        <v/>
      </c>
      <c r="AV737" s="87" t="str">
        <f t="shared" si="140"/>
        <v/>
      </c>
      <c r="AW737" s="87" t="str">
        <f t="shared" si="141"/>
        <v/>
      </c>
      <c r="AX737" s="1419">
        <f>IF(OR($L737=AX$627,$L737="",$D737=$AZ$626),MAX(AX$629:AX736)+1,0)</f>
        <v>0</v>
      </c>
      <c r="AY737" s="1420">
        <f>IF(OR($L737=AY$627,$L737="",$D737=$AZ$626),MAX(AY$629:AY736)+1,0)</f>
        <v>0</v>
      </c>
      <c r="AZ737" s="1421">
        <f>IF(OR($L737=AZ$627,$L737="",$D737=$AZ$626),MAX(AZ$629:AZ736)+1,0)</f>
        <v>84</v>
      </c>
      <c r="BA737" s="5701"/>
      <c r="BB737" s="961" t="str">
        <f t="shared" si="142"/>
        <v/>
      </c>
      <c r="BC737" s="87" t="str">
        <f t="shared" si="143"/>
        <v/>
      </c>
      <c r="BD737" s="87" t="str">
        <f t="shared" si="144"/>
        <v/>
      </c>
      <c r="BE737" s="1419">
        <f>IF(OR($L737=BE$627,$L737="",$D737=$BG$626),MAX(BE$629:BE736)+1,0)</f>
        <v>0</v>
      </c>
      <c r="BF737" s="1420">
        <f>IF(OR($L737=BF$627,$L737="",$D737=$BG$626),MAX(BF$629:BF736)+1,0)</f>
        <v>0</v>
      </c>
      <c r="BG737" s="1421">
        <f>IF(OR($L737=BG$627,$L737="",$D737=$BG$626),MAX(BG$629:BG736)+1,0)</f>
        <v>84</v>
      </c>
      <c r="BH737" s="5701"/>
      <c r="BI737" s="961" t="str">
        <f t="shared" si="145"/>
        <v/>
      </c>
      <c r="BJ737" s="87" t="str">
        <f t="shared" si="146"/>
        <v/>
      </c>
      <c r="BK737" s="87" t="str">
        <f t="shared" si="147"/>
        <v/>
      </c>
      <c r="BL737" s="1419">
        <f>IF(OR($L737=BL$627,$L737="",$D737=$BN$626),MAX(BL$629:BL736)+1,0)</f>
        <v>0</v>
      </c>
      <c r="BM737" s="1420">
        <f>IF(OR($L737=BM$627,$L737="",$D737=$BN$626),MAX(BM$629:BM736)+1,0)</f>
        <v>0</v>
      </c>
      <c r="BN737" s="1421">
        <f>IF(OR($L737=BN$627,$L737="",$D737=$BN$626),MAX(BN$629:BN736)+1,0)</f>
        <v>84</v>
      </c>
      <c r="BO737" s="5701"/>
      <c r="BP737" s="961" t="str">
        <f t="shared" si="148"/>
        <v/>
      </c>
      <c r="BQ737" s="87" t="str">
        <f t="shared" si="149"/>
        <v/>
      </c>
      <c r="BR737" s="87" t="str">
        <f t="shared" si="150"/>
        <v/>
      </c>
      <c r="BS737" s="1419">
        <f>IF(OR($L737=BS$627,$L737="",$D737=$BU$626),MAX(BS$629:BS736)+1,0)</f>
        <v>0</v>
      </c>
      <c r="BT737" s="1420">
        <f>IF(OR($L737=BT$627,$L737="",$D737=$BU$626),MAX(BT$629:BT736)+1,0)</f>
        <v>0</v>
      </c>
      <c r="BU737" s="1421">
        <f>IF(OR($L737=BU$627,$L737="",$D737=$BU$626),MAX(BU$629:BU736)+1,0)</f>
        <v>84</v>
      </c>
    </row>
    <row r="738" spans="1:73" ht="12.75" customHeight="1" x14ac:dyDescent="0.2">
      <c r="A738" s="242">
        <v>738</v>
      </c>
      <c r="B738" s="5664"/>
      <c r="C738" s="1288"/>
      <c r="D738" s="1289" t="s">
        <v>7250</v>
      </c>
      <c r="E738" s="1295">
        <v>40</v>
      </c>
      <c r="F738" s="1287">
        <v>-5</v>
      </c>
      <c r="G738" s="1287">
        <v>6</v>
      </c>
      <c r="H738" s="1287">
        <v>6</v>
      </c>
      <c r="I738" s="1287" t="s">
        <v>1560</v>
      </c>
      <c r="J738" s="1287" t="s">
        <v>1464</v>
      </c>
      <c r="K738" s="1281" t="s">
        <v>7519</v>
      </c>
      <c r="L738" s="1287" t="str">
        <f t="shared" si="151"/>
        <v>Similar</v>
      </c>
      <c r="M738" s="1296">
        <v>13</v>
      </c>
      <c r="N738" s="1296">
        <v>3</v>
      </c>
      <c r="O738" s="1296">
        <v>25</v>
      </c>
      <c r="P738" s="1287"/>
      <c r="Q738" s="1287"/>
      <c r="R738" s="1287" t="s">
        <v>1464</v>
      </c>
      <c r="S738" s="1287" t="s">
        <v>1464</v>
      </c>
      <c r="T738" s="1287" t="s">
        <v>1464</v>
      </c>
      <c r="U738" s="1287"/>
      <c r="V738" s="1281" t="s">
        <v>7289</v>
      </c>
      <c r="W738" s="1281"/>
      <c r="X738" s="1282" t="str">
        <f t="shared" si="131"/>
        <v>Grande</v>
      </c>
      <c r="Z738" s="1418" t="str">
        <f t="shared" si="152"/>
        <v/>
      </c>
      <c r="AB738" s="961" t="s">
        <v>2284</v>
      </c>
      <c r="AC738" s="241"/>
      <c r="AD738" s="241"/>
      <c r="AE738" s="945"/>
      <c r="AG738" s="961" t="str">
        <f t="shared" si="133"/>
        <v/>
      </c>
      <c r="AH738" s="87" t="str">
        <f t="shared" si="134"/>
        <v/>
      </c>
      <c r="AI738" s="87" t="str">
        <f t="shared" si="135"/>
        <v/>
      </c>
      <c r="AJ738" s="1419">
        <f>IF(OR($L738=AJ$627,$L738="",$D738=$AL$626),MAX(AJ$629:AJ737)+1,0)</f>
        <v>20</v>
      </c>
      <c r="AK738" s="1420">
        <f>IF(OR($L738=AK$627,$L738="",$D738=$AL$626),MAX(AK$629:AK737)+1,0)</f>
        <v>0</v>
      </c>
      <c r="AL738" s="1421">
        <f>IF(OR($L738=AL$627,$L738="",$D738=$AL$626),MAX(AL$629:AL737)+1,0)</f>
        <v>0</v>
      </c>
      <c r="AM738" s="5701"/>
      <c r="AN738" s="961" t="str">
        <f t="shared" si="136"/>
        <v/>
      </c>
      <c r="AO738" s="87" t="str">
        <f t="shared" si="137"/>
        <v/>
      </c>
      <c r="AP738" s="87" t="str">
        <f t="shared" si="138"/>
        <v/>
      </c>
      <c r="AQ738" s="1419">
        <f>IF(OR($L738=AQ$627,$L738="",$D738=$AS$626),MAX(AQ$629:AQ737)+1,0)</f>
        <v>20</v>
      </c>
      <c r="AR738" s="1420">
        <f>IF(OR($L738=AR$627,$L738="",$D738=$AS$626),MAX(AR$629:AR737)+1,0)</f>
        <v>0</v>
      </c>
      <c r="AS738" s="1421">
        <f>IF(OR($L738=AS$627,$L738="",$D738=$AS$626),MAX(AS$629:AS737)+1,0)</f>
        <v>0</v>
      </c>
      <c r="AT738" s="5701"/>
      <c r="AU738" s="961" t="str">
        <f t="shared" si="139"/>
        <v/>
      </c>
      <c r="AV738" s="87" t="str">
        <f t="shared" si="140"/>
        <v/>
      </c>
      <c r="AW738" s="87" t="str">
        <f t="shared" si="141"/>
        <v/>
      </c>
      <c r="AX738" s="1419">
        <f>IF(OR($L738=AX$627,$L738="",$D738=$AZ$626),MAX(AX$629:AX737)+1,0)</f>
        <v>20</v>
      </c>
      <c r="AY738" s="1420">
        <f>IF(OR($L738=AY$627,$L738="",$D738=$AZ$626),MAX(AY$629:AY737)+1,0)</f>
        <v>0</v>
      </c>
      <c r="AZ738" s="1421">
        <f>IF(OR($L738=AZ$627,$L738="",$D738=$AZ$626),MAX(AZ$629:AZ737)+1,0)</f>
        <v>0</v>
      </c>
      <c r="BA738" s="5701"/>
      <c r="BB738" s="961" t="str">
        <f t="shared" si="142"/>
        <v/>
      </c>
      <c r="BC738" s="87" t="str">
        <f t="shared" si="143"/>
        <v/>
      </c>
      <c r="BD738" s="87" t="str">
        <f t="shared" si="144"/>
        <v/>
      </c>
      <c r="BE738" s="1419">
        <f>IF(OR($L738=BE$627,$L738="",$D738=$BG$626),MAX(BE$629:BE737)+1,0)</f>
        <v>20</v>
      </c>
      <c r="BF738" s="1420">
        <f>IF(OR($L738=BF$627,$L738="",$D738=$BG$626),MAX(BF$629:BF737)+1,0)</f>
        <v>0</v>
      </c>
      <c r="BG738" s="1421">
        <f>IF(OR($L738=BG$627,$L738="",$D738=$BG$626),MAX(BG$629:BG737)+1,0)</f>
        <v>0</v>
      </c>
      <c r="BH738" s="5701"/>
      <c r="BI738" s="961" t="str">
        <f t="shared" si="145"/>
        <v/>
      </c>
      <c r="BJ738" s="87" t="str">
        <f t="shared" si="146"/>
        <v/>
      </c>
      <c r="BK738" s="87" t="str">
        <f t="shared" si="147"/>
        <v/>
      </c>
      <c r="BL738" s="1419">
        <f>IF(OR($L738=BL$627,$L738="",$D738=$BN$626),MAX(BL$629:BL737)+1,0)</f>
        <v>20</v>
      </c>
      <c r="BM738" s="1420">
        <f>IF(OR($L738=BM$627,$L738="",$D738=$BN$626),MAX(BM$629:BM737)+1,0)</f>
        <v>0</v>
      </c>
      <c r="BN738" s="1421">
        <f>IF(OR($L738=BN$627,$L738="",$D738=$BN$626),MAX(BN$629:BN737)+1,0)</f>
        <v>0</v>
      </c>
      <c r="BO738" s="5701"/>
      <c r="BP738" s="961" t="str">
        <f t="shared" si="148"/>
        <v/>
      </c>
      <c r="BQ738" s="87" t="str">
        <f t="shared" si="149"/>
        <v/>
      </c>
      <c r="BR738" s="87" t="str">
        <f t="shared" si="150"/>
        <v/>
      </c>
      <c r="BS738" s="1419">
        <f>IF(OR($L738=BS$627,$L738="",$D738=$BU$626),MAX(BS$629:BS737)+1,0)</f>
        <v>20</v>
      </c>
      <c r="BT738" s="1420">
        <f>IF(OR($L738=BT$627,$L738="",$D738=$BU$626),MAX(BT$629:BT737)+1,0)</f>
        <v>0</v>
      </c>
      <c r="BU738" s="1421">
        <f>IF(OR($L738=BU$627,$L738="",$D738=$BU$626),MAX(BU$629:BU737)+1,0)</f>
        <v>0</v>
      </c>
    </row>
    <row r="739" spans="1:73" ht="12.75" customHeight="1" x14ac:dyDescent="0.2">
      <c r="A739" s="242">
        <v>739</v>
      </c>
      <c r="B739" s="5664"/>
      <c r="C739" s="1288"/>
      <c r="D739" s="1289" t="s">
        <v>7251</v>
      </c>
      <c r="E739" s="1295">
        <v>40</v>
      </c>
      <c r="F739" s="1287">
        <v>10</v>
      </c>
      <c r="G739" s="1287">
        <v>6</v>
      </c>
      <c r="H739" s="1287">
        <v>6</v>
      </c>
      <c r="I739" s="1287" t="s">
        <v>1560</v>
      </c>
      <c r="J739" s="1287" t="s">
        <v>1464</v>
      </c>
      <c r="K739" s="1281" t="s">
        <v>7519</v>
      </c>
      <c r="L739" s="1287" t="str">
        <f t="shared" si="151"/>
        <v>Similar</v>
      </c>
      <c r="M739" s="1296">
        <v>12</v>
      </c>
      <c r="N739" s="1296">
        <v>2</v>
      </c>
      <c r="O739" s="1296">
        <v>20</v>
      </c>
      <c r="P739" s="1287"/>
      <c r="Q739" s="1287"/>
      <c r="R739" s="1287" t="s">
        <v>1464</v>
      </c>
      <c r="S739" s="1287" t="s">
        <v>1464</v>
      </c>
      <c r="T739" s="1287" t="s">
        <v>1464</v>
      </c>
      <c r="U739" s="1287"/>
      <c r="V739" s="1281" t="s">
        <v>7290</v>
      </c>
      <c r="W739" s="1281"/>
      <c r="X739" s="1282" t="str">
        <f t="shared" si="131"/>
        <v>Grande</v>
      </c>
      <c r="Z739" s="1418" t="str">
        <f t="shared" si="152"/>
        <v/>
      </c>
      <c r="AB739" s="629" t="s">
        <v>2281</v>
      </c>
      <c r="AC739" s="241"/>
      <c r="AD739" s="241"/>
      <c r="AE739" s="945"/>
      <c r="AG739" s="961" t="str">
        <f t="shared" si="133"/>
        <v/>
      </c>
      <c r="AH739" s="87" t="str">
        <f t="shared" si="134"/>
        <v/>
      </c>
      <c r="AI739" s="87" t="str">
        <f t="shared" si="135"/>
        <v/>
      </c>
      <c r="AJ739" s="1419">
        <f>IF(OR($L739=AJ$627,$L739="",$D739=$AL$626),MAX(AJ$629:AJ738)+1,0)</f>
        <v>21</v>
      </c>
      <c r="AK739" s="1420">
        <f>IF(OR($L739=AK$627,$L739="",$D739=$AL$626),MAX(AK$629:AK738)+1,0)</f>
        <v>0</v>
      </c>
      <c r="AL739" s="1421">
        <f>IF(OR($L739=AL$627,$L739="",$D739=$AL$626),MAX(AL$629:AL738)+1,0)</f>
        <v>0</v>
      </c>
      <c r="AM739" s="5701"/>
      <c r="AN739" s="961" t="str">
        <f t="shared" si="136"/>
        <v/>
      </c>
      <c r="AO739" s="87" t="str">
        <f t="shared" si="137"/>
        <v/>
      </c>
      <c r="AP739" s="87" t="str">
        <f t="shared" si="138"/>
        <v/>
      </c>
      <c r="AQ739" s="1419">
        <f>IF(OR($L739=AQ$627,$L739="",$D739=$AS$626),MAX(AQ$629:AQ738)+1,0)</f>
        <v>21</v>
      </c>
      <c r="AR739" s="1420">
        <f>IF(OR($L739=AR$627,$L739="",$D739=$AS$626),MAX(AR$629:AR738)+1,0)</f>
        <v>0</v>
      </c>
      <c r="AS739" s="1421">
        <f>IF(OR($L739=AS$627,$L739="",$D739=$AS$626),MAX(AS$629:AS738)+1,0)</f>
        <v>0</v>
      </c>
      <c r="AT739" s="5701"/>
      <c r="AU739" s="961" t="str">
        <f t="shared" si="139"/>
        <v/>
      </c>
      <c r="AV739" s="87" t="str">
        <f t="shared" si="140"/>
        <v/>
      </c>
      <c r="AW739" s="87" t="str">
        <f t="shared" si="141"/>
        <v/>
      </c>
      <c r="AX739" s="1419">
        <f>IF(OR($L739=AX$627,$L739="",$D739=$AZ$626),MAX(AX$629:AX738)+1,0)</f>
        <v>21</v>
      </c>
      <c r="AY739" s="1420">
        <f>IF(OR($L739=AY$627,$L739="",$D739=$AZ$626),MAX(AY$629:AY738)+1,0)</f>
        <v>0</v>
      </c>
      <c r="AZ739" s="1421">
        <f>IF(OR($L739=AZ$627,$L739="",$D739=$AZ$626),MAX(AZ$629:AZ738)+1,0)</f>
        <v>0</v>
      </c>
      <c r="BA739" s="5701"/>
      <c r="BB739" s="961" t="str">
        <f t="shared" si="142"/>
        <v/>
      </c>
      <c r="BC739" s="87" t="str">
        <f t="shared" si="143"/>
        <v/>
      </c>
      <c r="BD739" s="87" t="str">
        <f t="shared" si="144"/>
        <v/>
      </c>
      <c r="BE739" s="1419">
        <f>IF(OR($L739=BE$627,$L739="",$D739=$BG$626),MAX(BE$629:BE738)+1,0)</f>
        <v>21</v>
      </c>
      <c r="BF739" s="1420">
        <f>IF(OR($L739=BF$627,$L739="",$D739=$BG$626),MAX(BF$629:BF738)+1,0)</f>
        <v>0</v>
      </c>
      <c r="BG739" s="1421">
        <f>IF(OR($L739=BG$627,$L739="",$D739=$BG$626),MAX(BG$629:BG738)+1,0)</f>
        <v>0</v>
      </c>
      <c r="BH739" s="5701"/>
      <c r="BI739" s="961" t="str">
        <f t="shared" si="145"/>
        <v/>
      </c>
      <c r="BJ739" s="87" t="str">
        <f t="shared" si="146"/>
        <v/>
      </c>
      <c r="BK739" s="87" t="str">
        <f t="shared" si="147"/>
        <v/>
      </c>
      <c r="BL739" s="1419">
        <f>IF(OR($L739=BL$627,$L739="",$D739=$BN$626),MAX(BL$629:BL738)+1,0)</f>
        <v>21</v>
      </c>
      <c r="BM739" s="1420">
        <f>IF(OR($L739=BM$627,$L739="",$D739=$BN$626),MAX(BM$629:BM738)+1,0)</f>
        <v>0</v>
      </c>
      <c r="BN739" s="1421">
        <f>IF(OR($L739=BN$627,$L739="",$D739=$BN$626),MAX(BN$629:BN738)+1,0)</f>
        <v>0</v>
      </c>
      <c r="BO739" s="5701"/>
      <c r="BP739" s="961" t="str">
        <f t="shared" si="148"/>
        <v/>
      </c>
      <c r="BQ739" s="87" t="str">
        <f t="shared" si="149"/>
        <v/>
      </c>
      <c r="BR739" s="87" t="str">
        <f t="shared" si="150"/>
        <v/>
      </c>
      <c r="BS739" s="1419">
        <f>IF(OR($L739=BS$627,$L739="",$D739=$BU$626),MAX(BS$629:BS738)+1,0)</f>
        <v>21</v>
      </c>
      <c r="BT739" s="1420">
        <f>IF(OR($L739=BT$627,$L739="",$D739=$BU$626),MAX(BT$629:BT738)+1,0)</f>
        <v>0</v>
      </c>
      <c r="BU739" s="1421">
        <f>IF(OR($L739=BU$627,$L739="",$D739=$BU$626),MAX(BU$629:BU738)+1,0)</f>
        <v>0</v>
      </c>
    </row>
    <row r="740" spans="1:73" ht="12.75" customHeight="1" x14ac:dyDescent="0.2">
      <c r="A740" s="242">
        <v>740</v>
      </c>
      <c r="B740" s="5664"/>
      <c r="C740" s="1288"/>
      <c r="D740" s="1289" t="s">
        <v>7252</v>
      </c>
      <c r="E740" s="1295">
        <v>55</v>
      </c>
      <c r="F740" s="1287">
        <v>-10</v>
      </c>
      <c r="G740" s="1287">
        <v>8</v>
      </c>
      <c r="H740" s="1287">
        <v>6</v>
      </c>
      <c r="I740" s="1287" t="s">
        <v>1560</v>
      </c>
      <c r="J740" s="1287" t="s">
        <v>1561</v>
      </c>
      <c r="K740" s="1281" t="s">
        <v>7519</v>
      </c>
      <c r="L740" s="1287" t="str">
        <f t="shared" si="151"/>
        <v>Similar</v>
      </c>
      <c r="M740" s="1296">
        <v>13</v>
      </c>
      <c r="N740" s="1296">
        <v>3</v>
      </c>
      <c r="O740" s="1296">
        <v>25</v>
      </c>
      <c r="P740" s="1287"/>
      <c r="Q740" s="1287"/>
      <c r="R740" s="1287" t="s">
        <v>1464</v>
      </c>
      <c r="S740" s="1287" t="s">
        <v>1464</v>
      </c>
      <c r="T740" s="1287" t="s">
        <v>1464</v>
      </c>
      <c r="U740" s="1287"/>
      <c r="V740" s="1281" t="s">
        <v>2164</v>
      </c>
      <c r="W740" s="1281"/>
      <c r="X740" s="1282" t="str">
        <f t="shared" si="131"/>
        <v>Grande</v>
      </c>
      <c r="Z740" s="1418" t="str">
        <f t="shared" si="152"/>
        <v/>
      </c>
      <c r="AB740" s="629" t="s">
        <v>7334</v>
      </c>
      <c r="AC740" s="241"/>
      <c r="AD740" s="241"/>
      <c r="AE740" s="945"/>
      <c r="AG740" s="961" t="str">
        <f t="shared" si="133"/>
        <v/>
      </c>
      <c r="AH740" s="87" t="str">
        <f t="shared" si="134"/>
        <v/>
      </c>
      <c r="AI740" s="87" t="str">
        <f t="shared" si="135"/>
        <v/>
      </c>
      <c r="AJ740" s="1419">
        <f>IF(OR($L740=AJ$627,$L740="",$D740=$AL$626),MAX(AJ$629:AJ739)+1,0)</f>
        <v>22</v>
      </c>
      <c r="AK740" s="1420">
        <f>IF(OR($L740=AK$627,$L740="",$D740=$AL$626),MAX(AK$629:AK739)+1,0)</f>
        <v>0</v>
      </c>
      <c r="AL740" s="1421">
        <f>IF(OR($L740=AL$627,$L740="",$D740=$AL$626),MAX(AL$629:AL739)+1,0)</f>
        <v>0</v>
      </c>
      <c r="AM740" s="5701"/>
      <c r="AN740" s="961" t="str">
        <f t="shared" si="136"/>
        <v/>
      </c>
      <c r="AO740" s="87" t="str">
        <f t="shared" si="137"/>
        <v/>
      </c>
      <c r="AP740" s="87" t="str">
        <f t="shared" si="138"/>
        <v/>
      </c>
      <c r="AQ740" s="1419">
        <f>IF(OR($L740=AQ$627,$L740="",$D740=$AS$626),MAX(AQ$629:AQ739)+1,0)</f>
        <v>22</v>
      </c>
      <c r="AR740" s="1420">
        <f>IF(OR($L740=AR$627,$L740="",$D740=$AS$626),MAX(AR$629:AR739)+1,0)</f>
        <v>0</v>
      </c>
      <c r="AS740" s="1421">
        <f>IF(OR($L740=AS$627,$L740="",$D740=$AS$626),MAX(AS$629:AS739)+1,0)</f>
        <v>0</v>
      </c>
      <c r="AT740" s="5701"/>
      <c r="AU740" s="961" t="str">
        <f t="shared" si="139"/>
        <v/>
      </c>
      <c r="AV740" s="87" t="str">
        <f t="shared" si="140"/>
        <v/>
      </c>
      <c r="AW740" s="87" t="str">
        <f t="shared" si="141"/>
        <v/>
      </c>
      <c r="AX740" s="1419">
        <f>IF(OR($L740=AX$627,$L740="",$D740=$AZ$626),MAX(AX$629:AX739)+1,0)</f>
        <v>22</v>
      </c>
      <c r="AY740" s="1420">
        <f>IF(OR($L740=AY$627,$L740="",$D740=$AZ$626),MAX(AY$629:AY739)+1,0)</f>
        <v>0</v>
      </c>
      <c r="AZ740" s="1421">
        <f>IF(OR($L740=AZ$627,$L740="",$D740=$AZ$626),MAX(AZ$629:AZ739)+1,0)</f>
        <v>0</v>
      </c>
      <c r="BA740" s="5701"/>
      <c r="BB740" s="961" t="str">
        <f t="shared" si="142"/>
        <v/>
      </c>
      <c r="BC740" s="87" t="str">
        <f t="shared" si="143"/>
        <v/>
      </c>
      <c r="BD740" s="87" t="str">
        <f t="shared" si="144"/>
        <v/>
      </c>
      <c r="BE740" s="1419">
        <f>IF(OR($L740=BE$627,$L740="",$D740=$BG$626),MAX(BE$629:BE739)+1,0)</f>
        <v>22</v>
      </c>
      <c r="BF740" s="1420">
        <f>IF(OR($L740=BF$627,$L740="",$D740=$BG$626),MAX(BF$629:BF739)+1,0)</f>
        <v>0</v>
      </c>
      <c r="BG740" s="1421">
        <f>IF(OR($L740=BG$627,$L740="",$D740=$BG$626),MAX(BG$629:BG739)+1,0)</f>
        <v>0</v>
      </c>
      <c r="BH740" s="5701"/>
      <c r="BI740" s="961" t="str">
        <f t="shared" si="145"/>
        <v/>
      </c>
      <c r="BJ740" s="87" t="str">
        <f t="shared" si="146"/>
        <v/>
      </c>
      <c r="BK740" s="87" t="str">
        <f t="shared" si="147"/>
        <v/>
      </c>
      <c r="BL740" s="1419">
        <f>IF(OR($L740=BL$627,$L740="",$D740=$BN$626),MAX(BL$629:BL739)+1,0)</f>
        <v>22</v>
      </c>
      <c r="BM740" s="1420">
        <f>IF(OR($L740=BM$627,$L740="",$D740=$BN$626),MAX(BM$629:BM739)+1,0)</f>
        <v>0</v>
      </c>
      <c r="BN740" s="1421">
        <f>IF(OR($L740=BN$627,$L740="",$D740=$BN$626),MAX(BN$629:BN739)+1,0)</f>
        <v>0</v>
      </c>
      <c r="BO740" s="5701"/>
      <c r="BP740" s="961" t="str">
        <f t="shared" si="148"/>
        <v/>
      </c>
      <c r="BQ740" s="87" t="str">
        <f t="shared" si="149"/>
        <v/>
      </c>
      <c r="BR740" s="87" t="str">
        <f t="shared" si="150"/>
        <v/>
      </c>
      <c r="BS740" s="1419">
        <f>IF(OR($L740=BS$627,$L740="",$D740=$BU$626),MAX(BS$629:BS739)+1,0)</f>
        <v>22</v>
      </c>
      <c r="BT740" s="1420">
        <f>IF(OR($L740=BT$627,$L740="",$D740=$BU$626),MAX(BT$629:BT739)+1,0)</f>
        <v>0</v>
      </c>
      <c r="BU740" s="1421">
        <f>IF(OR($L740=BU$627,$L740="",$D740=$BU$626),MAX(BU$629:BU739)+1,0)</f>
        <v>0</v>
      </c>
    </row>
    <row r="741" spans="1:73" ht="12.75" customHeight="1" x14ac:dyDescent="0.2">
      <c r="A741" s="242">
        <v>741</v>
      </c>
      <c r="B741" s="5664"/>
      <c r="C741" s="1288"/>
      <c r="D741" s="1289" t="s">
        <v>7274</v>
      </c>
      <c r="E741" s="1295">
        <v>45</v>
      </c>
      <c r="F741" s="1287">
        <v>10</v>
      </c>
      <c r="G741" s="1287">
        <v>4</v>
      </c>
      <c r="H741" s="1287">
        <v>4</v>
      </c>
      <c r="I741" s="1287" t="s">
        <v>1560</v>
      </c>
      <c r="J741" s="1287" t="s">
        <v>1561</v>
      </c>
      <c r="K741" s="1281" t="s">
        <v>7522</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7335</v>
      </c>
      <c r="AC741" s="241"/>
      <c r="AD741" s="241"/>
      <c r="AE741" s="945"/>
      <c r="AG741" s="961" t="str">
        <f t="shared" si="133"/>
        <v/>
      </c>
      <c r="AH741" s="87" t="str">
        <f t="shared" si="134"/>
        <v/>
      </c>
      <c r="AI741" s="87" t="str">
        <f t="shared" si="135"/>
        <v/>
      </c>
      <c r="AJ741" s="1419">
        <f>IF(OR($L741=AJ$627,$L741="",$D741=$AL$626),MAX(AJ$629:AJ740)+1,0)</f>
        <v>0</v>
      </c>
      <c r="AK741" s="1420">
        <f>IF(OR($L741=AK$627,$L741="",$D741=$AL$626),MAX(AK$629:AK740)+1,0)</f>
        <v>0</v>
      </c>
      <c r="AL741" s="1421">
        <f>IF(OR($L741=AL$627,$L741="",$D741=$AL$626),MAX(AL$629:AL740)+1,0)</f>
        <v>85</v>
      </c>
      <c r="AM741" s="5701"/>
      <c r="AN741" s="961" t="str">
        <f t="shared" si="136"/>
        <v/>
      </c>
      <c r="AO741" s="87" t="str">
        <f t="shared" si="137"/>
        <v/>
      </c>
      <c r="AP741" s="87" t="str">
        <f t="shared" si="138"/>
        <v/>
      </c>
      <c r="AQ741" s="1419">
        <f>IF(OR($L741=AQ$627,$L741="",$D741=$AS$626),MAX(AQ$629:AQ740)+1,0)</f>
        <v>0</v>
      </c>
      <c r="AR741" s="1420">
        <f>IF(OR($L741=AR$627,$L741="",$D741=$AS$626),MAX(AR$629:AR740)+1,0)</f>
        <v>0</v>
      </c>
      <c r="AS741" s="1421">
        <f>IF(OR($L741=AS$627,$L741="",$D741=$AS$626),MAX(AS$629:AS740)+1,0)</f>
        <v>85</v>
      </c>
      <c r="AT741" s="5701"/>
      <c r="AU741" s="961" t="str">
        <f t="shared" si="139"/>
        <v/>
      </c>
      <c r="AV741" s="87" t="str">
        <f t="shared" si="140"/>
        <v/>
      </c>
      <c r="AW741" s="87" t="str">
        <f t="shared" si="141"/>
        <v/>
      </c>
      <c r="AX741" s="1419">
        <f>IF(OR($L741=AX$627,$L741="",$D741=$AZ$626),MAX(AX$629:AX740)+1,0)</f>
        <v>0</v>
      </c>
      <c r="AY741" s="1420">
        <f>IF(OR($L741=AY$627,$L741="",$D741=$AZ$626),MAX(AY$629:AY740)+1,0)</f>
        <v>0</v>
      </c>
      <c r="AZ741" s="1421">
        <f>IF(OR($L741=AZ$627,$L741="",$D741=$AZ$626),MAX(AZ$629:AZ740)+1,0)</f>
        <v>85</v>
      </c>
      <c r="BA741" s="5701"/>
      <c r="BB741" s="961" t="str">
        <f t="shared" si="142"/>
        <v/>
      </c>
      <c r="BC741" s="87" t="str">
        <f t="shared" si="143"/>
        <v/>
      </c>
      <c r="BD741" s="87" t="str">
        <f t="shared" si="144"/>
        <v/>
      </c>
      <c r="BE741" s="1419">
        <f>IF(OR($L741=BE$627,$L741="",$D741=$BG$626),MAX(BE$629:BE740)+1,0)</f>
        <v>0</v>
      </c>
      <c r="BF741" s="1420">
        <f>IF(OR($L741=BF$627,$L741="",$D741=$BG$626),MAX(BF$629:BF740)+1,0)</f>
        <v>0</v>
      </c>
      <c r="BG741" s="1421">
        <f>IF(OR($L741=BG$627,$L741="",$D741=$BG$626),MAX(BG$629:BG740)+1,0)</f>
        <v>85</v>
      </c>
      <c r="BH741" s="5701"/>
      <c r="BI741" s="961" t="str">
        <f t="shared" si="145"/>
        <v/>
      </c>
      <c r="BJ741" s="87" t="str">
        <f t="shared" si="146"/>
        <v/>
      </c>
      <c r="BK741" s="87" t="str">
        <f t="shared" si="147"/>
        <v/>
      </c>
      <c r="BL741" s="1419">
        <f>IF(OR($L741=BL$627,$L741="",$D741=$BN$626),MAX(BL$629:BL740)+1,0)</f>
        <v>0</v>
      </c>
      <c r="BM741" s="1420">
        <f>IF(OR($L741=BM$627,$L741="",$D741=$BN$626),MAX(BM$629:BM740)+1,0)</f>
        <v>0</v>
      </c>
      <c r="BN741" s="1421">
        <f>IF(OR($L741=BN$627,$L741="",$D741=$BN$626),MAX(BN$629:BN740)+1,0)</f>
        <v>85</v>
      </c>
      <c r="BO741" s="5701"/>
      <c r="BP741" s="961" t="str">
        <f t="shared" si="148"/>
        <v/>
      </c>
      <c r="BQ741" s="87" t="str">
        <f t="shared" si="149"/>
        <v/>
      </c>
      <c r="BR741" s="87" t="str">
        <f t="shared" si="150"/>
        <v/>
      </c>
      <c r="BS741" s="1419">
        <f>IF(OR($L741=BS$627,$L741="",$D741=$BU$626),MAX(BS$629:BS740)+1,0)</f>
        <v>0</v>
      </c>
      <c r="BT741" s="1420">
        <f>IF(OR($L741=BT$627,$L741="",$D741=$BU$626),MAX(BT$629:BT740)+1,0)</f>
        <v>0</v>
      </c>
      <c r="BU741" s="1421">
        <f>IF(OR($L741=BU$627,$L741="",$D741=$BU$626),MAX(BU$629:BU740)+1,0)</f>
        <v>85</v>
      </c>
    </row>
    <row r="742" spans="1:73" ht="12.75" customHeight="1" x14ac:dyDescent="0.2">
      <c r="A742" s="242">
        <v>742</v>
      </c>
      <c r="B742" s="5664"/>
      <c r="C742" s="1288"/>
      <c r="D742" s="1289" t="s">
        <v>7254</v>
      </c>
      <c r="E742" s="1295">
        <v>60</v>
      </c>
      <c r="F742" s="1287">
        <v>-20</v>
      </c>
      <c r="G742" s="1287">
        <v>9</v>
      </c>
      <c r="H742" s="1287">
        <v>7</v>
      </c>
      <c r="I742" s="1287" t="s">
        <v>1560</v>
      </c>
      <c r="J742" s="1287" t="s">
        <v>1464</v>
      </c>
      <c r="K742" s="1281" t="s">
        <v>7527</v>
      </c>
      <c r="L742" s="1287" t="str">
        <f t="shared" si="151"/>
        <v>Distinta</v>
      </c>
      <c r="M742" s="1296">
        <v>16</v>
      </c>
      <c r="N742" s="1296">
        <v>7</v>
      </c>
      <c r="O742" s="1296">
        <v>30</v>
      </c>
      <c r="P742" s="1287"/>
      <c r="Q742" s="1287"/>
      <c r="R742" s="1287" t="s">
        <v>1464</v>
      </c>
      <c r="S742" s="1287" t="s">
        <v>1464</v>
      </c>
      <c r="T742" s="1287" t="s">
        <v>1464</v>
      </c>
      <c r="U742" s="1287"/>
      <c r="V742" s="1281" t="s">
        <v>2164</v>
      </c>
      <c r="W742" s="1281"/>
      <c r="X742" s="1282" t="str">
        <f t="shared" si="131"/>
        <v>Grande</v>
      </c>
      <c r="Z742" s="1418" t="str">
        <f t="shared" si="152"/>
        <v/>
      </c>
      <c r="AB742" s="629" t="s">
        <v>2269</v>
      </c>
      <c r="AC742" s="241"/>
      <c r="AD742" s="241"/>
      <c r="AE742" s="945"/>
      <c r="AG742" s="961" t="str">
        <f t="shared" si="133"/>
        <v/>
      </c>
      <c r="AH742" s="87" t="str">
        <f t="shared" si="134"/>
        <v/>
      </c>
      <c r="AI742" s="87" t="str">
        <f t="shared" si="135"/>
        <v/>
      </c>
      <c r="AJ742" s="1419">
        <f>IF(OR($L742=AJ$627,$L742="",$D742=$AL$626),MAX(AJ$629:AJ741)+1,0)</f>
        <v>0</v>
      </c>
      <c r="AK742" s="1420">
        <f>IF(OR($L742=AK$627,$L742="",$D742=$AL$626),MAX(AK$629:AK741)+1,0)</f>
        <v>0</v>
      </c>
      <c r="AL742" s="1421">
        <f>IF(OR($L742=AL$627,$L742="",$D742=$AL$626),MAX(AL$629:AL741)+1,0)</f>
        <v>86</v>
      </c>
      <c r="AM742" s="5701"/>
      <c r="AN742" s="961" t="str">
        <f t="shared" si="136"/>
        <v/>
      </c>
      <c r="AO742" s="87" t="str">
        <f t="shared" si="137"/>
        <v/>
      </c>
      <c r="AP742" s="87" t="str">
        <f t="shared" si="138"/>
        <v/>
      </c>
      <c r="AQ742" s="1419">
        <f>IF(OR($L742=AQ$627,$L742="",$D742=$AS$626),MAX(AQ$629:AQ741)+1,0)</f>
        <v>0</v>
      </c>
      <c r="AR742" s="1420">
        <f>IF(OR($L742=AR$627,$L742="",$D742=$AS$626),MAX(AR$629:AR741)+1,0)</f>
        <v>0</v>
      </c>
      <c r="AS742" s="1421">
        <f>IF(OR($L742=AS$627,$L742="",$D742=$AS$626),MAX(AS$629:AS741)+1,0)</f>
        <v>86</v>
      </c>
      <c r="AT742" s="5701"/>
      <c r="AU742" s="961" t="str">
        <f t="shared" si="139"/>
        <v/>
      </c>
      <c r="AV742" s="87" t="str">
        <f t="shared" si="140"/>
        <v/>
      </c>
      <c r="AW742" s="87" t="str">
        <f t="shared" si="141"/>
        <v/>
      </c>
      <c r="AX742" s="1419">
        <f>IF(OR($L742=AX$627,$L742="",$D742=$AZ$626),MAX(AX$629:AX741)+1,0)</f>
        <v>0</v>
      </c>
      <c r="AY742" s="1420">
        <f>IF(OR($L742=AY$627,$L742="",$D742=$AZ$626),MAX(AY$629:AY741)+1,0)</f>
        <v>0</v>
      </c>
      <c r="AZ742" s="1421">
        <f>IF(OR($L742=AZ$627,$L742="",$D742=$AZ$626),MAX(AZ$629:AZ741)+1,0)</f>
        <v>86</v>
      </c>
      <c r="BA742" s="5701"/>
      <c r="BB742" s="961" t="str">
        <f t="shared" si="142"/>
        <v/>
      </c>
      <c r="BC742" s="87" t="str">
        <f t="shared" si="143"/>
        <v/>
      </c>
      <c r="BD742" s="87" t="str">
        <f t="shared" si="144"/>
        <v/>
      </c>
      <c r="BE742" s="1419">
        <f>IF(OR($L742=BE$627,$L742="",$D742=$BG$626),MAX(BE$629:BE741)+1,0)</f>
        <v>0</v>
      </c>
      <c r="BF742" s="1420">
        <f>IF(OR($L742=BF$627,$L742="",$D742=$BG$626),MAX(BF$629:BF741)+1,0)</f>
        <v>0</v>
      </c>
      <c r="BG742" s="1421">
        <f>IF(OR($L742=BG$627,$L742="",$D742=$BG$626),MAX(BG$629:BG741)+1,0)</f>
        <v>86</v>
      </c>
      <c r="BH742" s="5701"/>
      <c r="BI742" s="961" t="str">
        <f t="shared" si="145"/>
        <v/>
      </c>
      <c r="BJ742" s="87" t="str">
        <f t="shared" si="146"/>
        <v/>
      </c>
      <c r="BK742" s="87" t="str">
        <f t="shared" si="147"/>
        <v/>
      </c>
      <c r="BL742" s="1419">
        <f>IF(OR($L742=BL$627,$L742="",$D742=$BN$626),MAX(BL$629:BL741)+1,0)</f>
        <v>0</v>
      </c>
      <c r="BM742" s="1420">
        <f>IF(OR($L742=BM$627,$L742="",$D742=$BN$626),MAX(BM$629:BM741)+1,0)</f>
        <v>0</v>
      </c>
      <c r="BN742" s="1421">
        <f>IF(OR($L742=BN$627,$L742="",$D742=$BN$626),MAX(BN$629:BN741)+1,0)</f>
        <v>86</v>
      </c>
      <c r="BO742" s="5701"/>
      <c r="BP742" s="961" t="str">
        <f t="shared" si="148"/>
        <v/>
      </c>
      <c r="BQ742" s="87" t="str">
        <f t="shared" si="149"/>
        <v/>
      </c>
      <c r="BR742" s="87" t="str">
        <f t="shared" si="150"/>
        <v/>
      </c>
      <c r="BS742" s="1419">
        <f>IF(OR($L742=BS$627,$L742="",$D742=$BU$626),MAX(BS$629:BS741)+1,0)</f>
        <v>0</v>
      </c>
      <c r="BT742" s="1420">
        <f>IF(OR($L742=BT$627,$L742="",$D742=$BU$626),MAX(BT$629:BT741)+1,0)</f>
        <v>0</v>
      </c>
      <c r="BU742" s="1421">
        <f>IF(OR($L742=BU$627,$L742="",$D742=$BU$626),MAX(BU$629:BU741)+1,0)</f>
        <v>86</v>
      </c>
    </row>
    <row r="743" spans="1:73" ht="12.75" customHeight="1" x14ac:dyDescent="0.2">
      <c r="A743" s="242">
        <v>743</v>
      </c>
      <c r="B743" s="5664"/>
      <c r="C743" s="1288"/>
      <c r="D743" s="1289" t="s">
        <v>7275</v>
      </c>
      <c r="E743" s="1295">
        <v>50</v>
      </c>
      <c r="F743" s="1287">
        <v>-10</v>
      </c>
      <c r="G743" s="1287">
        <v>6</v>
      </c>
      <c r="H743" s="1287">
        <v>6</v>
      </c>
      <c r="I743" s="1287" t="s">
        <v>1560</v>
      </c>
      <c r="J743" s="1287" t="s">
        <v>1561</v>
      </c>
      <c r="K743" s="1281" t="s">
        <v>7519</v>
      </c>
      <c r="L743" s="1287" t="str">
        <f t="shared" si="151"/>
        <v>Similar</v>
      </c>
      <c r="M743" s="1297">
        <v>10</v>
      </c>
      <c r="N743" s="1296">
        <v>2</v>
      </c>
      <c r="O743" s="1296">
        <v>25</v>
      </c>
      <c r="P743" s="1296"/>
      <c r="Q743" s="1287"/>
      <c r="R743" s="1287" t="s">
        <v>1464</v>
      </c>
      <c r="S743" s="1287" t="s">
        <v>1464</v>
      </c>
      <c r="T743" s="1287" t="s">
        <v>1464</v>
      </c>
      <c r="U743" s="1287"/>
      <c r="V743" s="1281" t="s">
        <v>2185</v>
      </c>
      <c r="W743" s="1281"/>
      <c r="X743" s="1282" t="str">
        <f t="shared" si="131"/>
        <v>Grande</v>
      </c>
      <c r="Z743" s="1418" t="str">
        <f t="shared" si="152"/>
        <v/>
      </c>
      <c r="AB743" s="629" t="s">
        <v>2277</v>
      </c>
      <c r="AC743" s="241"/>
      <c r="AD743" s="241"/>
      <c r="AE743" s="945"/>
      <c r="AG743" s="961" t="str">
        <f t="shared" si="133"/>
        <v/>
      </c>
      <c r="AH743" s="87" t="str">
        <f t="shared" si="134"/>
        <v/>
      </c>
      <c r="AI743" s="87" t="str">
        <f t="shared" si="135"/>
        <v/>
      </c>
      <c r="AJ743" s="1419">
        <f>IF(OR($L743=AJ$627,$L743="",$D743=$AL$626),MAX(AJ$629:AJ742)+1,0)</f>
        <v>23</v>
      </c>
      <c r="AK743" s="1420">
        <f>IF(OR($L743=AK$627,$L743="",$D743=$AL$626),MAX(AK$629:AK742)+1,0)</f>
        <v>0</v>
      </c>
      <c r="AL743" s="1421">
        <f>IF(OR($L743=AL$627,$L743="",$D743=$AL$626),MAX(AL$629:AL742)+1,0)</f>
        <v>0</v>
      </c>
      <c r="AM743" s="5701"/>
      <c r="AN743" s="961" t="str">
        <f t="shared" si="136"/>
        <v/>
      </c>
      <c r="AO743" s="87" t="str">
        <f t="shared" si="137"/>
        <v/>
      </c>
      <c r="AP743" s="87" t="str">
        <f t="shared" si="138"/>
        <v/>
      </c>
      <c r="AQ743" s="1419">
        <f>IF(OR($L743=AQ$627,$L743="",$D743=$AS$626),MAX(AQ$629:AQ742)+1,0)</f>
        <v>23</v>
      </c>
      <c r="AR743" s="1420">
        <f>IF(OR($L743=AR$627,$L743="",$D743=$AS$626),MAX(AR$629:AR742)+1,0)</f>
        <v>0</v>
      </c>
      <c r="AS743" s="1421">
        <f>IF(OR($L743=AS$627,$L743="",$D743=$AS$626),MAX(AS$629:AS742)+1,0)</f>
        <v>0</v>
      </c>
      <c r="AT743" s="5701"/>
      <c r="AU743" s="961" t="str">
        <f t="shared" si="139"/>
        <v/>
      </c>
      <c r="AV743" s="87" t="str">
        <f t="shared" si="140"/>
        <v/>
      </c>
      <c r="AW743" s="87" t="str">
        <f t="shared" si="141"/>
        <v/>
      </c>
      <c r="AX743" s="1419">
        <f>IF(OR($L743=AX$627,$L743="",$D743=$AZ$626),MAX(AX$629:AX742)+1,0)</f>
        <v>23</v>
      </c>
      <c r="AY743" s="1420">
        <f>IF(OR($L743=AY$627,$L743="",$D743=$AZ$626),MAX(AY$629:AY742)+1,0)</f>
        <v>0</v>
      </c>
      <c r="AZ743" s="1421">
        <f>IF(OR($L743=AZ$627,$L743="",$D743=$AZ$626),MAX(AZ$629:AZ742)+1,0)</f>
        <v>0</v>
      </c>
      <c r="BA743" s="5701"/>
      <c r="BB743" s="961" t="str">
        <f t="shared" si="142"/>
        <v/>
      </c>
      <c r="BC743" s="87" t="str">
        <f t="shared" si="143"/>
        <v/>
      </c>
      <c r="BD743" s="87" t="str">
        <f t="shared" si="144"/>
        <v/>
      </c>
      <c r="BE743" s="1419">
        <f>IF(OR($L743=BE$627,$L743="",$D743=$BG$626),MAX(BE$629:BE742)+1,0)</f>
        <v>23</v>
      </c>
      <c r="BF743" s="1420">
        <f>IF(OR($L743=BF$627,$L743="",$D743=$BG$626),MAX(BF$629:BF742)+1,0)</f>
        <v>0</v>
      </c>
      <c r="BG743" s="1421">
        <f>IF(OR($L743=BG$627,$L743="",$D743=$BG$626),MAX(BG$629:BG742)+1,0)</f>
        <v>0</v>
      </c>
      <c r="BH743" s="5701"/>
      <c r="BI743" s="961" t="str">
        <f t="shared" si="145"/>
        <v/>
      </c>
      <c r="BJ743" s="87" t="str">
        <f t="shared" si="146"/>
        <v/>
      </c>
      <c r="BK743" s="87" t="str">
        <f t="shared" si="147"/>
        <v/>
      </c>
      <c r="BL743" s="1419">
        <f>IF(OR($L743=BL$627,$L743="",$D743=$BN$626),MAX(BL$629:BL742)+1,0)</f>
        <v>23</v>
      </c>
      <c r="BM743" s="1420">
        <f>IF(OR($L743=BM$627,$L743="",$D743=$BN$626),MAX(BM$629:BM742)+1,0)</f>
        <v>0</v>
      </c>
      <c r="BN743" s="1421">
        <f>IF(OR($L743=BN$627,$L743="",$D743=$BN$626),MAX(BN$629:BN742)+1,0)</f>
        <v>0</v>
      </c>
      <c r="BO743" s="5701"/>
      <c r="BP743" s="961" t="str">
        <f t="shared" si="148"/>
        <v/>
      </c>
      <c r="BQ743" s="87" t="str">
        <f t="shared" si="149"/>
        <v/>
      </c>
      <c r="BR743" s="87" t="str">
        <f t="shared" si="150"/>
        <v/>
      </c>
      <c r="BS743" s="1419">
        <f>IF(OR($L743=BS$627,$L743="",$D743=$BU$626),MAX(BS$629:BS742)+1,0)</f>
        <v>23</v>
      </c>
      <c r="BT743" s="1420">
        <f>IF(OR($L743=BT$627,$L743="",$D743=$BU$626),MAX(BT$629:BT742)+1,0)</f>
        <v>0</v>
      </c>
      <c r="BU743" s="1421">
        <f>IF(OR($L743=BU$627,$L743="",$D743=$BU$626),MAX(BU$629:BU742)+1,0)</f>
        <v>0</v>
      </c>
    </row>
    <row r="744" spans="1:73" ht="12.75" customHeight="1" thickBot="1" x14ac:dyDescent="0.25">
      <c r="A744" s="242">
        <v>744</v>
      </c>
      <c r="B744" s="5664"/>
      <c r="C744" s="1288"/>
      <c r="D744" s="1289" t="s">
        <v>7255</v>
      </c>
      <c r="E744" s="1295">
        <v>20</v>
      </c>
      <c r="F744" s="1287">
        <v>0</v>
      </c>
      <c r="G744" s="1287">
        <v>5</v>
      </c>
      <c r="H744" s="1287">
        <v>5</v>
      </c>
      <c r="I744" s="1287" t="s">
        <v>1506</v>
      </c>
      <c r="J744" s="1287" t="s">
        <v>1464</v>
      </c>
      <c r="K744" s="1281" t="s">
        <v>7519</v>
      </c>
      <c r="L744" s="1287" t="str">
        <f t="shared" si="151"/>
        <v>Similar</v>
      </c>
      <c r="M744" s="1296">
        <v>13</v>
      </c>
      <c r="N744" s="1296">
        <v>2</v>
      </c>
      <c r="O744" s="1296">
        <v>20</v>
      </c>
      <c r="P744" s="1287"/>
      <c r="Q744" s="1287"/>
      <c r="R744" s="1287" t="s">
        <v>1464</v>
      </c>
      <c r="S744" s="1287" t="s">
        <v>1464</v>
      </c>
      <c r="T744" s="1287" t="s">
        <v>1464</v>
      </c>
      <c r="U744" s="1287"/>
      <c r="V744" s="1281" t="s">
        <v>7291</v>
      </c>
      <c r="W744" s="1281"/>
      <c r="X744" s="1282" t="str">
        <f t="shared" si="131"/>
        <v>Grande</v>
      </c>
      <c r="Z744" s="1418" t="str">
        <f t="shared" si="152"/>
        <v/>
      </c>
      <c r="AB744" s="1333" t="s">
        <v>2263</v>
      </c>
      <c r="AC744" s="1194"/>
      <c r="AD744" s="1194"/>
      <c r="AE744" s="1551"/>
      <c r="AG744" s="961" t="str">
        <f t="shared" si="133"/>
        <v/>
      </c>
      <c r="AH744" s="87" t="str">
        <f t="shared" si="134"/>
        <v/>
      </c>
      <c r="AI744" s="87" t="str">
        <f t="shared" si="135"/>
        <v/>
      </c>
      <c r="AJ744" s="1419">
        <f>IF(OR($L744=AJ$627,$L744="",$D744=$AL$626),MAX(AJ$629:AJ743)+1,0)</f>
        <v>24</v>
      </c>
      <c r="AK744" s="1420">
        <f>IF(OR($L744=AK$627,$L744="",$D744=$AL$626),MAX(AK$629:AK743)+1,0)</f>
        <v>0</v>
      </c>
      <c r="AL744" s="1421">
        <f>IF(OR($L744=AL$627,$L744="",$D744=$AL$626),MAX(AL$629:AL743)+1,0)</f>
        <v>0</v>
      </c>
      <c r="AM744" s="5701"/>
      <c r="AN744" s="961" t="str">
        <f t="shared" si="136"/>
        <v/>
      </c>
      <c r="AO744" s="87" t="str">
        <f t="shared" si="137"/>
        <v/>
      </c>
      <c r="AP744" s="87" t="str">
        <f t="shared" si="138"/>
        <v/>
      </c>
      <c r="AQ744" s="1419">
        <f>IF(OR($L744=AQ$627,$L744="",$D744=$AS$626),MAX(AQ$629:AQ743)+1,0)</f>
        <v>24</v>
      </c>
      <c r="AR744" s="1420">
        <f>IF(OR($L744=AR$627,$L744="",$D744=$AS$626),MAX(AR$629:AR743)+1,0)</f>
        <v>0</v>
      </c>
      <c r="AS744" s="1421">
        <f>IF(OR($L744=AS$627,$L744="",$D744=$AS$626),MAX(AS$629:AS743)+1,0)</f>
        <v>0</v>
      </c>
      <c r="AT744" s="5701"/>
      <c r="AU744" s="961" t="str">
        <f t="shared" si="139"/>
        <v/>
      </c>
      <c r="AV744" s="87" t="str">
        <f t="shared" si="140"/>
        <v/>
      </c>
      <c r="AW744" s="87" t="str">
        <f t="shared" si="141"/>
        <v/>
      </c>
      <c r="AX744" s="1419">
        <f>IF(OR($L744=AX$627,$L744="",$D744=$AZ$626),MAX(AX$629:AX743)+1,0)</f>
        <v>24</v>
      </c>
      <c r="AY744" s="1420">
        <f>IF(OR($L744=AY$627,$L744="",$D744=$AZ$626),MAX(AY$629:AY743)+1,0)</f>
        <v>0</v>
      </c>
      <c r="AZ744" s="1421">
        <f>IF(OR($L744=AZ$627,$L744="",$D744=$AZ$626),MAX(AZ$629:AZ743)+1,0)</f>
        <v>0</v>
      </c>
      <c r="BA744" s="5701"/>
      <c r="BB744" s="961" t="str">
        <f t="shared" si="142"/>
        <v/>
      </c>
      <c r="BC744" s="87" t="str">
        <f t="shared" si="143"/>
        <v/>
      </c>
      <c r="BD744" s="87" t="str">
        <f t="shared" si="144"/>
        <v/>
      </c>
      <c r="BE744" s="1419">
        <f>IF(OR($L744=BE$627,$L744="",$D744=$BG$626),MAX(BE$629:BE743)+1,0)</f>
        <v>24</v>
      </c>
      <c r="BF744" s="1420">
        <f>IF(OR($L744=BF$627,$L744="",$D744=$BG$626),MAX(BF$629:BF743)+1,0)</f>
        <v>0</v>
      </c>
      <c r="BG744" s="1421">
        <f>IF(OR($L744=BG$627,$L744="",$D744=$BG$626),MAX(BG$629:BG743)+1,0)</f>
        <v>0</v>
      </c>
      <c r="BH744" s="5701"/>
      <c r="BI744" s="961" t="str">
        <f t="shared" si="145"/>
        <v/>
      </c>
      <c r="BJ744" s="87" t="str">
        <f t="shared" si="146"/>
        <v/>
      </c>
      <c r="BK744" s="87" t="str">
        <f t="shared" si="147"/>
        <v/>
      </c>
      <c r="BL744" s="1419">
        <f>IF(OR($L744=BL$627,$L744="",$D744=$BN$626),MAX(BL$629:BL743)+1,0)</f>
        <v>24</v>
      </c>
      <c r="BM744" s="1420">
        <f>IF(OR($L744=BM$627,$L744="",$D744=$BN$626),MAX(BM$629:BM743)+1,0)</f>
        <v>0</v>
      </c>
      <c r="BN744" s="1421">
        <f>IF(OR($L744=BN$627,$L744="",$D744=$BN$626),MAX(BN$629:BN743)+1,0)</f>
        <v>0</v>
      </c>
      <c r="BO744" s="5701"/>
      <c r="BP744" s="961" t="str">
        <f t="shared" si="148"/>
        <v/>
      </c>
      <c r="BQ744" s="87" t="str">
        <f t="shared" si="149"/>
        <v/>
      </c>
      <c r="BR744" s="87" t="str">
        <f t="shared" si="150"/>
        <v/>
      </c>
      <c r="BS744" s="1419">
        <f>IF(OR($L744=BS$627,$L744="",$D744=$BU$626),MAX(BS$629:BS743)+1,0)</f>
        <v>24</v>
      </c>
      <c r="BT744" s="1420">
        <f>IF(OR($L744=BT$627,$L744="",$D744=$BU$626),MAX(BT$629:BT743)+1,0)</f>
        <v>0</v>
      </c>
      <c r="BU744" s="1421">
        <f>IF(OR($L744=BU$627,$L744="",$D744=$BU$626),MAX(BU$629:BU743)+1,0)</f>
        <v>0</v>
      </c>
    </row>
    <row r="745" spans="1:73" ht="12.75" customHeight="1" thickBot="1" x14ac:dyDescent="0.25">
      <c r="A745" s="242">
        <v>745</v>
      </c>
      <c r="B745" s="5664"/>
      <c r="C745" s="1288"/>
      <c r="D745" s="1289" t="s">
        <v>7257</v>
      </c>
      <c r="E745" s="1295">
        <v>80</v>
      </c>
      <c r="F745" s="1287">
        <v>-50</v>
      </c>
      <c r="G745" s="1287">
        <v>10</v>
      </c>
      <c r="H745" s="1287">
        <v>8</v>
      </c>
      <c r="I745" s="1287" t="s">
        <v>1506</v>
      </c>
      <c r="J745" s="1287" t="s">
        <v>1464</v>
      </c>
      <c r="K745" s="1281" t="s">
        <v>7525</v>
      </c>
      <c r="L745" s="1287" t="str">
        <f t="shared" si="151"/>
        <v>Distinta</v>
      </c>
      <c r="M745" s="1296">
        <v>13</v>
      </c>
      <c r="N745" s="1296">
        <v>4</v>
      </c>
      <c r="O745" s="1296">
        <v>30</v>
      </c>
      <c r="P745" s="1287"/>
      <c r="Q745" s="1287"/>
      <c r="R745" s="1287" t="s">
        <v>1464</v>
      </c>
      <c r="S745" s="1287" t="s">
        <v>1464</v>
      </c>
      <c r="T745" s="1287" t="s">
        <v>1464</v>
      </c>
      <c r="U745" s="1287"/>
      <c r="V745" s="1281" t="s">
        <v>2164</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
      </c>
      <c r="AJ745" s="1419">
        <f>IF(OR($L745=AJ$627,$L745="",$D745=$AL$626),MAX(AJ$629:AJ744)+1,0)</f>
        <v>0</v>
      </c>
      <c r="AK745" s="1420">
        <f>IF(OR($L745=AK$627,$L745="",$D745=$AL$626),MAX(AK$629:AK744)+1,0)</f>
        <v>0</v>
      </c>
      <c r="AL745" s="1421">
        <f>IF(OR($L745=AL$627,$L745="",$D745=$AL$626),MAX(AL$629:AL744)+1,0)</f>
        <v>87</v>
      </c>
      <c r="AM745" s="5701"/>
      <c r="AN745" s="961" t="str">
        <f t="shared" si="136"/>
        <v/>
      </c>
      <c r="AO745" s="87" t="str">
        <f t="shared" si="137"/>
        <v/>
      </c>
      <c r="AP745" s="87" t="str">
        <f t="shared" si="138"/>
        <v/>
      </c>
      <c r="AQ745" s="1419">
        <f>IF(OR($L745=AQ$627,$L745="",$D745=$AS$626),MAX(AQ$629:AQ744)+1,0)</f>
        <v>0</v>
      </c>
      <c r="AR745" s="1420">
        <f>IF(OR($L745=AR$627,$L745="",$D745=$AS$626),MAX(AR$629:AR744)+1,0)</f>
        <v>0</v>
      </c>
      <c r="AS745" s="1421">
        <f>IF(OR($L745=AS$627,$L745="",$D745=$AS$626),MAX(AS$629:AS744)+1,0)</f>
        <v>87</v>
      </c>
      <c r="AT745" s="5701"/>
      <c r="AU745" s="961" t="str">
        <f t="shared" si="139"/>
        <v/>
      </c>
      <c r="AV745" s="87" t="str">
        <f t="shared" si="140"/>
        <v/>
      </c>
      <c r="AW745" s="87" t="str">
        <f t="shared" si="141"/>
        <v/>
      </c>
      <c r="AX745" s="1419">
        <f>IF(OR($L745=AX$627,$L745="",$D745=$AZ$626),MAX(AX$629:AX744)+1,0)</f>
        <v>0</v>
      </c>
      <c r="AY745" s="1420">
        <f>IF(OR($L745=AY$627,$L745="",$D745=$AZ$626),MAX(AY$629:AY744)+1,0)</f>
        <v>0</v>
      </c>
      <c r="AZ745" s="1421">
        <f>IF(OR($L745=AZ$627,$L745="",$D745=$AZ$626),MAX(AZ$629:AZ744)+1,0)</f>
        <v>87</v>
      </c>
      <c r="BA745" s="5701"/>
      <c r="BB745" s="961" t="str">
        <f t="shared" si="142"/>
        <v/>
      </c>
      <c r="BC745" s="87" t="str">
        <f t="shared" si="143"/>
        <v/>
      </c>
      <c r="BD745" s="87" t="str">
        <f t="shared" si="144"/>
        <v/>
      </c>
      <c r="BE745" s="1419">
        <f>IF(OR($L745=BE$627,$L745="",$D745=$BG$626),MAX(BE$629:BE744)+1,0)</f>
        <v>0</v>
      </c>
      <c r="BF745" s="1420">
        <f>IF(OR($L745=BF$627,$L745="",$D745=$BG$626),MAX(BF$629:BF744)+1,0)</f>
        <v>0</v>
      </c>
      <c r="BG745" s="1421">
        <f>IF(OR($L745=BG$627,$L745="",$D745=$BG$626),MAX(BG$629:BG744)+1,0)</f>
        <v>87</v>
      </c>
      <c r="BH745" s="5701"/>
      <c r="BI745" s="961" t="str">
        <f t="shared" si="145"/>
        <v/>
      </c>
      <c r="BJ745" s="87" t="str">
        <f t="shared" si="146"/>
        <v/>
      </c>
      <c r="BK745" s="87" t="str">
        <f t="shared" si="147"/>
        <v/>
      </c>
      <c r="BL745" s="1419">
        <f>IF(OR($L745=BL$627,$L745="",$D745=$BN$626),MAX(BL$629:BL744)+1,0)</f>
        <v>0</v>
      </c>
      <c r="BM745" s="1420">
        <f>IF(OR($L745=BM$627,$L745="",$D745=$BN$626),MAX(BM$629:BM744)+1,0)</f>
        <v>0</v>
      </c>
      <c r="BN745" s="1421">
        <f>IF(OR($L745=BN$627,$L745="",$D745=$BN$626),MAX(BN$629:BN744)+1,0)</f>
        <v>87</v>
      </c>
      <c r="BO745" s="5701"/>
      <c r="BP745" s="961" t="str">
        <f t="shared" si="148"/>
        <v/>
      </c>
      <c r="BQ745" s="87" t="str">
        <f t="shared" si="149"/>
        <v/>
      </c>
      <c r="BR745" s="87" t="str">
        <f t="shared" si="150"/>
        <v/>
      </c>
      <c r="BS745" s="1419">
        <f>IF(OR($L745=BS$627,$L745="",$D745=$BU$626),MAX(BS$629:BS744)+1,0)</f>
        <v>0</v>
      </c>
      <c r="BT745" s="1420">
        <f>IF(OR($L745=BT$627,$L745="",$D745=$BU$626),MAX(BT$629:BT744)+1,0)</f>
        <v>0</v>
      </c>
      <c r="BU745" s="1421">
        <f>IF(OR($L745=BU$627,$L745="",$D745=$BU$626),MAX(BU$629:BU744)+1,0)</f>
        <v>87</v>
      </c>
    </row>
    <row r="746" spans="1:73" ht="12.75" customHeight="1" x14ac:dyDescent="0.2">
      <c r="A746" s="242">
        <v>746</v>
      </c>
      <c r="B746" s="5664"/>
      <c r="C746" s="1288"/>
      <c r="D746" s="1289" t="s">
        <v>7276</v>
      </c>
      <c r="E746" s="1295">
        <v>25</v>
      </c>
      <c r="F746" s="1287">
        <v>10</v>
      </c>
      <c r="G746" s="1287">
        <v>4</v>
      </c>
      <c r="H746" s="1287">
        <v>4</v>
      </c>
      <c r="I746" s="1287" t="s">
        <v>1561</v>
      </c>
      <c r="J746" s="1287" t="s">
        <v>1464</v>
      </c>
      <c r="K746" s="1281" t="s">
        <v>7519</v>
      </c>
      <c r="L746" s="1287" t="str">
        <f t="shared" si="151"/>
        <v>Similar</v>
      </c>
      <c r="M746" s="1296">
        <v>10</v>
      </c>
      <c r="N746" s="1296">
        <v>-2</v>
      </c>
      <c r="O746" s="1296">
        <v>20</v>
      </c>
      <c r="P746" s="1287"/>
      <c r="Q746" s="1287"/>
      <c r="R746" s="1287">
        <v>100</v>
      </c>
      <c r="S746" s="1287" t="s">
        <v>1464</v>
      </c>
      <c r="T746" s="1287">
        <v>30</v>
      </c>
      <c r="U746" s="1287"/>
      <c r="V746" s="1281" t="s">
        <v>8854</v>
      </c>
      <c r="W746" s="1281"/>
      <c r="X746" s="1282" t="str">
        <f t="shared" si="131"/>
        <v>Grande</v>
      </c>
      <c r="Z746" s="1418" t="str">
        <f t="shared" si="152"/>
        <v/>
      </c>
      <c r="AG746" s="961" t="str">
        <f t="shared" si="133"/>
        <v/>
      </c>
      <c r="AH746" s="87" t="str">
        <f t="shared" si="134"/>
        <v/>
      </c>
      <c r="AI746" s="87" t="str">
        <f t="shared" si="135"/>
        <v/>
      </c>
      <c r="AJ746" s="1419">
        <f>IF(OR($L746=AJ$627,$L746="",$D746=$AL$626),MAX(AJ$629:AJ745)+1,0)</f>
        <v>25</v>
      </c>
      <c r="AK746" s="1420">
        <f>IF(OR($L746=AK$627,$L746="",$D746=$AL$626),MAX(AK$629:AK745)+1,0)</f>
        <v>0</v>
      </c>
      <c r="AL746" s="1421">
        <f>IF(OR($L746=AL$627,$L746="",$D746=$AL$626),MAX(AL$629:AL745)+1,0)</f>
        <v>0</v>
      </c>
      <c r="AM746" s="5701"/>
      <c r="AN746" s="961" t="str">
        <f t="shared" si="136"/>
        <v/>
      </c>
      <c r="AO746" s="87" t="str">
        <f t="shared" si="137"/>
        <v/>
      </c>
      <c r="AP746" s="87" t="str">
        <f t="shared" si="138"/>
        <v/>
      </c>
      <c r="AQ746" s="1419">
        <f>IF(OR($L746=AQ$627,$L746="",$D746=$AS$626),MAX(AQ$629:AQ745)+1,0)</f>
        <v>25</v>
      </c>
      <c r="AR746" s="1420">
        <f>IF(OR($L746=AR$627,$L746="",$D746=$AS$626),MAX(AR$629:AR745)+1,0)</f>
        <v>0</v>
      </c>
      <c r="AS746" s="1421">
        <f>IF(OR($L746=AS$627,$L746="",$D746=$AS$626),MAX(AS$629:AS745)+1,0)</f>
        <v>0</v>
      </c>
      <c r="AT746" s="5701"/>
      <c r="AU746" s="961" t="str">
        <f t="shared" si="139"/>
        <v/>
      </c>
      <c r="AV746" s="87" t="str">
        <f t="shared" si="140"/>
        <v/>
      </c>
      <c r="AW746" s="87" t="str">
        <f t="shared" si="141"/>
        <v/>
      </c>
      <c r="AX746" s="1419">
        <f>IF(OR($L746=AX$627,$L746="",$D746=$AZ$626),MAX(AX$629:AX745)+1,0)</f>
        <v>25</v>
      </c>
      <c r="AY746" s="1420">
        <f>IF(OR($L746=AY$627,$L746="",$D746=$AZ$626),MAX(AY$629:AY745)+1,0)</f>
        <v>0</v>
      </c>
      <c r="AZ746" s="1421">
        <f>IF(OR($L746=AZ$627,$L746="",$D746=$AZ$626),MAX(AZ$629:AZ745)+1,0)</f>
        <v>0</v>
      </c>
      <c r="BA746" s="5701"/>
      <c r="BB746" s="961" t="str">
        <f t="shared" si="142"/>
        <v/>
      </c>
      <c r="BC746" s="87" t="str">
        <f t="shared" si="143"/>
        <v/>
      </c>
      <c r="BD746" s="87" t="str">
        <f t="shared" si="144"/>
        <v/>
      </c>
      <c r="BE746" s="1419">
        <f>IF(OR($L746=BE$627,$L746="",$D746=$BG$626),MAX(BE$629:BE745)+1,0)</f>
        <v>25</v>
      </c>
      <c r="BF746" s="1420">
        <f>IF(OR($L746=BF$627,$L746="",$D746=$BG$626),MAX(BF$629:BF745)+1,0)</f>
        <v>0</v>
      </c>
      <c r="BG746" s="1421">
        <f>IF(OR($L746=BG$627,$L746="",$D746=$BG$626),MAX(BG$629:BG745)+1,0)</f>
        <v>0</v>
      </c>
      <c r="BH746" s="5701"/>
      <c r="BI746" s="961" t="str">
        <f t="shared" si="145"/>
        <v/>
      </c>
      <c r="BJ746" s="87" t="str">
        <f t="shared" si="146"/>
        <v/>
      </c>
      <c r="BK746" s="87" t="str">
        <f t="shared" si="147"/>
        <v/>
      </c>
      <c r="BL746" s="1419">
        <f>IF(OR($L746=BL$627,$L746="",$D746=$BN$626),MAX(BL$629:BL745)+1,0)</f>
        <v>25</v>
      </c>
      <c r="BM746" s="1420">
        <f>IF(OR($L746=BM$627,$L746="",$D746=$BN$626),MAX(BM$629:BM745)+1,0)</f>
        <v>0</v>
      </c>
      <c r="BN746" s="1421">
        <f>IF(OR($L746=BN$627,$L746="",$D746=$BN$626),MAX(BN$629:BN745)+1,0)</f>
        <v>0</v>
      </c>
      <c r="BO746" s="5701"/>
      <c r="BP746" s="961" t="str">
        <f t="shared" si="148"/>
        <v/>
      </c>
      <c r="BQ746" s="87" t="str">
        <f t="shared" si="149"/>
        <v/>
      </c>
      <c r="BR746" s="87" t="str">
        <f t="shared" si="150"/>
        <v/>
      </c>
      <c r="BS746" s="1419">
        <f>IF(OR($L746=BS$627,$L746="",$D746=$BU$626),MAX(BS$629:BS745)+1,0)</f>
        <v>25</v>
      </c>
      <c r="BT746" s="1420">
        <f>IF(OR($L746=BT$627,$L746="",$D746=$BU$626),MAX(BT$629:BT745)+1,0)</f>
        <v>0</v>
      </c>
      <c r="BU746" s="1421">
        <f>IF(OR($L746=BU$627,$L746="",$D746=$BU$626),MAX(BU$629:BU745)+1,0)</f>
        <v>0</v>
      </c>
    </row>
    <row r="747" spans="1:73" ht="12.75" customHeight="1" x14ac:dyDescent="0.2">
      <c r="A747" s="242">
        <v>747</v>
      </c>
      <c r="B747" s="5664"/>
      <c r="C747" s="1288"/>
      <c r="D747" s="1289" t="s">
        <v>7277</v>
      </c>
      <c r="E747" s="1295">
        <v>45</v>
      </c>
      <c r="F747" s="1287">
        <v>0</v>
      </c>
      <c r="G747" s="1287">
        <v>4</v>
      </c>
      <c r="H747" s="1287">
        <v>4</v>
      </c>
      <c r="I747" s="1287" t="s">
        <v>1560</v>
      </c>
      <c r="J747" s="1287" t="s">
        <v>1464</v>
      </c>
      <c r="K747" s="1281" t="s">
        <v>7522</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
      </c>
      <c r="AJ747" s="1419">
        <f>IF(OR($L747=AJ$627,$L747="",$D747=$AL$626),MAX(AJ$629:AJ746)+1,0)</f>
        <v>0</v>
      </c>
      <c r="AK747" s="1420">
        <f>IF(OR($L747=AK$627,$L747="",$D747=$AL$626),MAX(AK$629:AK746)+1,0)</f>
        <v>0</v>
      </c>
      <c r="AL747" s="1421">
        <f>IF(OR($L747=AL$627,$L747="",$D747=$AL$626),MAX(AL$629:AL746)+1,0)</f>
        <v>88</v>
      </c>
      <c r="AM747" s="5701"/>
      <c r="AN747" s="961" t="str">
        <f t="shared" si="136"/>
        <v/>
      </c>
      <c r="AO747" s="87" t="str">
        <f t="shared" si="137"/>
        <v/>
      </c>
      <c r="AP747" s="87" t="str">
        <f t="shared" si="138"/>
        <v/>
      </c>
      <c r="AQ747" s="1419">
        <f>IF(OR($L747=AQ$627,$L747="",$D747=$AS$626),MAX(AQ$629:AQ746)+1,0)</f>
        <v>0</v>
      </c>
      <c r="AR747" s="1420">
        <f>IF(OR($L747=AR$627,$L747="",$D747=$AS$626),MAX(AR$629:AR746)+1,0)</f>
        <v>0</v>
      </c>
      <c r="AS747" s="1421">
        <f>IF(OR($L747=AS$627,$L747="",$D747=$AS$626),MAX(AS$629:AS746)+1,0)</f>
        <v>88</v>
      </c>
      <c r="AT747" s="5701"/>
      <c r="AU747" s="961" t="str">
        <f t="shared" si="139"/>
        <v/>
      </c>
      <c r="AV747" s="87" t="str">
        <f t="shared" si="140"/>
        <v/>
      </c>
      <c r="AW747" s="87" t="str">
        <f t="shared" si="141"/>
        <v/>
      </c>
      <c r="AX747" s="1419">
        <f>IF(OR($L747=AX$627,$L747="",$D747=$AZ$626),MAX(AX$629:AX746)+1,0)</f>
        <v>0</v>
      </c>
      <c r="AY747" s="1420">
        <f>IF(OR($L747=AY$627,$L747="",$D747=$AZ$626),MAX(AY$629:AY746)+1,0)</f>
        <v>0</v>
      </c>
      <c r="AZ747" s="1421">
        <f>IF(OR($L747=AZ$627,$L747="",$D747=$AZ$626),MAX(AZ$629:AZ746)+1,0)</f>
        <v>88</v>
      </c>
      <c r="BA747" s="5701"/>
      <c r="BB747" s="961" t="str">
        <f t="shared" si="142"/>
        <v/>
      </c>
      <c r="BC747" s="87" t="str">
        <f t="shared" si="143"/>
        <v/>
      </c>
      <c r="BD747" s="87" t="str">
        <f t="shared" si="144"/>
        <v/>
      </c>
      <c r="BE747" s="1419">
        <f>IF(OR($L747=BE$627,$L747="",$D747=$BG$626),MAX(BE$629:BE746)+1,0)</f>
        <v>0</v>
      </c>
      <c r="BF747" s="1420">
        <f>IF(OR($L747=BF$627,$L747="",$D747=$BG$626),MAX(BF$629:BF746)+1,0)</f>
        <v>0</v>
      </c>
      <c r="BG747" s="1421">
        <f>IF(OR($L747=BG$627,$L747="",$D747=$BG$626),MAX(BG$629:BG746)+1,0)</f>
        <v>88</v>
      </c>
      <c r="BH747" s="5701"/>
      <c r="BI747" s="961" t="str">
        <f t="shared" si="145"/>
        <v/>
      </c>
      <c r="BJ747" s="87" t="str">
        <f t="shared" si="146"/>
        <v/>
      </c>
      <c r="BK747" s="87" t="str">
        <f t="shared" si="147"/>
        <v/>
      </c>
      <c r="BL747" s="1419">
        <f>IF(OR($L747=BL$627,$L747="",$D747=$BN$626),MAX(BL$629:BL746)+1,0)</f>
        <v>0</v>
      </c>
      <c r="BM747" s="1420">
        <f>IF(OR($L747=BM$627,$L747="",$D747=$BN$626),MAX(BM$629:BM746)+1,0)</f>
        <v>0</v>
      </c>
      <c r="BN747" s="1421">
        <f>IF(OR($L747=BN$627,$L747="",$D747=$BN$626),MAX(BN$629:BN746)+1,0)</f>
        <v>88</v>
      </c>
      <c r="BO747" s="5701"/>
      <c r="BP747" s="961" t="str">
        <f t="shared" si="148"/>
        <v/>
      </c>
      <c r="BQ747" s="87" t="str">
        <f t="shared" si="149"/>
        <v/>
      </c>
      <c r="BR747" s="87" t="str">
        <f t="shared" si="150"/>
        <v/>
      </c>
      <c r="BS747" s="1419">
        <f>IF(OR($L747=BS$627,$L747="",$D747=$BU$626),MAX(BS$629:BS746)+1,0)</f>
        <v>0</v>
      </c>
      <c r="BT747" s="1420">
        <f>IF(OR($L747=BT$627,$L747="",$D747=$BU$626),MAX(BT$629:BT746)+1,0)</f>
        <v>0</v>
      </c>
      <c r="BU747" s="1421">
        <f>IF(OR($L747=BU$627,$L747="",$D747=$BU$626),MAX(BU$629:BU746)+1,0)</f>
        <v>88</v>
      </c>
    </row>
    <row r="748" spans="1:73" ht="12.75" customHeight="1" x14ac:dyDescent="0.2">
      <c r="A748" s="242">
        <v>748</v>
      </c>
      <c r="B748" s="5664"/>
      <c r="C748" s="1288"/>
      <c r="D748" s="1289" t="s">
        <v>2231</v>
      </c>
      <c r="E748" s="1293"/>
      <c r="F748" s="1293"/>
      <c r="G748" s="1293"/>
      <c r="H748" s="1293"/>
      <c r="I748" s="1293"/>
      <c r="J748" s="1293"/>
      <c r="K748" s="1050" t="s">
        <v>7517</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
      </c>
      <c r="AJ748" s="1419">
        <f>IF(OR($L748=AJ$627,$L748="",$D748=$AL$626),MAX(AJ$629:AJ747)+1,0)</f>
        <v>26</v>
      </c>
      <c r="AK748" s="1420">
        <f>IF(OR($L748=AK$627,$L748="",$D748=$AL$626),MAX(AK$629:AK747)+1,0)</f>
        <v>8</v>
      </c>
      <c r="AL748" s="1421">
        <f>IF(OR($L748=AL$627,$L748="",$D748=$AL$626),MAX(AL$629:AL747)+1,0)</f>
        <v>89</v>
      </c>
      <c r="AM748" s="5701"/>
      <c r="AN748" s="961" t="str">
        <f t="shared" si="136"/>
        <v/>
      </c>
      <c r="AO748" s="87" t="str">
        <f t="shared" si="137"/>
        <v/>
      </c>
      <c r="AP748" s="87" t="str">
        <f t="shared" si="138"/>
        <v/>
      </c>
      <c r="AQ748" s="1419">
        <f>IF(OR($L748=AQ$627,$L748="",$D748=$AS$626),MAX(AQ$629:AQ747)+1,0)</f>
        <v>26</v>
      </c>
      <c r="AR748" s="1420">
        <f>IF(OR($L748=AR$627,$L748="",$D748=$AS$626),MAX(AR$629:AR747)+1,0)</f>
        <v>8</v>
      </c>
      <c r="AS748" s="1421">
        <f>IF(OR($L748=AS$627,$L748="",$D748=$AS$626),MAX(AS$629:AS747)+1,0)</f>
        <v>89</v>
      </c>
      <c r="AT748" s="5701"/>
      <c r="AU748" s="961" t="str">
        <f t="shared" si="139"/>
        <v/>
      </c>
      <c r="AV748" s="87" t="str">
        <f t="shared" si="140"/>
        <v/>
      </c>
      <c r="AW748" s="87" t="str">
        <f t="shared" si="141"/>
        <v/>
      </c>
      <c r="AX748" s="1419">
        <f>IF(OR($L748=AX$627,$L748="",$D748=$AZ$626),MAX(AX$629:AX747)+1,0)</f>
        <v>26</v>
      </c>
      <c r="AY748" s="1420">
        <f>IF(OR($L748=AY$627,$L748="",$D748=$AZ$626),MAX(AY$629:AY747)+1,0)</f>
        <v>8</v>
      </c>
      <c r="AZ748" s="1421">
        <f>IF(OR($L748=AZ$627,$L748="",$D748=$AZ$626),MAX(AZ$629:AZ747)+1,0)</f>
        <v>89</v>
      </c>
      <c r="BA748" s="5701"/>
      <c r="BB748" s="961" t="str">
        <f t="shared" si="142"/>
        <v/>
      </c>
      <c r="BC748" s="87" t="str">
        <f t="shared" si="143"/>
        <v/>
      </c>
      <c r="BD748" s="87" t="str">
        <f t="shared" si="144"/>
        <v/>
      </c>
      <c r="BE748" s="1419">
        <f>IF(OR($L748=BE$627,$L748="",$D748=$BG$626),MAX(BE$629:BE747)+1,0)</f>
        <v>26</v>
      </c>
      <c r="BF748" s="1420">
        <f>IF(OR($L748=BF$627,$L748="",$D748=$BG$626),MAX(BF$629:BF747)+1,0)</f>
        <v>8</v>
      </c>
      <c r="BG748" s="1421">
        <f>IF(OR($L748=BG$627,$L748="",$D748=$BG$626),MAX(BG$629:BG747)+1,0)</f>
        <v>89</v>
      </c>
      <c r="BH748" s="5701"/>
      <c r="BI748" s="961" t="str">
        <f t="shared" si="145"/>
        <v/>
      </c>
      <c r="BJ748" s="87" t="str">
        <f t="shared" si="146"/>
        <v/>
      </c>
      <c r="BK748" s="87" t="str">
        <f t="shared" si="147"/>
        <v/>
      </c>
      <c r="BL748" s="1419">
        <f>IF(OR($L748=BL$627,$L748="",$D748=$BN$626),MAX(BL$629:BL747)+1,0)</f>
        <v>26</v>
      </c>
      <c r="BM748" s="1420">
        <f>IF(OR($L748=BM$627,$L748="",$D748=$BN$626),MAX(BM$629:BM747)+1,0)</f>
        <v>8</v>
      </c>
      <c r="BN748" s="1421">
        <f>IF(OR($L748=BN$627,$L748="",$D748=$BN$626),MAX(BN$629:BN747)+1,0)</f>
        <v>89</v>
      </c>
      <c r="BO748" s="5701"/>
      <c r="BP748" s="961" t="str">
        <f t="shared" si="148"/>
        <v/>
      </c>
      <c r="BQ748" s="87" t="str">
        <f t="shared" si="149"/>
        <v/>
      </c>
      <c r="BR748" s="87" t="str">
        <f t="shared" si="150"/>
        <v/>
      </c>
      <c r="BS748" s="1419">
        <f>IF(OR($L748=BS$627,$L748="",$D748=$BU$626),MAX(BS$629:BS747)+1,0)</f>
        <v>26</v>
      </c>
      <c r="BT748" s="1420">
        <f>IF(OR($L748=BT$627,$L748="",$D748=$BU$626),MAX(BT$629:BT747)+1,0)</f>
        <v>8</v>
      </c>
      <c r="BU748" s="1421">
        <f>IF(OR($L748=BU$627,$L748="",$D748=$BU$626),MAX(BU$629:BU747)+1,0)</f>
        <v>89</v>
      </c>
    </row>
    <row r="749" spans="1:73" ht="12.75" customHeight="1" x14ac:dyDescent="0.2">
      <c r="A749" s="242">
        <v>749</v>
      </c>
      <c r="B749" s="5664"/>
      <c r="C749" s="1288"/>
      <c r="D749" s="1289" t="s">
        <v>8834</v>
      </c>
      <c r="E749" s="1287">
        <v>0</v>
      </c>
      <c r="F749" s="1287">
        <v>-20</v>
      </c>
      <c r="G749" s="1287">
        <v>6</v>
      </c>
      <c r="H749" s="1287">
        <v>6</v>
      </c>
      <c r="I749" s="1287" t="s">
        <v>1464</v>
      </c>
      <c r="J749" s="1287" t="s">
        <v>1464</v>
      </c>
      <c r="K749" s="1281" t="s">
        <v>7537</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Similar</v>
      </c>
      <c r="M749" s="1296">
        <v>9</v>
      </c>
      <c r="N749" s="1296">
        <v>-3</v>
      </c>
      <c r="O749" s="1296">
        <v>20</v>
      </c>
      <c r="P749" s="1287"/>
      <c r="Q749" s="1287"/>
      <c r="R749" s="1287" t="s">
        <v>1464</v>
      </c>
      <c r="S749" s="1287">
        <v>4</v>
      </c>
      <c r="T749" s="1287">
        <v>80</v>
      </c>
      <c r="U749" s="1287">
        <v>11</v>
      </c>
      <c r="V749" s="1281" t="s">
        <v>2218</v>
      </c>
      <c r="W749" s="1281"/>
      <c r="X749" s="1282"/>
      <c r="Z749" s="1418" t="str">
        <f t="shared" si="152"/>
        <v/>
      </c>
      <c r="AG749" s="961" t="str">
        <f t="shared" si="133"/>
        <v/>
      </c>
      <c r="AH749" s="87" t="str">
        <f t="shared" si="134"/>
        <v/>
      </c>
      <c r="AI749" s="87" t="str">
        <f t="shared" si="135"/>
        <v/>
      </c>
      <c r="AJ749" s="1419">
        <f>IF(OR($L749=AJ$627,$L749="",$D749=$AL$626),MAX(AJ$629:AJ748)+1,0)</f>
        <v>27</v>
      </c>
      <c r="AK749" s="1420">
        <f>IF(OR($L749=AK$627,$L749="",$D749=$AL$626),MAX(AK$629:AK748)+1,0)</f>
        <v>0</v>
      </c>
      <c r="AL749" s="1421">
        <f>IF(OR($L749=AL$627,$L749="",$D749=$AL$626),MAX(AL$629:AL748)+1,0)</f>
        <v>0</v>
      </c>
      <c r="AM749" s="5701"/>
      <c r="AN749" s="961" t="str">
        <f t="shared" si="136"/>
        <v/>
      </c>
      <c r="AO749" s="87" t="str">
        <f t="shared" si="137"/>
        <v/>
      </c>
      <c r="AP749" s="87" t="str">
        <f t="shared" si="138"/>
        <v/>
      </c>
      <c r="AQ749" s="1419">
        <f>IF(OR($L749=AQ$627,$L749="",$D749=$AS$626),MAX(AQ$629:AQ748)+1,0)</f>
        <v>27</v>
      </c>
      <c r="AR749" s="1420">
        <f>IF(OR($L749=AR$627,$L749="",$D749=$AS$626),MAX(AR$629:AR748)+1,0)</f>
        <v>0</v>
      </c>
      <c r="AS749" s="1421">
        <f>IF(OR($L749=AS$627,$L749="",$D749=$AS$626),MAX(AS$629:AS748)+1,0)</f>
        <v>0</v>
      </c>
      <c r="AT749" s="5701"/>
      <c r="AU749" s="961" t="str">
        <f t="shared" si="139"/>
        <v/>
      </c>
      <c r="AV749" s="87" t="str">
        <f t="shared" si="140"/>
        <v/>
      </c>
      <c r="AW749" s="87" t="str">
        <f t="shared" si="141"/>
        <v/>
      </c>
      <c r="AX749" s="1419">
        <f>IF(OR($L749=AX$627,$L749="",$D749=$AZ$626),MAX(AX$629:AX748)+1,0)</f>
        <v>27</v>
      </c>
      <c r="AY749" s="1420">
        <f>IF(OR($L749=AY$627,$L749="",$D749=$AZ$626),MAX(AY$629:AY748)+1,0)</f>
        <v>0</v>
      </c>
      <c r="AZ749" s="1421">
        <f>IF(OR($L749=AZ$627,$L749="",$D749=$AZ$626),MAX(AZ$629:AZ748)+1,0)</f>
        <v>0</v>
      </c>
      <c r="BA749" s="5701"/>
      <c r="BB749" s="961" t="str">
        <f t="shared" si="142"/>
        <v/>
      </c>
      <c r="BC749" s="87" t="str">
        <f t="shared" si="143"/>
        <v/>
      </c>
      <c r="BD749" s="87" t="str">
        <f t="shared" si="144"/>
        <v/>
      </c>
      <c r="BE749" s="1419">
        <f>IF(OR($L749=BE$627,$L749="",$D749=$BG$626),MAX(BE$629:BE748)+1,0)</f>
        <v>27</v>
      </c>
      <c r="BF749" s="1420">
        <f>IF(OR($L749=BF$627,$L749="",$D749=$BG$626),MAX(BF$629:BF748)+1,0)</f>
        <v>0</v>
      </c>
      <c r="BG749" s="1421">
        <f>IF(OR($L749=BG$627,$L749="",$D749=$BG$626),MAX(BG$629:BG748)+1,0)</f>
        <v>0</v>
      </c>
      <c r="BH749" s="5701"/>
      <c r="BI749" s="961" t="str">
        <f t="shared" si="145"/>
        <v/>
      </c>
      <c r="BJ749" s="87" t="str">
        <f t="shared" si="146"/>
        <v/>
      </c>
      <c r="BK749" s="87" t="str">
        <f t="shared" si="147"/>
        <v/>
      </c>
      <c r="BL749" s="1419">
        <f>IF(OR($L749=BL$627,$L749="",$D749=$BN$626),MAX(BL$629:BL748)+1,0)</f>
        <v>27</v>
      </c>
      <c r="BM749" s="1420">
        <f>IF(OR($L749=BM$627,$L749="",$D749=$BN$626),MAX(BM$629:BM748)+1,0)</f>
        <v>0</v>
      </c>
      <c r="BN749" s="1421">
        <f>IF(OR($L749=BN$627,$L749="",$D749=$BN$626),MAX(BN$629:BN748)+1,0)</f>
        <v>0</v>
      </c>
      <c r="BO749" s="5701"/>
      <c r="BP749" s="961" t="str">
        <f t="shared" si="148"/>
        <v/>
      </c>
      <c r="BQ749" s="87" t="str">
        <f t="shared" si="149"/>
        <v/>
      </c>
      <c r="BR749" s="87" t="str">
        <f t="shared" si="150"/>
        <v/>
      </c>
      <c r="BS749" s="1419">
        <f>IF(OR($L749=BS$627,$L749="",$D749=$BU$626),MAX(BS$629:BS748)+1,0)</f>
        <v>27</v>
      </c>
      <c r="BT749" s="1420">
        <f>IF(OR($L749=BT$627,$L749="",$D749=$BU$626),MAX(BT$629:BT748)+1,0)</f>
        <v>0</v>
      </c>
      <c r="BU749" s="1421">
        <f>IF(OR($L749=BU$627,$L749="",$D749=$BU$626),MAX(BU$629:BU748)+1,0)</f>
        <v>0</v>
      </c>
    </row>
    <row r="750" spans="1:73" ht="12.75" customHeight="1" x14ac:dyDescent="0.2">
      <c r="A750" s="242">
        <v>750</v>
      </c>
      <c r="B750" s="5664"/>
      <c r="C750" s="1288"/>
      <c r="D750" s="1289" t="s">
        <v>2232</v>
      </c>
      <c r="E750" s="1287">
        <v>0</v>
      </c>
      <c r="F750" s="1287">
        <v>-30</v>
      </c>
      <c r="G750" s="1287">
        <v>7</v>
      </c>
      <c r="H750" s="1287">
        <v>7</v>
      </c>
      <c r="I750" s="1287" t="s">
        <v>1464</v>
      </c>
      <c r="J750" s="1287" t="s">
        <v>1464</v>
      </c>
      <c r="K750" s="1281" t="s">
        <v>7537</v>
      </c>
      <c r="L750" s="1287" t="str">
        <f t="shared" si="153"/>
        <v>Similar</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
      </c>
      <c r="AJ750" s="1419">
        <f>IF(OR($L750=AJ$627,$L750="",$D750=$AL$626),MAX(AJ$629:AJ749)+1,0)</f>
        <v>28</v>
      </c>
      <c r="AK750" s="1420">
        <f>IF(OR($L750=AK$627,$L750="",$D750=$AL$626),MAX(AK$629:AK749)+1,0)</f>
        <v>0</v>
      </c>
      <c r="AL750" s="1421">
        <f>IF(OR($L750=AL$627,$L750="",$D750=$AL$626),MAX(AL$629:AL749)+1,0)</f>
        <v>0</v>
      </c>
      <c r="AM750" s="5701"/>
      <c r="AN750" s="961" t="str">
        <f t="shared" si="136"/>
        <v/>
      </c>
      <c r="AO750" s="87" t="str">
        <f t="shared" si="137"/>
        <v/>
      </c>
      <c r="AP750" s="87" t="str">
        <f t="shared" si="138"/>
        <v/>
      </c>
      <c r="AQ750" s="1419">
        <f>IF(OR($L750=AQ$627,$L750="",$D750=$AS$626),MAX(AQ$629:AQ749)+1,0)</f>
        <v>28</v>
      </c>
      <c r="AR750" s="1420">
        <f>IF(OR($L750=AR$627,$L750="",$D750=$AS$626),MAX(AR$629:AR749)+1,0)</f>
        <v>0</v>
      </c>
      <c r="AS750" s="1421">
        <f>IF(OR($L750=AS$627,$L750="",$D750=$AS$626),MAX(AS$629:AS749)+1,0)</f>
        <v>0</v>
      </c>
      <c r="AT750" s="5701"/>
      <c r="AU750" s="961" t="str">
        <f t="shared" si="139"/>
        <v/>
      </c>
      <c r="AV750" s="87" t="str">
        <f t="shared" si="140"/>
        <v/>
      </c>
      <c r="AW750" s="87" t="str">
        <f t="shared" si="141"/>
        <v/>
      </c>
      <c r="AX750" s="1419">
        <f>IF(OR($L750=AX$627,$L750="",$D750=$AZ$626),MAX(AX$629:AX749)+1,0)</f>
        <v>28</v>
      </c>
      <c r="AY750" s="1420">
        <f>IF(OR($L750=AY$627,$L750="",$D750=$AZ$626),MAX(AY$629:AY749)+1,0)</f>
        <v>0</v>
      </c>
      <c r="AZ750" s="1421">
        <f>IF(OR($L750=AZ$627,$L750="",$D750=$AZ$626),MAX(AZ$629:AZ749)+1,0)</f>
        <v>0</v>
      </c>
      <c r="BA750" s="5701"/>
      <c r="BB750" s="961" t="str">
        <f t="shared" si="142"/>
        <v/>
      </c>
      <c r="BC750" s="87" t="str">
        <f t="shared" si="143"/>
        <v/>
      </c>
      <c r="BD750" s="87" t="str">
        <f t="shared" si="144"/>
        <v/>
      </c>
      <c r="BE750" s="1419">
        <f>IF(OR($L750=BE$627,$L750="",$D750=$BG$626),MAX(BE$629:BE749)+1,0)</f>
        <v>28</v>
      </c>
      <c r="BF750" s="1420">
        <f>IF(OR($L750=BF$627,$L750="",$D750=$BG$626),MAX(BF$629:BF749)+1,0)</f>
        <v>0</v>
      </c>
      <c r="BG750" s="1421">
        <f>IF(OR($L750=BG$627,$L750="",$D750=$BG$626),MAX(BG$629:BG749)+1,0)</f>
        <v>0</v>
      </c>
      <c r="BH750" s="5701"/>
      <c r="BI750" s="961" t="str">
        <f t="shared" si="145"/>
        <v/>
      </c>
      <c r="BJ750" s="87" t="str">
        <f t="shared" si="146"/>
        <v/>
      </c>
      <c r="BK750" s="87" t="str">
        <f t="shared" si="147"/>
        <v/>
      </c>
      <c r="BL750" s="1419">
        <f>IF(OR($L750=BL$627,$L750="",$D750=$BN$626),MAX(BL$629:BL749)+1,0)</f>
        <v>28</v>
      </c>
      <c r="BM750" s="1420">
        <f>IF(OR($L750=BM$627,$L750="",$D750=$BN$626),MAX(BM$629:BM749)+1,0)</f>
        <v>0</v>
      </c>
      <c r="BN750" s="1421">
        <f>IF(OR($L750=BN$627,$L750="",$D750=$BN$626),MAX(BN$629:BN749)+1,0)</f>
        <v>0</v>
      </c>
      <c r="BO750" s="5701"/>
      <c r="BP750" s="961" t="str">
        <f t="shared" si="148"/>
        <v/>
      </c>
      <c r="BQ750" s="87" t="str">
        <f t="shared" si="149"/>
        <v/>
      </c>
      <c r="BR750" s="87" t="str">
        <f t="shared" si="150"/>
        <v/>
      </c>
      <c r="BS750" s="1419">
        <f>IF(OR($L750=BS$627,$L750="",$D750=$BU$626),MAX(BS$629:BS749)+1,0)</f>
        <v>28</v>
      </c>
      <c r="BT750" s="1420">
        <f>IF(OR($L750=BT$627,$L750="",$D750=$BU$626),MAX(BT$629:BT749)+1,0)</f>
        <v>0</v>
      </c>
      <c r="BU750" s="1421">
        <f>IF(OR($L750=BU$627,$L750="",$D750=$BU$626),MAX(BU$629:BU749)+1,0)</f>
        <v>0</v>
      </c>
    </row>
    <row r="751" spans="1:73" ht="12.75" customHeight="1" x14ac:dyDescent="0.2">
      <c r="A751" s="242">
        <v>751</v>
      </c>
      <c r="B751" s="5664"/>
      <c r="C751" s="1288"/>
      <c r="D751" s="1289" t="s">
        <v>2234</v>
      </c>
      <c r="E751" s="1287">
        <v>0</v>
      </c>
      <c r="F751" s="1287">
        <v>-10</v>
      </c>
      <c r="G751" s="1287">
        <v>4</v>
      </c>
      <c r="H751" s="1287">
        <v>4</v>
      </c>
      <c r="I751" s="1287" t="s">
        <v>1464</v>
      </c>
      <c r="J751" s="1287" t="s">
        <v>1464</v>
      </c>
      <c r="K751" s="1281" t="s">
        <v>7537</v>
      </c>
      <c r="L751" s="1287" t="str">
        <f t="shared" si="153"/>
        <v>Conocida</v>
      </c>
      <c r="M751" s="1296">
        <v>7</v>
      </c>
      <c r="N751" s="1296">
        <v>-3</v>
      </c>
      <c r="O751" s="1296">
        <v>15</v>
      </c>
      <c r="P751" s="1287"/>
      <c r="Q751" s="1287"/>
      <c r="R751" s="1287" t="s">
        <v>1464</v>
      </c>
      <c r="S751" s="1287">
        <v>1</v>
      </c>
      <c r="T751" s="1287">
        <v>40</v>
      </c>
      <c r="U751" s="1287"/>
      <c r="V751" s="1281" t="s">
        <v>1588</v>
      </c>
      <c r="W751" s="1281"/>
      <c r="X751" s="1282"/>
      <c r="Z751" s="1418" t="str">
        <f t="shared" si="154"/>
        <v>, Proyectiles/-</v>
      </c>
      <c r="AG751" s="961" t="str">
        <f t="shared" si="133"/>
        <v/>
      </c>
      <c r="AH751" s="87" t="str">
        <f t="shared" si="134"/>
        <v/>
      </c>
      <c r="AI751" s="87" t="str">
        <f t="shared" si="135"/>
        <v/>
      </c>
      <c r="AJ751" s="1419">
        <f>IF(OR($L751=AJ$627,$L751="",$D751=$AL$626),MAX(AJ$629:AJ750)+1,0)</f>
        <v>0</v>
      </c>
      <c r="AK751" s="1420">
        <f>IF(OR($L751=AK$627,$L751="",$D751=$AL$626),MAX(AK$629:AK750)+1,0)</f>
        <v>0</v>
      </c>
      <c r="AL751" s="1421">
        <f>IF(OR($L751=AL$627,$L751="",$D751=$AL$626),MAX(AL$629:AL750)+1,0)</f>
        <v>0</v>
      </c>
      <c r="AM751" s="5701"/>
      <c r="AN751" s="961" t="str">
        <f t="shared" si="136"/>
        <v/>
      </c>
      <c r="AO751" s="87" t="str">
        <f t="shared" si="137"/>
        <v/>
      </c>
      <c r="AP751" s="87" t="str">
        <f t="shared" si="138"/>
        <v/>
      </c>
      <c r="AQ751" s="1419">
        <f>IF(OR($L751=AQ$627,$L751="",$D751=$AS$626),MAX(AQ$629:AQ750)+1,0)</f>
        <v>0</v>
      </c>
      <c r="AR751" s="1420">
        <f>IF(OR($L751=AR$627,$L751="",$D751=$AS$626),MAX(AR$629:AR750)+1,0)</f>
        <v>0</v>
      </c>
      <c r="AS751" s="1421">
        <f>IF(OR($L751=AS$627,$L751="",$D751=$AS$626),MAX(AS$629:AS750)+1,0)</f>
        <v>0</v>
      </c>
      <c r="AT751" s="5701"/>
      <c r="AU751" s="961" t="str">
        <f t="shared" si="139"/>
        <v/>
      </c>
      <c r="AV751" s="87" t="str">
        <f t="shared" si="140"/>
        <v/>
      </c>
      <c r="AW751" s="87" t="str">
        <f t="shared" si="141"/>
        <v/>
      </c>
      <c r="AX751" s="1419">
        <f>IF(OR($L751=AX$627,$L751="",$D751=$AZ$626),MAX(AX$629:AX750)+1,0)</f>
        <v>0</v>
      </c>
      <c r="AY751" s="1420">
        <f>IF(OR($L751=AY$627,$L751="",$D751=$AZ$626),MAX(AY$629:AY750)+1,0)</f>
        <v>0</v>
      </c>
      <c r="AZ751" s="1421">
        <f>IF(OR($L751=AZ$627,$L751="",$D751=$AZ$626),MAX(AZ$629:AZ750)+1,0)</f>
        <v>0</v>
      </c>
      <c r="BA751" s="5701"/>
      <c r="BB751" s="961" t="str">
        <f t="shared" si="142"/>
        <v/>
      </c>
      <c r="BC751" s="87" t="str">
        <f t="shared" si="143"/>
        <v/>
      </c>
      <c r="BD751" s="87" t="str">
        <f t="shared" si="144"/>
        <v/>
      </c>
      <c r="BE751" s="1419">
        <f>IF(OR($L751=BE$627,$L751="",$D751=$BG$626),MAX(BE$629:BE750)+1,0)</f>
        <v>0</v>
      </c>
      <c r="BF751" s="1420">
        <f>IF(OR($L751=BF$627,$L751="",$D751=$BG$626),MAX(BF$629:BF750)+1,0)</f>
        <v>0</v>
      </c>
      <c r="BG751" s="1421">
        <f>IF(OR($L751=BG$627,$L751="",$D751=$BG$626),MAX(BG$629:BG750)+1,0)</f>
        <v>0</v>
      </c>
      <c r="BH751" s="5701"/>
      <c r="BI751" s="961" t="str">
        <f t="shared" si="145"/>
        <v/>
      </c>
      <c r="BJ751" s="87" t="str">
        <f t="shared" si="146"/>
        <v/>
      </c>
      <c r="BK751" s="87" t="str">
        <f t="shared" si="147"/>
        <v/>
      </c>
      <c r="BL751" s="1419">
        <f>IF(OR($L751=BL$627,$L751="",$D751=$BN$626),MAX(BL$629:BL750)+1,0)</f>
        <v>0</v>
      </c>
      <c r="BM751" s="1420">
        <f>IF(OR($L751=BM$627,$L751="",$D751=$BN$626),MAX(BM$629:BM750)+1,0)</f>
        <v>0</v>
      </c>
      <c r="BN751" s="1421">
        <f>IF(OR($L751=BN$627,$L751="",$D751=$BN$626),MAX(BN$629:BN750)+1,0)</f>
        <v>0</v>
      </c>
      <c r="BO751" s="5701"/>
      <c r="BP751" s="961" t="str">
        <f t="shared" si="148"/>
        <v/>
      </c>
      <c r="BQ751" s="87" t="str">
        <f t="shared" si="149"/>
        <v/>
      </c>
      <c r="BR751" s="87" t="str">
        <f t="shared" si="150"/>
        <v/>
      </c>
      <c r="BS751" s="1419">
        <f>IF(OR($L751=BS$627,$L751="",$D751=$BU$626),MAX(BS$629:BS750)+1,0)</f>
        <v>0</v>
      </c>
      <c r="BT751" s="1420">
        <f>IF(OR($L751=BT$627,$L751="",$D751=$BU$626),MAX(BT$629:BT750)+1,0)</f>
        <v>0</v>
      </c>
      <c r="BU751" s="1421">
        <f>IF(OR($L751=BU$627,$L751="",$D751=$BU$626),MAX(BU$629:BU750)+1,0)</f>
        <v>0</v>
      </c>
    </row>
    <row r="752" spans="1:73" ht="12.75" customHeight="1" x14ac:dyDescent="0.2">
      <c r="A752" s="242">
        <v>752</v>
      </c>
      <c r="B752" s="5664"/>
      <c r="C752" s="1288"/>
      <c r="D752" s="1289" t="s">
        <v>7228</v>
      </c>
      <c r="E752" s="1287">
        <v>0</v>
      </c>
      <c r="F752" s="1287">
        <v>-10</v>
      </c>
      <c r="G752" s="1287">
        <v>4</v>
      </c>
      <c r="H752" s="1287">
        <v>4</v>
      </c>
      <c r="I752" s="1287" t="s">
        <v>1464</v>
      </c>
      <c r="J752" s="1287" t="s">
        <v>1464</v>
      </c>
      <c r="K752" s="1281" t="s">
        <v>7537</v>
      </c>
      <c r="L752" s="1287" t="str">
        <f t="shared" si="153"/>
        <v>Similar</v>
      </c>
      <c r="M752" s="1296">
        <v>6</v>
      </c>
      <c r="N752" s="1296">
        <v>-3</v>
      </c>
      <c r="O752" s="1296">
        <v>15</v>
      </c>
      <c r="P752" s="1287"/>
      <c r="Q752" s="1287"/>
      <c r="R752" s="1287" t="s">
        <v>1464</v>
      </c>
      <c r="S752" s="1287">
        <v>1</v>
      </c>
      <c r="T752" s="1287">
        <v>40</v>
      </c>
      <c r="U752" s="1287"/>
      <c r="V752" s="1281" t="s">
        <v>7279</v>
      </c>
      <c r="W752" s="1281"/>
      <c r="X752" s="1282"/>
      <c r="Z752" s="1418" t="str">
        <f t="shared" si="154"/>
        <v/>
      </c>
      <c r="AG752" s="961" t="str">
        <f t="shared" si="133"/>
        <v/>
      </c>
      <c r="AH752" s="87" t="str">
        <f t="shared" si="134"/>
        <v/>
      </c>
      <c r="AI752" s="87" t="str">
        <f t="shared" si="135"/>
        <v/>
      </c>
      <c r="AJ752" s="1419">
        <f>IF(OR($L752=AJ$627,$L752="",$D752=$AL$626),MAX(AJ$629:AJ751)+1,0)</f>
        <v>29</v>
      </c>
      <c r="AK752" s="1420">
        <f>IF(OR($L752=AK$627,$L752="",$D752=$AL$626),MAX(AK$629:AK751)+1,0)</f>
        <v>0</v>
      </c>
      <c r="AL752" s="1421">
        <f>IF(OR($L752=AL$627,$L752="",$D752=$AL$626),MAX(AL$629:AL751)+1,0)</f>
        <v>0</v>
      </c>
      <c r="AM752" s="5701"/>
      <c r="AN752" s="961" t="str">
        <f t="shared" si="136"/>
        <v/>
      </c>
      <c r="AO752" s="87" t="str">
        <f t="shared" si="137"/>
        <v/>
      </c>
      <c r="AP752" s="87" t="str">
        <f t="shared" si="138"/>
        <v/>
      </c>
      <c r="AQ752" s="1419">
        <f>IF(OR($L752=AQ$627,$L752="",$D752=$AS$626),MAX(AQ$629:AQ751)+1,0)</f>
        <v>29</v>
      </c>
      <c r="AR752" s="1420">
        <f>IF(OR($L752=AR$627,$L752="",$D752=$AS$626),MAX(AR$629:AR751)+1,0)</f>
        <v>0</v>
      </c>
      <c r="AS752" s="1421">
        <f>IF(OR($L752=AS$627,$L752="",$D752=$AS$626),MAX(AS$629:AS751)+1,0)</f>
        <v>0</v>
      </c>
      <c r="AT752" s="5701"/>
      <c r="AU752" s="961" t="str">
        <f t="shared" si="139"/>
        <v/>
      </c>
      <c r="AV752" s="87" t="str">
        <f t="shared" si="140"/>
        <v/>
      </c>
      <c r="AW752" s="87" t="str">
        <f t="shared" si="141"/>
        <v/>
      </c>
      <c r="AX752" s="1419">
        <f>IF(OR($L752=AX$627,$L752="",$D752=$AZ$626),MAX(AX$629:AX751)+1,0)</f>
        <v>29</v>
      </c>
      <c r="AY752" s="1420">
        <f>IF(OR($L752=AY$627,$L752="",$D752=$AZ$626),MAX(AY$629:AY751)+1,0)</f>
        <v>0</v>
      </c>
      <c r="AZ752" s="1421">
        <f>IF(OR($L752=AZ$627,$L752="",$D752=$AZ$626),MAX(AZ$629:AZ751)+1,0)</f>
        <v>0</v>
      </c>
      <c r="BA752" s="5701"/>
      <c r="BB752" s="961" t="str">
        <f t="shared" si="142"/>
        <v/>
      </c>
      <c r="BC752" s="87" t="str">
        <f t="shared" si="143"/>
        <v/>
      </c>
      <c r="BD752" s="87" t="str">
        <f t="shared" si="144"/>
        <v/>
      </c>
      <c r="BE752" s="1419">
        <f>IF(OR($L752=BE$627,$L752="",$D752=$BG$626),MAX(BE$629:BE751)+1,0)</f>
        <v>29</v>
      </c>
      <c r="BF752" s="1420">
        <f>IF(OR($L752=BF$627,$L752="",$D752=$BG$626),MAX(BF$629:BF751)+1,0)</f>
        <v>0</v>
      </c>
      <c r="BG752" s="1421">
        <f>IF(OR($L752=BG$627,$L752="",$D752=$BG$626),MAX(BG$629:BG751)+1,0)</f>
        <v>0</v>
      </c>
      <c r="BH752" s="5701"/>
      <c r="BI752" s="961" t="str">
        <f t="shared" si="145"/>
        <v/>
      </c>
      <c r="BJ752" s="87" t="str">
        <f t="shared" si="146"/>
        <v/>
      </c>
      <c r="BK752" s="87" t="str">
        <f t="shared" si="147"/>
        <v/>
      </c>
      <c r="BL752" s="1419">
        <f>IF(OR($L752=BL$627,$L752="",$D752=$BN$626),MAX(BL$629:BL751)+1,0)</f>
        <v>29</v>
      </c>
      <c r="BM752" s="1420">
        <f>IF(OR($L752=BM$627,$L752="",$D752=$BN$626),MAX(BM$629:BM751)+1,0)</f>
        <v>0</v>
      </c>
      <c r="BN752" s="1421">
        <f>IF(OR($L752=BN$627,$L752="",$D752=$BN$626),MAX(BN$629:BN751)+1,0)</f>
        <v>0</v>
      </c>
      <c r="BO752" s="5701"/>
      <c r="BP752" s="961" t="str">
        <f t="shared" si="148"/>
        <v/>
      </c>
      <c r="BQ752" s="87" t="str">
        <f t="shared" si="149"/>
        <v/>
      </c>
      <c r="BR752" s="87" t="str">
        <f t="shared" si="150"/>
        <v/>
      </c>
      <c r="BS752" s="1419">
        <f>IF(OR($L752=BS$627,$L752="",$D752=$BU$626),MAX(BS$629:BS751)+1,0)</f>
        <v>29</v>
      </c>
      <c r="BT752" s="1420">
        <f>IF(OR($L752=BT$627,$L752="",$D752=$BU$626),MAX(BT$629:BT751)+1,0)</f>
        <v>0</v>
      </c>
      <c r="BU752" s="1421">
        <f>IF(OR($L752=BU$627,$L752="",$D752=$BU$626),MAX(BU$629:BU751)+1,0)</f>
        <v>0</v>
      </c>
    </row>
    <row r="753" spans="1:73" ht="12.75" customHeight="1" x14ac:dyDescent="0.2">
      <c r="A753" s="242">
        <v>753</v>
      </c>
      <c r="B753" s="5664"/>
      <c r="C753" s="1288"/>
      <c r="D753" s="1289" t="s">
        <v>2235</v>
      </c>
      <c r="E753" s="1287">
        <v>0</v>
      </c>
      <c r="F753" s="1287">
        <v>-30</v>
      </c>
      <c r="G753" s="1287">
        <v>7</v>
      </c>
      <c r="H753" s="1287">
        <v>7</v>
      </c>
      <c r="I753" s="1287" t="s">
        <v>1464</v>
      </c>
      <c r="J753" s="1287" t="s">
        <v>1464</v>
      </c>
      <c r="K753" s="1281" t="s">
        <v>7537</v>
      </c>
      <c r="L753" s="1287" t="str">
        <f t="shared" si="153"/>
        <v>Similar</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
      </c>
      <c r="AJ753" s="1419">
        <f>IF(OR($L753=AJ$627,$L753="",$D753=$AL$626),MAX(AJ$629:AJ752)+1,0)</f>
        <v>30</v>
      </c>
      <c r="AK753" s="1420">
        <f>IF(OR($L753=AK$627,$L753="",$D753=$AL$626),MAX(AK$629:AK752)+1,0)</f>
        <v>0</v>
      </c>
      <c r="AL753" s="1421">
        <f>IF(OR($L753=AL$627,$L753="",$D753=$AL$626),MAX(AL$629:AL752)+1,0)</f>
        <v>0</v>
      </c>
      <c r="AM753" s="5701"/>
      <c r="AN753" s="961" t="str">
        <f t="shared" si="136"/>
        <v/>
      </c>
      <c r="AO753" s="87" t="str">
        <f t="shared" si="137"/>
        <v/>
      </c>
      <c r="AP753" s="87" t="str">
        <f t="shared" si="138"/>
        <v/>
      </c>
      <c r="AQ753" s="1419">
        <f>IF(OR($L753=AQ$627,$L753="",$D753=$AS$626),MAX(AQ$629:AQ752)+1,0)</f>
        <v>30</v>
      </c>
      <c r="AR753" s="1420">
        <f>IF(OR($L753=AR$627,$L753="",$D753=$AS$626),MAX(AR$629:AR752)+1,0)</f>
        <v>0</v>
      </c>
      <c r="AS753" s="1421">
        <f>IF(OR($L753=AS$627,$L753="",$D753=$AS$626),MAX(AS$629:AS752)+1,0)</f>
        <v>0</v>
      </c>
      <c r="AT753" s="5701"/>
      <c r="AU753" s="961" t="str">
        <f t="shared" si="139"/>
        <v/>
      </c>
      <c r="AV753" s="87" t="str">
        <f t="shared" si="140"/>
        <v/>
      </c>
      <c r="AW753" s="87" t="str">
        <f t="shared" si="141"/>
        <v/>
      </c>
      <c r="AX753" s="1419">
        <f>IF(OR($L753=AX$627,$L753="",$D753=$AZ$626),MAX(AX$629:AX752)+1,0)</f>
        <v>30</v>
      </c>
      <c r="AY753" s="1420">
        <f>IF(OR($L753=AY$627,$L753="",$D753=$AZ$626),MAX(AY$629:AY752)+1,0)</f>
        <v>0</v>
      </c>
      <c r="AZ753" s="1421">
        <f>IF(OR($L753=AZ$627,$L753="",$D753=$AZ$626),MAX(AZ$629:AZ752)+1,0)</f>
        <v>0</v>
      </c>
      <c r="BA753" s="5701"/>
      <c r="BB753" s="961" t="str">
        <f t="shared" si="142"/>
        <v/>
      </c>
      <c r="BC753" s="87" t="str">
        <f t="shared" si="143"/>
        <v/>
      </c>
      <c r="BD753" s="87" t="str">
        <f t="shared" si="144"/>
        <v/>
      </c>
      <c r="BE753" s="1419">
        <f>IF(OR($L753=BE$627,$L753="",$D753=$BG$626),MAX(BE$629:BE752)+1,0)</f>
        <v>30</v>
      </c>
      <c r="BF753" s="1420">
        <f>IF(OR($L753=BF$627,$L753="",$D753=$BG$626),MAX(BF$629:BF752)+1,0)</f>
        <v>0</v>
      </c>
      <c r="BG753" s="1421">
        <f>IF(OR($L753=BG$627,$L753="",$D753=$BG$626),MAX(BG$629:BG752)+1,0)</f>
        <v>0</v>
      </c>
      <c r="BH753" s="5701"/>
      <c r="BI753" s="961" t="str">
        <f t="shared" si="145"/>
        <v/>
      </c>
      <c r="BJ753" s="87" t="str">
        <f t="shared" si="146"/>
        <v/>
      </c>
      <c r="BK753" s="87" t="str">
        <f t="shared" si="147"/>
        <v/>
      </c>
      <c r="BL753" s="1419">
        <f>IF(OR($L753=BL$627,$L753="",$D753=$BN$626),MAX(BL$629:BL752)+1,0)</f>
        <v>30</v>
      </c>
      <c r="BM753" s="1420">
        <f>IF(OR($L753=BM$627,$L753="",$D753=$BN$626),MAX(BM$629:BM752)+1,0)</f>
        <v>0</v>
      </c>
      <c r="BN753" s="1421">
        <f>IF(OR($L753=BN$627,$L753="",$D753=$BN$626),MAX(BN$629:BN752)+1,0)</f>
        <v>0</v>
      </c>
      <c r="BO753" s="5701"/>
      <c r="BP753" s="961" t="str">
        <f t="shared" si="148"/>
        <v/>
      </c>
      <c r="BQ753" s="87" t="str">
        <f t="shared" si="149"/>
        <v/>
      </c>
      <c r="BR753" s="87" t="str">
        <f t="shared" si="150"/>
        <v/>
      </c>
      <c r="BS753" s="1419">
        <f>IF(OR($L753=BS$627,$L753="",$D753=$BU$626),MAX(BS$629:BS752)+1,0)</f>
        <v>30</v>
      </c>
      <c r="BT753" s="1420">
        <f>IF(OR($L753=BT$627,$L753="",$D753=$BU$626),MAX(BT$629:BT752)+1,0)</f>
        <v>0</v>
      </c>
      <c r="BU753" s="1421">
        <f>IF(OR($L753=BU$627,$L753="",$D753=$BU$626),MAX(BU$629:BU752)+1,0)</f>
        <v>0</v>
      </c>
    </row>
    <row r="754" spans="1:73" ht="12.75" customHeight="1" x14ac:dyDescent="0.2">
      <c r="A754" s="242">
        <v>754</v>
      </c>
      <c r="B754" s="5664"/>
      <c r="C754" s="1288"/>
      <c r="D754" s="1289" t="s">
        <v>7232</v>
      </c>
      <c r="E754" s="1287">
        <v>0</v>
      </c>
      <c r="F754" s="1287">
        <v>0</v>
      </c>
      <c r="G754" s="1287">
        <v>5</v>
      </c>
      <c r="H754" s="1287">
        <v>5</v>
      </c>
      <c r="I754" s="1287" t="s">
        <v>1464</v>
      </c>
      <c r="J754" s="1287" t="s">
        <v>1464</v>
      </c>
      <c r="K754" s="1281" t="s">
        <v>7537</v>
      </c>
      <c r="L754" s="1287" t="str">
        <f t="shared" si="153"/>
        <v>Similar</v>
      </c>
      <c r="M754" s="1296">
        <v>8</v>
      </c>
      <c r="N754" s="1296">
        <v>-4</v>
      </c>
      <c r="O754" s="1296">
        <v>10</v>
      </c>
      <c r="P754" s="1287"/>
      <c r="Q754" s="1287"/>
      <c r="R754" s="1287" t="s">
        <v>1464</v>
      </c>
      <c r="S754" s="1287">
        <v>1</v>
      </c>
      <c r="T754" s="1287">
        <v>30</v>
      </c>
      <c r="U754" s="1287">
        <f>FUE+2</f>
        <v>7</v>
      </c>
      <c r="V754" s="1281" t="s">
        <v>2185</v>
      </c>
      <c r="W754" s="1281"/>
      <c r="X754" s="1282"/>
      <c r="Z754" s="1418" t="str">
        <f t="shared" si="154"/>
        <v/>
      </c>
      <c r="AG754" s="961" t="str">
        <f t="shared" si="133"/>
        <v/>
      </c>
      <c r="AH754" s="87" t="str">
        <f t="shared" si="134"/>
        <v/>
      </c>
      <c r="AI754" s="87" t="str">
        <f t="shared" si="135"/>
        <v/>
      </c>
      <c r="AJ754" s="1419">
        <f>IF(OR($L754=AJ$627,$L754="",$D754=$AL$626),MAX(AJ$629:AJ753)+1,0)</f>
        <v>31</v>
      </c>
      <c r="AK754" s="1420">
        <f>IF(OR($L754=AK$627,$L754="",$D754=$AL$626),MAX(AK$629:AK753)+1,0)</f>
        <v>0</v>
      </c>
      <c r="AL754" s="1421">
        <f>IF(OR($L754=AL$627,$L754="",$D754=$AL$626),MAX(AL$629:AL753)+1,0)</f>
        <v>0</v>
      </c>
      <c r="AM754" s="5701"/>
      <c r="AN754" s="961" t="str">
        <f t="shared" si="136"/>
        <v/>
      </c>
      <c r="AO754" s="87" t="str">
        <f t="shared" si="137"/>
        <v/>
      </c>
      <c r="AP754" s="87" t="str">
        <f t="shared" si="138"/>
        <v/>
      </c>
      <c r="AQ754" s="1419">
        <f>IF(OR($L754=AQ$627,$L754="",$D754=$AS$626),MAX(AQ$629:AQ753)+1,0)</f>
        <v>31</v>
      </c>
      <c r="AR754" s="1420">
        <f>IF(OR($L754=AR$627,$L754="",$D754=$AS$626),MAX(AR$629:AR753)+1,0)</f>
        <v>0</v>
      </c>
      <c r="AS754" s="1421">
        <f>IF(OR($L754=AS$627,$L754="",$D754=$AS$626),MAX(AS$629:AS753)+1,0)</f>
        <v>0</v>
      </c>
      <c r="AT754" s="5701"/>
      <c r="AU754" s="961" t="str">
        <f t="shared" si="139"/>
        <v/>
      </c>
      <c r="AV754" s="87" t="str">
        <f t="shared" si="140"/>
        <v/>
      </c>
      <c r="AW754" s="87" t="str">
        <f t="shared" si="141"/>
        <v/>
      </c>
      <c r="AX754" s="1419">
        <f>IF(OR($L754=AX$627,$L754="",$D754=$AZ$626),MAX(AX$629:AX753)+1,0)</f>
        <v>31</v>
      </c>
      <c r="AY754" s="1420">
        <f>IF(OR($L754=AY$627,$L754="",$D754=$AZ$626),MAX(AY$629:AY753)+1,0)</f>
        <v>0</v>
      </c>
      <c r="AZ754" s="1421">
        <f>IF(OR($L754=AZ$627,$L754="",$D754=$AZ$626),MAX(AZ$629:AZ753)+1,0)</f>
        <v>0</v>
      </c>
      <c r="BA754" s="5701"/>
      <c r="BB754" s="961" t="str">
        <f t="shared" si="142"/>
        <v/>
      </c>
      <c r="BC754" s="87" t="str">
        <f t="shared" si="143"/>
        <v/>
      </c>
      <c r="BD754" s="87" t="str">
        <f t="shared" si="144"/>
        <v/>
      </c>
      <c r="BE754" s="1419">
        <f>IF(OR($L754=BE$627,$L754="",$D754=$BG$626),MAX(BE$629:BE753)+1,0)</f>
        <v>31</v>
      </c>
      <c r="BF754" s="1420">
        <f>IF(OR($L754=BF$627,$L754="",$D754=$BG$626),MAX(BF$629:BF753)+1,0)</f>
        <v>0</v>
      </c>
      <c r="BG754" s="1421">
        <f>IF(OR($L754=BG$627,$L754="",$D754=$BG$626),MAX(BG$629:BG753)+1,0)</f>
        <v>0</v>
      </c>
      <c r="BH754" s="5701"/>
      <c r="BI754" s="961" t="str">
        <f t="shared" si="145"/>
        <v/>
      </c>
      <c r="BJ754" s="87" t="str">
        <f t="shared" si="146"/>
        <v/>
      </c>
      <c r="BK754" s="87" t="str">
        <f t="shared" si="147"/>
        <v/>
      </c>
      <c r="BL754" s="1419">
        <f>IF(OR($L754=BL$627,$L754="",$D754=$BN$626),MAX(BL$629:BL753)+1,0)</f>
        <v>31</v>
      </c>
      <c r="BM754" s="1420">
        <f>IF(OR($L754=BM$627,$L754="",$D754=$BN$626),MAX(BM$629:BM753)+1,0)</f>
        <v>0</v>
      </c>
      <c r="BN754" s="1421">
        <f>IF(OR($L754=BN$627,$L754="",$D754=$BN$626),MAX(BN$629:BN753)+1,0)</f>
        <v>0</v>
      </c>
      <c r="BO754" s="5701"/>
      <c r="BP754" s="961" t="str">
        <f t="shared" si="148"/>
        <v/>
      </c>
      <c r="BQ754" s="87" t="str">
        <f t="shared" si="149"/>
        <v/>
      </c>
      <c r="BR754" s="87" t="str">
        <f t="shared" si="150"/>
        <v/>
      </c>
      <c r="BS754" s="1419">
        <f>IF(OR($L754=BS$627,$L754="",$D754=$BU$626),MAX(BS$629:BS753)+1,0)</f>
        <v>31</v>
      </c>
      <c r="BT754" s="1420">
        <f>IF(OR($L754=BT$627,$L754="",$D754=$BU$626),MAX(BT$629:BT753)+1,0)</f>
        <v>0</v>
      </c>
      <c r="BU754" s="1421">
        <f>IF(OR($L754=BU$627,$L754="",$D754=$BU$626),MAX(BU$629:BU753)+1,0)</f>
        <v>0</v>
      </c>
    </row>
    <row r="755" spans="1:73" ht="12.75" customHeight="1" x14ac:dyDescent="0.2">
      <c r="A755" s="242">
        <v>755</v>
      </c>
      <c r="B755" s="5664"/>
      <c r="C755" s="1288"/>
      <c r="D755" s="1289" t="s">
        <v>2236</v>
      </c>
      <c r="E755" s="1287">
        <v>0</v>
      </c>
      <c r="F755" s="1287">
        <v>0</v>
      </c>
      <c r="G755" s="1287">
        <v>8</v>
      </c>
      <c r="H755" s="1287">
        <v>4</v>
      </c>
      <c r="I755" s="1287" t="s">
        <v>1464</v>
      </c>
      <c r="J755" s="1287" t="s">
        <v>1464</v>
      </c>
      <c r="K755" s="1281" t="s">
        <v>7537</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Similar</v>
      </c>
      <c r="M755" s="1296">
        <v>8</v>
      </c>
      <c r="N755" s="1296">
        <v>-2</v>
      </c>
      <c r="O755" s="1296">
        <v>20</v>
      </c>
      <c r="P755" s="1287"/>
      <c r="Q755" s="1287"/>
      <c r="R755" s="1287" t="s">
        <v>1464</v>
      </c>
      <c r="S755" s="1287">
        <v>2</v>
      </c>
      <c r="T755" s="1287">
        <v>60</v>
      </c>
      <c r="U755" s="1287">
        <v>8</v>
      </c>
      <c r="V755" s="1281" t="s">
        <v>2237</v>
      </c>
      <c r="W755" s="1281"/>
      <c r="X755" s="1282"/>
      <c r="Z755" s="1418" t="str">
        <f t="shared" si="154"/>
        <v/>
      </c>
      <c r="AG755" s="961" t="str">
        <f t="shared" si="133"/>
        <v/>
      </c>
      <c r="AH755" s="87" t="str">
        <f t="shared" si="134"/>
        <v/>
      </c>
      <c r="AI755" s="87" t="str">
        <f t="shared" si="135"/>
        <v/>
      </c>
      <c r="AJ755" s="1419">
        <f>IF(OR($L755=AJ$627,$L755="",$D755=$AL$626),MAX(AJ$629:AJ754)+1,0)</f>
        <v>32</v>
      </c>
      <c r="AK755" s="1420">
        <f>IF(OR($L755=AK$627,$L755="",$D755=$AL$626),MAX(AK$629:AK754)+1,0)</f>
        <v>0</v>
      </c>
      <c r="AL755" s="1421">
        <f>IF(OR($L755=AL$627,$L755="",$D755=$AL$626),MAX(AL$629:AL754)+1,0)</f>
        <v>0</v>
      </c>
      <c r="AM755" s="5701"/>
      <c r="AN755" s="961" t="str">
        <f t="shared" si="136"/>
        <v/>
      </c>
      <c r="AO755" s="87" t="str">
        <f t="shared" si="137"/>
        <v/>
      </c>
      <c r="AP755" s="87" t="str">
        <f t="shared" si="138"/>
        <v/>
      </c>
      <c r="AQ755" s="1419">
        <f>IF(OR($L755=AQ$627,$L755="",$D755=$AS$626),MAX(AQ$629:AQ754)+1,0)</f>
        <v>32</v>
      </c>
      <c r="AR755" s="1420">
        <f>IF(OR($L755=AR$627,$L755="",$D755=$AS$626),MAX(AR$629:AR754)+1,0)</f>
        <v>0</v>
      </c>
      <c r="AS755" s="1421">
        <f>IF(OR($L755=AS$627,$L755="",$D755=$AS$626),MAX(AS$629:AS754)+1,0)</f>
        <v>0</v>
      </c>
      <c r="AT755" s="5701"/>
      <c r="AU755" s="961" t="str">
        <f t="shared" si="139"/>
        <v/>
      </c>
      <c r="AV755" s="87" t="str">
        <f t="shared" si="140"/>
        <v/>
      </c>
      <c r="AW755" s="87" t="str">
        <f t="shared" si="141"/>
        <v/>
      </c>
      <c r="AX755" s="1419">
        <f>IF(OR($L755=AX$627,$L755="",$D755=$AZ$626),MAX(AX$629:AX754)+1,0)</f>
        <v>32</v>
      </c>
      <c r="AY755" s="1420">
        <f>IF(OR($L755=AY$627,$L755="",$D755=$AZ$626),MAX(AY$629:AY754)+1,0)</f>
        <v>0</v>
      </c>
      <c r="AZ755" s="1421">
        <f>IF(OR($L755=AZ$627,$L755="",$D755=$AZ$626),MAX(AZ$629:AZ754)+1,0)</f>
        <v>0</v>
      </c>
      <c r="BA755" s="5701"/>
      <c r="BB755" s="961" t="str">
        <f t="shared" si="142"/>
        <v/>
      </c>
      <c r="BC755" s="87" t="str">
        <f t="shared" si="143"/>
        <v/>
      </c>
      <c r="BD755" s="87" t="str">
        <f t="shared" si="144"/>
        <v/>
      </c>
      <c r="BE755" s="1419">
        <f>IF(OR($L755=BE$627,$L755="",$D755=$BG$626),MAX(BE$629:BE754)+1,0)</f>
        <v>32</v>
      </c>
      <c r="BF755" s="1420">
        <f>IF(OR($L755=BF$627,$L755="",$D755=$BG$626),MAX(BF$629:BF754)+1,0)</f>
        <v>0</v>
      </c>
      <c r="BG755" s="1421">
        <f>IF(OR($L755=BG$627,$L755="",$D755=$BG$626),MAX(BG$629:BG754)+1,0)</f>
        <v>0</v>
      </c>
      <c r="BH755" s="5701"/>
      <c r="BI755" s="961" t="str">
        <f t="shared" si="145"/>
        <v/>
      </c>
      <c r="BJ755" s="87" t="str">
        <f t="shared" si="146"/>
        <v/>
      </c>
      <c r="BK755" s="87" t="str">
        <f t="shared" si="147"/>
        <v/>
      </c>
      <c r="BL755" s="1419">
        <f>IF(OR($L755=BL$627,$L755="",$D755=$BN$626),MAX(BL$629:BL754)+1,0)</f>
        <v>32</v>
      </c>
      <c r="BM755" s="1420">
        <f>IF(OR($L755=BM$627,$L755="",$D755=$BN$626),MAX(BM$629:BM754)+1,0)</f>
        <v>0</v>
      </c>
      <c r="BN755" s="1421">
        <f>IF(OR($L755=BN$627,$L755="",$D755=$BN$626),MAX(BN$629:BN754)+1,0)</f>
        <v>0</v>
      </c>
      <c r="BO755" s="5701"/>
      <c r="BP755" s="961" t="str">
        <f t="shared" si="148"/>
        <v/>
      </c>
      <c r="BQ755" s="87" t="str">
        <f t="shared" si="149"/>
        <v/>
      </c>
      <c r="BR755" s="87" t="str">
        <f t="shared" si="150"/>
        <v/>
      </c>
      <c r="BS755" s="1419">
        <f>IF(OR($L755=BS$627,$L755="",$D755=$BU$626),MAX(BS$629:BS754)+1,0)</f>
        <v>32</v>
      </c>
      <c r="BT755" s="1420">
        <f>IF(OR($L755=BT$627,$L755="",$D755=$BU$626),MAX(BT$629:BT754)+1,0)</f>
        <v>0</v>
      </c>
      <c r="BU755" s="1421">
        <f>IF(OR($L755=BU$627,$L755="",$D755=$BU$626),MAX(BU$629:BU754)+1,0)</f>
        <v>0</v>
      </c>
    </row>
    <row r="756" spans="1:73" ht="12.75" customHeight="1" x14ac:dyDescent="0.2">
      <c r="A756" s="242">
        <v>756</v>
      </c>
      <c r="B756" s="5664"/>
      <c r="C756" s="1288"/>
      <c r="D756" s="1289" t="s">
        <v>2238</v>
      </c>
      <c r="E756" s="1287">
        <v>0</v>
      </c>
      <c r="F756" s="1287">
        <v>10</v>
      </c>
      <c r="G756" s="1287">
        <v>3</v>
      </c>
      <c r="H756" s="1287">
        <v>3</v>
      </c>
      <c r="I756" s="1287" t="s">
        <v>1464</v>
      </c>
      <c r="J756" s="1287" t="s">
        <v>1464</v>
      </c>
      <c r="K756" s="1281" t="s">
        <v>7537</v>
      </c>
      <c r="L756" s="1298" t="str">
        <f>$L$755</f>
        <v>Similar</v>
      </c>
      <c r="M756" s="1296">
        <v>5</v>
      </c>
      <c r="N756" s="1296">
        <v>-4</v>
      </c>
      <c r="O756" s="1296">
        <v>15</v>
      </c>
      <c r="P756" s="1287"/>
      <c r="Q756" s="1287"/>
      <c r="R756" s="1287" t="s">
        <v>1464</v>
      </c>
      <c r="S756" s="1287">
        <v>2</v>
      </c>
      <c r="T756" s="1287">
        <v>30</v>
      </c>
      <c r="U756" s="1287">
        <v>5</v>
      </c>
      <c r="V756" s="1281" t="s">
        <v>2185</v>
      </c>
      <c r="W756" s="1281"/>
      <c r="X756" s="1282"/>
      <c r="Z756" s="1422"/>
      <c r="AA756" s="242"/>
      <c r="AC756" s="242"/>
      <c r="AG756" s="961" t="str">
        <f t="shared" si="133"/>
        <v/>
      </c>
      <c r="AH756" s="87" t="str">
        <f t="shared" si="134"/>
        <v/>
      </c>
      <c r="AI756" s="87" t="str">
        <f t="shared" si="135"/>
        <v/>
      </c>
      <c r="AJ756" s="1419">
        <f>IF(OR($L756=AJ$627,$L756="",$D756=$AL$626),MAX(AJ$629:AJ755)+1,0)</f>
        <v>33</v>
      </c>
      <c r="AK756" s="1420">
        <f>IF(OR($L756=AK$627,$L756="",$D756=$AL$626),MAX(AK$629:AK755)+1,0)</f>
        <v>0</v>
      </c>
      <c r="AL756" s="1421">
        <f>IF(OR($L756=AL$627,$L756="",$D756=$AL$626),MAX(AL$629:AL755)+1,0)</f>
        <v>0</v>
      </c>
      <c r="AM756" s="5701"/>
      <c r="AN756" s="961" t="str">
        <f t="shared" si="136"/>
        <v/>
      </c>
      <c r="AO756" s="87" t="str">
        <f t="shared" si="137"/>
        <v/>
      </c>
      <c r="AP756" s="87" t="str">
        <f t="shared" si="138"/>
        <v/>
      </c>
      <c r="AQ756" s="1419">
        <f>IF(OR($L756=AQ$627,$L756="",$D756=$AS$626),MAX(AQ$629:AQ755)+1,0)</f>
        <v>33</v>
      </c>
      <c r="AR756" s="1420">
        <f>IF(OR($L756=AR$627,$L756="",$D756=$AS$626),MAX(AR$629:AR755)+1,0)</f>
        <v>0</v>
      </c>
      <c r="AS756" s="1421">
        <f>IF(OR($L756=AS$627,$L756="",$D756=$AS$626),MAX(AS$629:AS755)+1,0)</f>
        <v>0</v>
      </c>
      <c r="AT756" s="5701"/>
      <c r="AU756" s="961" t="str">
        <f t="shared" si="139"/>
        <v/>
      </c>
      <c r="AV756" s="87" t="str">
        <f t="shared" si="140"/>
        <v/>
      </c>
      <c r="AW756" s="87" t="str">
        <f t="shared" si="141"/>
        <v/>
      </c>
      <c r="AX756" s="1419">
        <f>IF(OR($L756=AX$627,$L756="",$D756=$AZ$626),MAX(AX$629:AX755)+1,0)</f>
        <v>33</v>
      </c>
      <c r="AY756" s="1420">
        <f>IF(OR($L756=AY$627,$L756="",$D756=$AZ$626),MAX(AY$629:AY755)+1,0)</f>
        <v>0</v>
      </c>
      <c r="AZ756" s="1421">
        <f>IF(OR($L756=AZ$627,$L756="",$D756=$AZ$626),MAX(AZ$629:AZ755)+1,0)</f>
        <v>0</v>
      </c>
      <c r="BA756" s="5701"/>
      <c r="BB756" s="961" t="str">
        <f t="shared" si="142"/>
        <v/>
      </c>
      <c r="BC756" s="87" t="str">
        <f t="shared" si="143"/>
        <v/>
      </c>
      <c r="BD756" s="87" t="str">
        <f t="shared" si="144"/>
        <v/>
      </c>
      <c r="BE756" s="1419">
        <f>IF(OR($L756=BE$627,$L756="",$D756=$BG$626),MAX(BE$629:BE755)+1,0)</f>
        <v>33</v>
      </c>
      <c r="BF756" s="1420">
        <f>IF(OR($L756=BF$627,$L756="",$D756=$BG$626),MAX(BF$629:BF755)+1,0)</f>
        <v>0</v>
      </c>
      <c r="BG756" s="1421">
        <f>IF(OR($L756=BG$627,$L756="",$D756=$BG$626),MAX(BG$629:BG755)+1,0)</f>
        <v>0</v>
      </c>
      <c r="BH756" s="5701"/>
      <c r="BI756" s="961" t="str">
        <f t="shared" si="145"/>
        <v/>
      </c>
      <c r="BJ756" s="87" t="str">
        <f t="shared" si="146"/>
        <v/>
      </c>
      <c r="BK756" s="87" t="str">
        <f t="shared" si="147"/>
        <v/>
      </c>
      <c r="BL756" s="1419">
        <f>IF(OR($L756=BL$627,$L756="",$D756=$BN$626),MAX(BL$629:BL755)+1,0)</f>
        <v>33</v>
      </c>
      <c r="BM756" s="1420">
        <f>IF(OR($L756=BM$627,$L756="",$D756=$BN$626),MAX(BM$629:BM755)+1,0)</f>
        <v>0</v>
      </c>
      <c r="BN756" s="1421">
        <f>IF(OR($L756=BN$627,$L756="",$D756=$BN$626),MAX(BN$629:BN755)+1,0)</f>
        <v>0</v>
      </c>
      <c r="BO756" s="5701"/>
      <c r="BP756" s="961" t="str">
        <f t="shared" si="148"/>
        <v/>
      </c>
      <c r="BQ756" s="87" t="str">
        <f t="shared" si="149"/>
        <v/>
      </c>
      <c r="BR756" s="87" t="str">
        <f t="shared" si="150"/>
        <v/>
      </c>
      <c r="BS756" s="1419">
        <f>IF(OR($L756=BS$627,$L756="",$D756=$BU$626),MAX(BS$629:BS755)+1,0)</f>
        <v>33</v>
      </c>
      <c r="BT756" s="1420">
        <f>IF(OR($L756=BT$627,$L756="",$D756=$BU$626),MAX(BT$629:BT755)+1,0)</f>
        <v>0</v>
      </c>
      <c r="BU756" s="1421">
        <f>IF(OR($L756=BU$627,$L756="",$D756=$BU$626),MAX(BU$629:BU755)+1,0)</f>
        <v>0</v>
      </c>
    </row>
    <row r="757" spans="1:73" ht="12.75" customHeight="1" x14ac:dyDescent="0.2">
      <c r="A757" s="242">
        <v>757</v>
      </c>
      <c r="B757" s="5664"/>
      <c r="C757" s="1288"/>
      <c r="D757" s="1289" t="s">
        <v>2239</v>
      </c>
      <c r="E757" s="1287">
        <v>0</v>
      </c>
      <c r="F757" s="1287">
        <v>0</v>
      </c>
      <c r="G757" s="1287">
        <v>8</v>
      </c>
      <c r="H757" s="1287">
        <v>4</v>
      </c>
      <c r="I757" s="1287" t="s">
        <v>1464</v>
      </c>
      <c r="J757" s="1287" t="s">
        <v>1464</v>
      </c>
      <c r="K757" s="1281" t="s">
        <v>7537</v>
      </c>
      <c r="L757" s="1298" t="str">
        <f>$L$755</f>
        <v>Similar</v>
      </c>
      <c r="M757" s="1296">
        <v>6</v>
      </c>
      <c r="N757" s="1296">
        <v>-2</v>
      </c>
      <c r="O757" s="1296">
        <v>20</v>
      </c>
      <c r="P757" s="1287"/>
      <c r="Q757" s="1287"/>
      <c r="R757" s="1287" t="s">
        <v>1464</v>
      </c>
      <c r="S757" s="1287">
        <v>3</v>
      </c>
      <c r="T757" s="1287">
        <v>60</v>
      </c>
      <c r="U757" s="1287">
        <v>8</v>
      </c>
      <c r="V757" s="1281" t="s">
        <v>2237</v>
      </c>
      <c r="W757" s="1281"/>
      <c r="X757" s="1282"/>
      <c r="Z757" s="1422"/>
      <c r="AA757" s="242"/>
      <c r="AC757" s="242"/>
      <c r="AG757" s="961" t="str">
        <f t="shared" si="133"/>
        <v/>
      </c>
      <c r="AH757" s="87" t="str">
        <f t="shared" si="134"/>
        <v/>
      </c>
      <c r="AI757" s="87" t="str">
        <f t="shared" si="135"/>
        <v/>
      </c>
      <c r="AJ757" s="1419">
        <f>IF(OR($L757=AJ$627,$L757="",$D757=$AL$626),MAX(AJ$629:AJ756)+1,0)</f>
        <v>34</v>
      </c>
      <c r="AK757" s="1420">
        <f>IF(OR($L757=AK$627,$L757="",$D757=$AL$626),MAX(AK$629:AK756)+1,0)</f>
        <v>0</v>
      </c>
      <c r="AL757" s="1421">
        <f>IF(OR($L757=AL$627,$L757="",$D757=$AL$626),MAX(AL$629:AL756)+1,0)</f>
        <v>0</v>
      </c>
      <c r="AM757" s="5701"/>
      <c r="AN757" s="961" t="str">
        <f t="shared" si="136"/>
        <v/>
      </c>
      <c r="AO757" s="87" t="str">
        <f t="shared" si="137"/>
        <v/>
      </c>
      <c r="AP757" s="87" t="str">
        <f t="shared" si="138"/>
        <v/>
      </c>
      <c r="AQ757" s="1419">
        <f>IF(OR($L757=AQ$627,$L757="",$D757=$AS$626),MAX(AQ$629:AQ756)+1,0)</f>
        <v>34</v>
      </c>
      <c r="AR757" s="1420">
        <f>IF(OR($L757=AR$627,$L757="",$D757=$AS$626),MAX(AR$629:AR756)+1,0)</f>
        <v>0</v>
      </c>
      <c r="AS757" s="1421">
        <f>IF(OR($L757=AS$627,$L757="",$D757=$AS$626),MAX(AS$629:AS756)+1,0)</f>
        <v>0</v>
      </c>
      <c r="AT757" s="5701"/>
      <c r="AU757" s="961" t="str">
        <f t="shared" si="139"/>
        <v/>
      </c>
      <c r="AV757" s="87" t="str">
        <f t="shared" si="140"/>
        <v/>
      </c>
      <c r="AW757" s="87" t="str">
        <f t="shared" si="141"/>
        <v/>
      </c>
      <c r="AX757" s="1419">
        <f>IF(OR($L757=AX$627,$L757="",$D757=$AZ$626),MAX(AX$629:AX756)+1,0)</f>
        <v>34</v>
      </c>
      <c r="AY757" s="1420">
        <f>IF(OR($L757=AY$627,$L757="",$D757=$AZ$626),MAX(AY$629:AY756)+1,0)</f>
        <v>0</v>
      </c>
      <c r="AZ757" s="1421">
        <f>IF(OR($L757=AZ$627,$L757="",$D757=$AZ$626),MAX(AZ$629:AZ756)+1,0)</f>
        <v>0</v>
      </c>
      <c r="BA757" s="5701"/>
      <c r="BB757" s="961" t="str">
        <f t="shared" si="142"/>
        <v/>
      </c>
      <c r="BC757" s="87" t="str">
        <f t="shared" si="143"/>
        <v/>
      </c>
      <c r="BD757" s="87" t="str">
        <f t="shared" si="144"/>
        <v/>
      </c>
      <c r="BE757" s="1419">
        <f>IF(OR($L757=BE$627,$L757="",$D757=$BG$626),MAX(BE$629:BE756)+1,0)</f>
        <v>34</v>
      </c>
      <c r="BF757" s="1420">
        <f>IF(OR($L757=BF$627,$L757="",$D757=$BG$626),MAX(BF$629:BF756)+1,0)</f>
        <v>0</v>
      </c>
      <c r="BG757" s="1421">
        <f>IF(OR($L757=BG$627,$L757="",$D757=$BG$626),MAX(BG$629:BG756)+1,0)</f>
        <v>0</v>
      </c>
      <c r="BH757" s="5701"/>
      <c r="BI757" s="961" t="str">
        <f t="shared" si="145"/>
        <v/>
      </c>
      <c r="BJ757" s="87" t="str">
        <f t="shared" si="146"/>
        <v/>
      </c>
      <c r="BK757" s="87" t="str">
        <f t="shared" si="147"/>
        <v/>
      </c>
      <c r="BL757" s="1419">
        <f>IF(OR($L757=BL$627,$L757="",$D757=$BN$626),MAX(BL$629:BL756)+1,0)</f>
        <v>34</v>
      </c>
      <c r="BM757" s="1420">
        <f>IF(OR($L757=BM$627,$L757="",$D757=$BN$626),MAX(BM$629:BM756)+1,0)</f>
        <v>0</v>
      </c>
      <c r="BN757" s="1421">
        <f>IF(OR($L757=BN$627,$L757="",$D757=$BN$626),MAX(BN$629:BN756)+1,0)</f>
        <v>0</v>
      </c>
      <c r="BO757" s="5701"/>
      <c r="BP757" s="961" t="str">
        <f t="shared" si="148"/>
        <v/>
      </c>
      <c r="BQ757" s="87" t="str">
        <f t="shared" si="149"/>
        <v/>
      </c>
      <c r="BR757" s="87" t="str">
        <f t="shared" si="150"/>
        <v/>
      </c>
      <c r="BS757" s="1419">
        <f>IF(OR($L757=BS$627,$L757="",$D757=$BU$626),MAX(BS$629:BS756)+1,0)</f>
        <v>34</v>
      </c>
      <c r="BT757" s="1420">
        <f>IF(OR($L757=BT$627,$L757="",$D757=$BU$626),MAX(BT$629:BT756)+1,0)</f>
        <v>0</v>
      </c>
      <c r="BU757" s="1421">
        <f>IF(OR($L757=BU$627,$L757="",$D757=$BU$626),MAX(BU$629:BU756)+1,0)</f>
        <v>0</v>
      </c>
    </row>
    <row r="758" spans="1:73" ht="12.75" customHeight="1" x14ac:dyDescent="0.2">
      <c r="A758" s="242">
        <v>758</v>
      </c>
      <c r="B758" s="5664"/>
      <c r="C758" s="1288"/>
      <c r="D758" s="1289" t="s">
        <v>2240</v>
      </c>
      <c r="E758" s="1287">
        <v>0</v>
      </c>
      <c r="F758" s="1287">
        <v>-20</v>
      </c>
      <c r="G758" s="1287">
        <v>10</v>
      </c>
      <c r="H758" s="1287">
        <v>7</v>
      </c>
      <c r="I758" s="1287" t="s">
        <v>1464</v>
      </c>
      <c r="J758" s="1287" t="s">
        <v>1464</v>
      </c>
      <c r="K758" s="1281" t="s">
        <v>7537</v>
      </c>
      <c r="L758" s="1287" t="str">
        <f>IF(ISNUMBER(SEARCH($D758,Armas_Conocidas)),"Conocida",IF(OR(ISNUMBER(SEARCH(LEFT($K758,SEARCH("/",$K758)),Tipologías_Conocidas)),AND(NOT(ISNUMBER(SEARCH("/-",$K758))),ISNUMBER(SEARCH(MID($K758,SEARCH("/",$K758)+1,LEN($K758)),Tipologías_Conocidas)))),IF(ISNUMBER(SEARCH($K758,Tipologías_Conocidas)),"Similar","Mixta"),"Distinta"))</f>
        <v>Similar</v>
      </c>
      <c r="M758" s="1296">
        <v>8</v>
      </c>
      <c r="N758" s="1296">
        <v>-1</v>
      </c>
      <c r="O758" s="1296">
        <v>20</v>
      </c>
      <c r="P758" s="1287"/>
      <c r="Q758" s="1287"/>
      <c r="R758" s="1287" t="s">
        <v>1464</v>
      </c>
      <c r="S758" s="1287">
        <v>2</v>
      </c>
      <c r="T758" s="1287">
        <v>80</v>
      </c>
      <c r="U758" s="1287">
        <v>10</v>
      </c>
      <c r="V758" s="1281" t="s">
        <v>2237</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
      </c>
      <c r="AJ758" s="1419">
        <f>IF(OR($L758=AJ$627,$L758="",$D758=$AL$626),MAX(AJ$629:AJ757)+1,0)</f>
        <v>35</v>
      </c>
      <c r="AK758" s="1420">
        <f>IF(OR($L758=AK$627,$L758="",$D758=$AL$626),MAX(AK$629:AK757)+1,0)</f>
        <v>0</v>
      </c>
      <c r="AL758" s="1421">
        <f>IF(OR($L758=AL$627,$L758="",$D758=$AL$626),MAX(AL$629:AL757)+1,0)</f>
        <v>0</v>
      </c>
      <c r="AM758" s="5701"/>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
      </c>
      <c r="AQ758" s="1419">
        <f>IF(OR($L758=AQ$627,$L758="",$D758=$AS$626),MAX(AQ$629:AQ757)+1,0)</f>
        <v>35</v>
      </c>
      <c r="AR758" s="1420">
        <f>IF(OR($L758=AR$627,$L758="",$D758=$AS$626),MAX(AR$629:AR757)+1,0)</f>
        <v>0</v>
      </c>
      <c r="AS758" s="1421">
        <f>IF(OR($L758=AS$627,$L758="",$D758=$AS$626),MAX(AS$629:AS757)+1,0)</f>
        <v>0</v>
      </c>
      <c r="AT758" s="5701"/>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
      </c>
      <c r="AX758" s="1419">
        <f>IF(OR($L758=AX$627,$L758="",$D758=$AZ$626),MAX(AX$629:AX757)+1,0)</f>
        <v>35</v>
      </c>
      <c r="AY758" s="1420">
        <f>IF(OR($L758=AY$627,$L758="",$D758=$AZ$626),MAX(AY$629:AY757)+1,0)</f>
        <v>0</v>
      </c>
      <c r="AZ758" s="1421">
        <f>IF(OR($L758=AZ$627,$L758="",$D758=$AZ$626),MAX(AZ$629:AZ757)+1,0)</f>
        <v>0</v>
      </c>
      <c r="BA758" s="5701"/>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
      </c>
      <c r="BE758" s="1419">
        <f>IF(OR($L758=BE$627,$L758="",$D758=$BG$626),MAX(BE$629:BE757)+1,0)</f>
        <v>35</v>
      </c>
      <c r="BF758" s="1420">
        <f>IF(OR($L758=BF$627,$L758="",$D758=$BG$626),MAX(BF$629:BF757)+1,0)</f>
        <v>0</v>
      </c>
      <c r="BG758" s="1421">
        <f>IF(OR($L758=BG$627,$L758="",$D758=$BG$626),MAX(BG$629:BG757)+1,0)</f>
        <v>0</v>
      </c>
      <c r="BH758" s="5701"/>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
      </c>
      <c r="BL758" s="1419">
        <f>IF(OR($L758=BL$627,$L758="",$D758=$BN$626),MAX(BL$629:BL757)+1,0)</f>
        <v>35</v>
      </c>
      <c r="BM758" s="1420">
        <f>IF(OR($L758=BM$627,$L758="",$D758=$BN$626),MAX(BM$629:BM757)+1,0)</f>
        <v>0</v>
      </c>
      <c r="BN758" s="1421">
        <f>IF(OR($L758=BN$627,$L758="",$D758=$BN$626),MAX(BN$629:BN757)+1,0)</f>
        <v>0</v>
      </c>
      <c r="BO758" s="5701"/>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
      </c>
      <c r="BS758" s="1419">
        <f>IF(OR($L758=BS$627,$L758="",$D758=$BU$626),MAX(BS$629:BS757)+1,0)</f>
        <v>35</v>
      </c>
      <c r="BT758" s="1420">
        <f>IF(OR($L758=BT$627,$L758="",$D758=$BU$626),MAX(BT$629:BT757)+1,0)</f>
        <v>0</v>
      </c>
      <c r="BU758" s="1421">
        <f>IF(OR($L758=BU$627,$L758="",$D758=$BU$626),MAX(BU$629:BU757)+1,0)</f>
        <v>0</v>
      </c>
    </row>
    <row r="759" spans="1:73" ht="12.75" customHeight="1" x14ac:dyDescent="0.2">
      <c r="A759" s="242">
        <v>759</v>
      </c>
      <c r="B759" s="5664"/>
      <c r="C759" s="1288"/>
      <c r="D759" s="1289" t="s">
        <v>2241</v>
      </c>
      <c r="E759" s="1287">
        <v>0</v>
      </c>
      <c r="F759" s="1287">
        <v>-10</v>
      </c>
      <c r="G759" s="1287">
        <v>4</v>
      </c>
      <c r="H759" s="1287">
        <v>4</v>
      </c>
      <c r="I759" s="1287" t="s">
        <v>1464</v>
      </c>
      <c r="J759" s="1287" t="s">
        <v>1464</v>
      </c>
      <c r="K759" s="1281" t="s">
        <v>7537</v>
      </c>
      <c r="L759" s="1287" t="str">
        <f>IF(ISNUMBER(SEARCH($D759,Armas_Conocidas)),"Conocida",IF(OR(ISNUMBER(SEARCH(LEFT($K759,SEARCH("/",$K759)),Tipologías_Conocidas)),AND(NOT(ISNUMBER(SEARCH("/-",$K759))),ISNUMBER(SEARCH(MID($K759,SEARCH("/",$K759)+1,LEN($K759)),Tipologías_Conocidas)))),IF(ISNUMBER(SEARCH($K759,Tipologías_Conocidas)),"Similar","Mixta"),"Distinta"))</f>
        <v>Conocida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Proyectiles/-</v>
      </c>
      <c r="AA759" s="242"/>
      <c r="AC759" s="242"/>
      <c r="AG759" s="961" t="str">
        <f t="shared" si="155"/>
        <v/>
      </c>
      <c r="AH759" s="87" t="str">
        <f t="shared" si="156"/>
        <v/>
      </c>
      <c r="AI759" s="87" t="str">
        <f t="shared" si="157"/>
        <v/>
      </c>
      <c r="AJ759" s="1419">
        <f>IF(OR($L759=AJ$627,$L759="",$D759=$AL$626),MAX(AJ$629:AJ758)+1,0)</f>
        <v>0</v>
      </c>
      <c r="AK759" s="1420">
        <f>IF(OR($L759=AK$627,$L759="",$D759=$AL$626),MAX(AK$629:AK758)+1,0)</f>
        <v>0</v>
      </c>
      <c r="AL759" s="1421">
        <f>IF(OR($L759=AL$627,$L759="",$D759=$AL$626),MAX(AL$629:AL758)+1,0)</f>
        <v>0</v>
      </c>
      <c r="AM759" s="5701"/>
      <c r="AN759" s="961" t="str">
        <f t="shared" si="158"/>
        <v/>
      </c>
      <c r="AO759" s="87" t="str">
        <f t="shared" si="159"/>
        <v/>
      </c>
      <c r="AP759" s="87" t="str">
        <f t="shared" si="160"/>
        <v/>
      </c>
      <c r="AQ759" s="1419">
        <f>IF(OR($L759=AQ$627,$L759="",$D759=$AS$626),MAX(AQ$629:AQ758)+1,0)</f>
        <v>0</v>
      </c>
      <c r="AR759" s="1420">
        <f>IF(OR($L759=AR$627,$L759="",$D759=$AS$626),MAX(AR$629:AR758)+1,0)</f>
        <v>0</v>
      </c>
      <c r="AS759" s="1421">
        <f>IF(OR($L759=AS$627,$L759="",$D759=$AS$626),MAX(AS$629:AS758)+1,0)</f>
        <v>0</v>
      </c>
      <c r="AT759" s="5701"/>
      <c r="AU759" s="961" t="str">
        <f t="shared" si="161"/>
        <v/>
      </c>
      <c r="AV759" s="87" t="str">
        <f t="shared" si="162"/>
        <v/>
      </c>
      <c r="AW759" s="87" t="str">
        <f t="shared" si="163"/>
        <v/>
      </c>
      <c r="AX759" s="1419">
        <f>IF(OR($L759=AX$627,$L759="",$D759=$AZ$626),MAX(AX$629:AX758)+1,0)</f>
        <v>0</v>
      </c>
      <c r="AY759" s="1420">
        <f>IF(OR($L759=AY$627,$L759="",$D759=$AZ$626),MAX(AY$629:AY758)+1,0)</f>
        <v>0</v>
      </c>
      <c r="AZ759" s="1421">
        <f>IF(OR($L759=AZ$627,$L759="",$D759=$AZ$626),MAX(AZ$629:AZ758)+1,0)</f>
        <v>0</v>
      </c>
      <c r="BA759" s="5701"/>
      <c r="BB759" s="961" t="str">
        <f t="shared" si="164"/>
        <v/>
      </c>
      <c r="BC759" s="87" t="str">
        <f t="shared" si="165"/>
        <v/>
      </c>
      <c r="BD759" s="87" t="str">
        <f t="shared" si="166"/>
        <v/>
      </c>
      <c r="BE759" s="1419">
        <f>IF(OR($L759=BE$627,$L759="",$D759=$BG$626),MAX(BE$629:BE758)+1,0)</f>
        <v>0</v>
      </c>
      <c r="BF759" s="1420">
        <f>IF(OR($L759=BF$627,$L759="",$D759=$BG$626),MAX(BF$629:BF758)+1,0)</f>
        <v>0</v>
      </c>
      <c r="BG759" s="1421">
        <f>IF(OR($L759=BG$627,$L759="",$D759=$BG$626),MAX(BG$629:BG758)+1,0)</f>
        <v>0</v>
      </c>
      <c r="BH759" s="5701"/>
      <c r="BI759" s="961" t="str">
        <f t="shared" si="167"/>
        <v/>
      </c>
      <c r="BJ759" s="87" t="str">
        <f t="shared" si="168"/>
        <v/>
      </c>
      <c r="BK759" s="87" t="str">
        <f t="shared" si="169"/>
        <v/>
      </c>
      <c r="BL759" s="1419">
        <f>IF(OR($L759=BL$627,$L759="",$D759=$BN$626),MAX(BL$629:BL758)+1,0)</f>
        <v>0</v>
      </c>
      <c r="BM759" s="1420">
        <f>IF(OR($L759=BM$627,$L759="",$D759=$BN$626),MAX(BM$629:BM758)+1,0)</f>
        <v>0</v>
      </c>
      <c r="BN759" s="1421">
        <f>IF(OR($L759=BN$627,$L759="",$D759=$BN$626),MAX(BN$629:BN758)+1,0)</f>
        <v>0</v>
      </c>
      <c r="BO759" s="5701"/>
      <c r="BP759" s="961" t="str">
        <f t="shared" si="170"/>
        <v/>
      </c>
      <c r="BQ759" s="87" t="str">
        <f t="shared" si="171"/>
        <v/>
      </c>
      <c r="BR759" s="87" t="str">
        <f t="shared" si="172"/>
        <v/>
      </c>
      <c r="BS759" s="1419">
        <f>IF(OR($L759=BS$627,$L759="",$D759=$BU$626),MAX(BS$629:BS758)+1,0)</f>
        <v>0</v>
      </c>
      <c r="BT759" s="1420">
        <f>IF(OR($L759=BT$627,$L759="",$D759=$BU$626),MAX(BT$629:BT758)+1,0)</f>
        <v>0</v>
      </c>
      <c r="BU759" s="1421">
        <f>IF(OR($L759=BU$627,$L759="",$D759=$BU$626),MAX(BU$629:BU758)+1,0)</f>
        <v>0</v>
      </c>
    </row>
    <row r="760" spans="1:73" ht="12.75" customHeight="1" x14ac:dyDescent="0.2">
      <c r="A760" s="242">
        <v>760</v>
      </c>
      <c r="B760" s="5664"/>
      <c r="C760" s="1288"/>
      <c r="D760" s="1289" t="s">
        <v>7238</v>
      </c>
      <c r="E760" s="1287">
        <v>0</v>
      </c>
      <c r="F760" s="1287">
        <v>-30</v>
      </c>
      <c r="G760" s="1287">
        <v>7</v>
      </c>
      <c r="H760" s="1287">
        <v>7</v>
      </c>
      <c r="I760" s="1287" t="s">
        <v>1464</v>
      </c>
      <c r="J760" s="1287" t="s">
        <v>1464</v>
      </c>
      <c r="K760" s="1281" t="s">
        <v>7537</v>
      </c>
      <c r="L760" s="1287" t="str">
        <f>IF(ISNUMBER(SEARCH($D760,Armas_Conocidas)),"Conocida",IF(OR(ISNUMBER(SEARCH(LEFT($K760,SEARCH("/",$K760)),Tipologías_Conocidas)),AND(NOT(ISNUMBER(SEARCH("/-",$K760))),ISNUMBER(SEARCH(MID($K760,SEARCH("/",$K760)+1,LEN($K760)),Tipologías_Conocidas)))),IF(ISNUMBER(SEARCH($K760,Tipologías_Conocidas)),"Similar","Mixta"),"Distinta"))</f>
        <v>Similar</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
      </c>
      <c r="AJ760" s="1419">
        <f>IF(OR($L760=AJ$627,$L760="",$D760=$AL$626),MAX(AJ$629:AJ759)+1,0)</f>
        <v>36</v>
      </c>
      <c r="AK760" s="1420">
        <f>IF(OR($L760=AK$627,$L760="",$D760=$AL$626),MAX(AK$629:AK759)+1,0)</f>
        <v>0</v>
      </c>
      <c r="AL760" s="1421">
        <f>IF(OR($L760=AL$627,$L760="",$D760=$AL$626),MAX(AL$629:AL759)+1,0)</f>
        <v>0</v>
      </c>
      <c r="AM760" s="5701"/>
      <c r="AN760" s="961" t="str">
        <f t="shared" si="158"/>
        <v/>
      </c>
      <c r="AO760" s="87" t="str">
        <f t="shared" si="159"/>
        <v/>
      </c>
      <c r="AP760" s="87" t="str">
        <f t="shared" si="160"/>
        <v/>
      </c>
      <c r="AQ760" s="1419">
        <f>IF(OR($L760=AQ$627,$L760="",$D760=$AS$626),MAX(AQ$629:AQ759)+1,0)</f>
        <v>36</v>
      </c>
      <c r="AR760" s="1420">
        <f>IF(OR($L760=AR$627,$L760="",$D760=$AS$626),MAX(AR$629:AR759)+1,0)</f>
        <v>0</v>
      </c>
      <c r="AS760" s="1421">
        <f>IF(OR($L760=AS$627,$L760="",$D760=$AS$626),MAX(AS$629:AS759)+1,0)</f>
        <v>0</v>
      </c>
      <c r="AT760" s="5701"/>
      <c r="AU760" s="961" t="str">
        <f t="shared" si="161"/>
        <v/>
      </c>
      <c r="AV760" s="87" t="str">
        <f t="shared" si="162"/>
        <v/>
      </c>
      <c r="AW760" s="87" t="str">
        <f t="shared" si="163"/>
        <v/>
      </c>
      <c r="AX760" s="1419">
        <f>IF(OR($L760=AX$627,$L760="",$D760=$AZ$626),MAX(AX$629:AX759)+1,0)</f>
        <v>36</v>
      </c>
      <c r="AY760" s="1420">
        <f>IF(OR($L760=AY$627,$L760="",$D760=$AZ$626),MAX(AY$629:AY759)+1,0)</f>
        <v>0</v>
      </c>
      <c r="AZ760" s="1421">
        <f>IF(OR($L760=AZ$627,$L760="",$D760=$AZ$626),MAX(AZ$629:AZ759)+1,0)</f>
        <v>0</v>
      </c>
      <c r="BA760" s="5701"/>
      <c r="BB760" s="961" t="str">
        <f t="shared" si="164"/>
        <v/>
      </c>
      <c r="BC760" s="87" t="str">
        <f t="shared" si="165"/>
        <v/>
      </c>
      <c r="BD760" s="87" t="str">
        <f t="shared" si="166"/>
        <v/>
      </c>
      <c r="BE760" s="1419">
        <f>IF(OR($L760=BE$627,$L760="",$D760=$BG$626),MAX(BE$629:BE759)+1,0)</f>
        <v>36</v>
      </c>
      <c r="BF760" s="1420">
        <f>IF(OR($L760=BF$627,$L760="",$D760=$BG$626),MAX(BF$629:BF759)+1,0)</f>
        <v>0</v>
      </c>
      <c r="BG760" s="1421">
        <f>IF(OR($L760=BG$627,$L760="",$D760=$BG$626),MAX(BG$629:BG759)+1,0)</f>
        <v>0</v>
      </c>
      <c r="BH760" s="5701"/>
      <c r="BI760" s="961" t="str">
        <f t="shared" si="167"/>
        <v/>
      </c>
      <c r="BJ760" s="87" t="str">
        <f t="shared" si="168"/>
        <v/>
      </c>
      <c r="BK760" s="87" t="str">
        <f t="shared" si="169"/>
        <v/>
      </c>
      <c r="BL760" s="1419">
        <f>IF(OR($L760=BL$627,$L760="",$D760=$BN$626),MAX(BL$629:BL759)+1,0)</f>
        <v>36</v>
      </c>
      <c r="BM760" s="1420">
        <f>IF(OR($L760=BM$627,$L760="",$D760=$BN$626),MAX(BM$629:BM759)+1,0)</f>
        <v>0</v>
      </c>
      <c r="BN760" s="1421">
        <f>IF(OR($L760=BN$627,$L760="",$D760=$BN$626),MAX(BN$629:BN759)+1,0)</f>
        <v>0</v>
      </c>
      <c r="BO760" s="5701"/>
      <c r="BP760" s="961" t="str">
        <f t="shared" si="170"/>
        <v/>
      </c>
      <c r="BQ760" s="87" t="str">
        <f t="shared" si="171"/>
        <v/>
      </c>
      <c r="BR760" s="87" t="str">
        <f t="shared" si="172"/>
        <v/>
      </c>
      <c r="BS760" s="1419">
        <f>IF(OR($L760=BS$627,$L760="",$D760=$BU$626),MAX(BS$629:BS759)+1,0)</f>
        <v>36</v>
      </c>
      <c r="BT760" s="1420">
        <f>IF(OR($L760=BT$627,$L760="",$D760=$BU$626),MAX(BT$629:BT759)+1,0)</f>
        <v>0</v>
      </c>
      <c r="BU760" s="1421">
        <f>IF(OR($L760=BU$627,$L760="",$D760=$BU$626),MAX(BU$629:BU759)+1,0)</f>
        <v>0</v>
      </c>
    </row>
    <row r="761" spans="1:73" ht="12.75" customHeight="1" x14ac:dyDescent="0.2">
      <c r="A761" s="242">
        <v>761</v>
      </c>
      <c r="B761" s="5664"/>
      <c r="C761" s="1288"/>
      <c r="D761" s="1289" t="s">
        <v>2242</v>
      </c>
      <c r="E761" s="1287">
        <v>0</v>
      </c>
      <c r="F761" s="1287">
        <v>-40</v>
      </c>
      <c r="G761" s="1287">
        <v>4</v>
      </c>
      <c r="H761" s="1287">
        <v>4</v>
      </c>
      <c r="I761" s="1287" t="s">
        <v>1464</v>
      </c>
      <c r="J761" s="1287" t="s">
        <v>1464</v>
      </c>
      <c r="K761" s="1281" t="s">
        <v>7537</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Similar</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
      </c>
      <c r="AJ761" s="1419">
        <f>IF(OR($L761=AJ$627,$L761="",$D761=$AL$626),MAX(AJ$629:AJ760)+1,0)</f>
        <v>37</v>
      </c>
      <c r="AK761" s="1420">
        <f>IF(OR($L761=AK$627,$L761="",$D761=$AL$626),MAX(AK$629:AK760)+1,0)</f>
        <v>0</v>
      </c>
      <c r="AL761" s="1421">
        <f>IF(OR($L761=AL$627,$L761="",$D761=$AL$626),MAX(AL$629:AL760)+1,0)</f>
        <v>0</v>
      </c>
      <c r="AM761" s="5701"/>
      <c r="AN761" s="961" t="str">
        <f t="shared" si="158"/>
        <v/>
      </c>
      <c r="AO761" s="87" t="str">
        <f t="shared" si="159"/>
        <v/>
      </c>
      <c r="AP761" s="87" t="str">
        <f t="shared" si="160"/>
        <v/>
      </c>
      <c r="AQ761" s="1419">
        <f>IF(OR($L761=AQ$627,$L761="",$D761=$AS$626),MAX(AQ$629:AQ760)+1,0)</f>
        <v>37</v>
      </c>
      <c r="AR761" s="1420">
        <f>IF(OR($L761=AR$627,$L761="",$D761=$AS$626),MAX(AR$629:AR760)+1,0)</f>
        <v>0</v>
      </c>
      <c r="AS761" s="1421">
        <f>IF(OR($L761=AS$627,$L761="",$D761=$AS$626),MAX(AS$629:AS760)+1,0)</f>
        <v>0</v>
      </c>
      <c r="AT761" s="5701"/>
      <c r="AU761" s="961" t="str">
        <f t="shared" si="161"/>
        <v/>
      </c>
      <c r="AV761" s="87" t="str">
        <f t="shared" si="162"/>
        <v/>
      </c>
      <c r="AW761" s="87" t="str">
        <f t="shared" si="163"/>
        <v/>
      </c>
      <c r="AX761" s="1419">
        <f>IF(OR($L761=AX$627,$L761="",$D761=$AZ$626),MAX(AX$629:AX760)+1,0)</f>
        <v>37</v>
      </c>
      <c r="AY761" s="1420">
        <f>IF(OR($L761=AY$627,$L761="",$D761=$AZ$626),MAX(AY$629:AY760)+1,0)</f>
        <v>0</v>
      </c>
      <c r="AZ761" s="1421">
        <f>IF(OR($L761=AZ$627,$L761="",$D761=$AZ$626),MAX(AZ$629:AZ760)+1,0)</f>
        <v>0</v>
      </c>
      <c r="BA761" s="5701"/>
      <c r="BB761" s="961" t="str">
        <f t="shared" si="164"/>
        <v/>
      </c>
      <c r="BC761" s="87" t="str">
        <f t="shared" si="165"/>
        <v/>
      </c>
      <c r="BD761" s="87" t="str">
        <f t="shared" si="166"/>
        <v/>
      </c>
      <c r="BE761" s="1419">
        <f>IF(OR($L761=BE$627,$L761="",$D761=$BG$626),MAX(BE$629:BE760)+1,0)</f>
        <v>37</v>
      </c>
      <c r="BF761" s="1420">
        <f>IF(OR($L761=BF$627,$L761="",$D761=$BG$626),MAX(BF$629:BF760)+1,0)</f>
        <v>0</v>
      </c>
      <c r="BG761" s="1421">
        <f>IF(OR($L761=BG$627,$L761="",$D761=$BG$626),MAX(BG$629:BG760)+1,0)</f>
        <v>0</v>
      </c>
      <c r="BH761" s="5701"/>
      <c r="BI761" s="961" t="str">
        <f t="shared" si="167"/>
        <v/>
      </c>
      <c r="BJ761" s="87" t="str">
        <f t="shared" si="168"/>
        <v/>
      </c>
      <c r="BK761" s="87" t="str">
        <f t="shared" si="169"/>
        <v/>
      </c>
      <c r="BL761" s="1419">
        <f>IF(OR($L761=BL$627,$L761="",$D761=$BN$626),MAX(BL$629:BL760)+1,0)</f>
        <v>37</v>
      </c>
      <c r="BM761" s="1420">
        <f>IF(OR($L761=BM$627,$L761="",$D761=$BN$626),MAX(BM$629:BM760)+1,0)</f>
        <v>0</v>
      </c>
      <c r="BN761" s="1421">
        <f>IF(OR($L761=BN$627,$L761="",$D761=$BN$626),MAX(BN$629:BN760)+1,0)</f>
        <v>0</v>
      </c>
      <c r="BO761" s="5701"/>
      <c r="BP761" s="961" t="str">
        <f t="shared" si="170"/>
        <v/>
      </c>
      <c r="BQ761" s="87" t="str">
        <f t="shared" si="171"/>
        <v/>
      </c>
      <c r="BR761" s="87" t="str">
        <f t="shared" si="172"/>
        <v/>
      </c>
      <c r="BS761" s="1419">
        <f>IF(OR($L761=BS$627,$L761="",$D761=$BU$626),MAX(BS$629:BS760)+1,0)</f>
        <v>37</v>
      </c>
      <c r="BT761" s="1420">
        <f>IF(OR($L761=BT$627,$L761="",$D761=$BU$626),MAX(BT$629:BT760)+1,0)</f>
        <v>0</v>
      </c>
      <c r="BU761" s="1421">
        <f>IF(OR($L761=BU$627,$L761="",$D761=$BU$626),MAX(BU$629:BU760)+1,0)</f>
        <v>0</v>
      </c>
    </row>
    <row r="762" spans="1:73" ht="12.75" customHeight="1" x14ac:dyDescent="0.2">
      <c r="A762" s="242">
        <v>762</v>
      </c>
      <c r="B762" s="5664"/>
      <c r="C762" s="1288"/>
      <c r="D762" s="1289" t="s">
        <v>2243</v>
      </c>
      <c r="E762" s="1287">
        <v>0</v>
      </c>
      <c r="F762" s="1287">
        <v>0</v>
      </c>
      <c r="G762" s="1287">
        <v>4</v>
      </c>
      <c r="H762" s="1287">
        <v>4</v>
      </c>
      <c r="I762" s="1287" t="s">
        <v>1464</v>
      </c>
      <c r="J762" s="1287" t="s">
        <v>1464</v>
      </c>
      <c r="K762" s="1281" t="s">
        <v>7537</v>
      </c>
      <c r="L762" s="1287" t="str">
        <f t="shared" si="173"/>
        <v>Similar</v>
      </c>
      <c r="M762" s="1296">
        <v>8</v>
      </c>
      <c r="N762" s="1296">
        <v>-3</v>
      </c>
      <c r="O762" s="1296">
        <v>20</v>
      </c>
      <c r="P762" s="1287"/>
      <c r="Q762" s="1287"/>
      <c r="R762" s="1287" t="s">
        <v>1464</v>
      </c>
      <c r="S762" s="1287">
        <v>4</v>
      </c>
      <c r="T762" s="1287">
        <v>50</v>
      </c>
      <c r="U762" s="1287">
        <v>9</v>
      </c>
      <c r="V762" s="1281" t="s">
        <v>2218</v>
      </c>
      <c r="W762" s="1281"/>
      <c r="X762" s="1282"/>
      <c r="Z762" s="1418" t="str">
        <f t="shared" si="174"/>
        <v/>
      </c>
      <c r="AA762" s="242"/>
      <c r="AC762" s="242"/>
      <c r="AG762" s="961" t="str">
        <f t="shared" si="155"/>
        <v/>
      </c>
      <c r="AH762" s="87" t="str">
        <f t="shared" si="156"/>
        <v/>
      </c>
      <c r="AI762" s="87" t="str">
        <f t="shared" si="157"/>
        <v/>
      </c>
      <c r="AJ762" s="1419">
        <f>IF(OR($L762=AJ$627,$L762="",$D762=$AL$626),MAX(AJ$629:AJ761)+1,0)</f>
        <v>38</v>
      </c>
      <c r="AK762" s="1420">
        <f>IF(OR($L762=AK$627,$L762="",$D762=$AL$626),MAX(AK$629:AK761)+1,0)</f>
        <v>0</v>
      </c>
      <c r="AL762" s="1421">
        <f>IF(OR($L762=AL$627,$L762="",$D762=$AL$626),MAX(AL$629:AL761)+1,0)</f>
        <v>0</v>
      </c>
      <c r="AM762" s="5701"/>
      <c r="AN762" s="961" t="str">
        <f t="shared" si="158"/>
        <v/>
      </c>
      <c r="AO762" s="87" t="str">
        <f t="shared" si="159"/>
        <v/>
      </c>
      <c r="AP762" s="87" t="str">
        <f t="shared" si="160"/>
        <v/>
      </c>
      <c r="AQ762" s="1419">
        <f>IF(OR($L762=AQ$627,$L762="",$D762=$AS$626),MAX(AQ$629:AQ761)+1,0)</f>
        <v>38</v>
      </c>
      <c r="AR762" s="1420">
        <f>IF(OR($L762=AR$627,$L762="",$D762=$AS$626),MAX(AR$629:AR761)+1,0)</f>
        <v>0</v>
      </c>
      <c r="AS762" s="1421">
        <f>IF(OR($L762=AS$627,$L762="",$D762=$AS$626),MAX(AS$629:AS761)+1,0)</f>
        <v>0</v>
      </c>
      <c r="AT762" s="5701"/>
      <c r="AU762" s="961" t="str">
        <f t="shared" si="161"/>
        <v/>
      </c>
      <c r="AV762" s="87" t="str">
        <f t="shared" si="162"/>
        <v/>
      </c>
      <c r="AW762" s="87" t="str">
        <f t="shared" si="163"/>
        <v/>
      </c>
      <c r="AX762" s="1419">
        <f>IF(OR($L762=AX$627,$L762="",$D762=$AZ$626),MAX(AX$629:AX761)+1,0)</f>
        <v>38</v>
      </c>
      <c r="AY762" s="1420">
        <f>IF(OR($L762=AY$627,$L762="",$D762=$AZ$626),MAX(AY$629:AY761)+1,0)</f>
        <v>0</v>
      </c>
      <c r="AZ762" s="1421">
        <f>IF(OR($L762=AZ$627,$L762="",$D762=$AZ$626),MAX(AZ$629:AZ761)+1,0)</f>
        <v>0</v>
      </c>
      <c r="BA762" s="5701"/>
      <c r="BB762" s="961" t="str">
        <f t="shared" si="164"/>
        <v/>
      </c>
      <c r="BC762" s="87" t="str">
        <f t="shared" si="165"/>
        <v/>
      </c>
      <c r="BD762" s="87" t="str">
        <f t="shared" si="166"/>
        <v/>
      </c>
      <c r="BE762" s="1419">
        <f>IF(OR($L762=BE$627,$L762="",$D762=$BG$626),MAX(BE$629:BE761)+1,0)</f>
        <v>38</v>
      </c>
      <c r="BF762" s="1420">
        <f>IF(OR($L762=BF$627,$L762="",$D762=$BG$626),MAX(BF$629:BF761)+1,0)</f>
        <v>0</v>
      </c>
      <c r="BG762" s="1421">
        <f>IF(OR($L762=BG$627,$L762="",$D762=$BG$626),MAX(BG$629:BG761)+1,0)</f>
        <v>0</v>
      </c>
      <c r="BH762" s="5701"/>
      <c r="BI762" s="961" t="str">
        <f t="shared" si="167"/>
        <v/>
      </c>
      <c r="BJ762" s="87" t="str">
        <f t="shared" si="168"/>
        <v/>
      </c>
      <c r="BK762" s="87" t="str">
        <f t="shared" si="169"/>
        <v/>
      </c>
      <c r="BL762" s="1419">
        <f>IF(OR($L762=BL$627,$L762="",$D762=$BN$626),MAX(BL$629:BL761)+1,0)</f>
        <v>38</v>
      </c>
      <c r="BM762" s="1420">
        <f>IF(OR($L762=BM$627,$L762="",$D762=$BN$626),MAX(BM$629:BM761)+1,0)</f>
        <v>0</v>
      </c>
      <c r="BN762" s="1421">
        <f>IF(OR($L762=BN$627,$L762="",$D762=$BN$626),MAX(BN$629:BN761)+1,0)</f>
        <v>0</v>
      </c>
      <c r="BO762" s="5701"/>
      <c r="BP762" s="961" t="str">
        <f t="shared" si="170"/>
        <v/>
      </c>
      <c r="BQ762" s="87" t="str">
        <f t="shared" si="171"/>
        <v/>
      </c>
      <c r="BR762" s="87" t="str">
        <f t="shared" si="172"/>
        <v/>
      </c>
      <c r="BS762" s="1419">
        <f>IF(OR($L762=BS$627,$L762="",$D762=$BU$626),MAX(BS$629:BS761)+1,0)</f>
        <v>38</v>
      </c>
      <c r="BT762" s="1420">
        <f>IF(OR($L762=BT$627,$L762="",$D762=$BU$626),MAX(BT$629:BT761)+1,0)</f>
        <v>0</v>
      </c>
      <c r="BU762" s="1421">
        <f>IF(OR($L762=BU$627,$L762="",$D762=$BU$626),MAX(BU$629:BU761)+1,0)</f>
        <v>0</v>
      </c>
    </row>
    <row r="763" spans="1:73" ht="12.75" customHeight="1" x14ac:dyDescent="0.2">
      <c r="A763" s="242">
        <v>763</v>
      </c>
      <c r="B763" s="5664"/>
      <c r="C763" s="1288"/>
      <c r="D763" s="15" t="s">
        <v>8576</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
      </c>
      <c r="AJ763" s="1419">
        <f>IF(OR($L763=AJ$627,$L763="",$D763=$AL$626),MAX(AJ$629:AJ762)+1,0)</f>
        <v>39</v>
      </c>
      <c r="AK763" s="1420">
        <f>IF(OR($L763=AK$627,$L763="",$D763=$AL$626),MAX(AK$629:AK762)+1,0)</f>
        <v>9</v>
      </c>
      <c r="AL763" s="1421">
        <f>IF(OR($L763=AL$627,$L763="",$D763=$AL$626),MAX(AL$629:AL762)+1,0)</f>
        <v>90</v>
      </c>
      <c r="AM763" s="5701"/>
      <c r="AN763" s="961" t="str">
        <f t="shared" si="158"/>
        <v/>
      </c>
      <c r="AO763" s="87" t="str">
        <f t="shared" si="159"/>
        <v/>
      </c>
      <c r="AP763" s="87" t="str">
        <f t="shared" si="160"/>
        <v/>
      </c>
      <c r="AQ763" s="1419">
        <f>IF(OR($L763=AQ$627,$L763="",$D763=$AS$626),MAX(AQ$629:AQ762)+1,0)</f>
        <v>39</v>
      </c>
      <c r="AR763" s="1420">
        <f>IF(OR($L763=AR$627,$L763="",$D763=$AS$626),MAX(AR$629:AR762)+1,0)</f>
        <v>9</v>
      </c>
      <c r="AS763" s="1421">
        <f>IF(OR($L763=AS$627,$L763="",$D763=$AS$626),MAX(AS$629:AS762)+1,0)</f>
        <v>90</v>
      </c>
      <c r="AT763" s="5701"/>
      <c r="AU763" s="961" t="str">
        <f t="shared" si="161"/>
        <v/>
      </c>
      <c r="AV763" s="87" t="str">
        <f t="shared" si="162"/>
        <v/>
      </c>
      <c r="AW763" s="87" t="str">
        <f t="shared" si="163"/>
        <v/>
      </c>
      <c r="AX763" s="1419">
        <f>IF(OR($L763=AX$627,$L763="",$D763=$AZ$626),MAX(AX$629:AX762)+1,0)</f>
        <v>39</v>
      </c>
      <c r="AY763" s="1420">
        <f>IF(OR($L763=AY$627,$L763="",$D763=$AZ$626),MAX(AY$629:AY762)+1,0)</f>
        <v>9</v>
      </c>
      <c r="AZ763" s="1421">
        <f>IF(OR($L763=AZ$627,$L763="",$D763=$AZ$626),MAX(AZ$629:AZ762)+1,0)</f>
        <v>90</v>
      </c>
      <c r="BA763" s="5701"/>
      <c r="BB763" s="961" t="str">
        <f t="shared" si="164"/>
        <v/>
      </c>
      <c r="BC763" s="87" t="str">
        <f t="shared" si="165"/>
        <v/>
      </c>
      <c r="BD763" s="87" t="str">
        <f t="shared" si="166"/>
        <v/>
      </c>
      <c r="BE763" s="1419">
        <f>IF(OR($L763=BE$627,$L763="",$D763=$BG$626),MAX(BE$629:BE762)+1,0)</f>
        <v>39</v>
      </c>
      <c r="BF763" s="1420">
        <f>IF(OR($L763=BF$627,$L763="",$D763=$BG$626),MAX(BF$629:BF762)+1,0)</f>
        <v>9</v>
      </c>
      <c r="BG763" s="1421">
        <f>IF(OR($L763=BG$627,$L763="",$D763=$BG$626),MAX(BG$629:BG762)+1,0)</f>
        <v>90</v>
      </c>
      <c r="BH763" s="5701"/>
      <c r="BI763" s="961" t="str">
        <f t="shared" si="167"/>
        <v/>
      </c>
      <c r="BJ763" s="87" t="str">
        <f t="shared" si="168"/>
        <v/>
      </c>
      <c r="BK763" s="87" t="str">
        <f t="shared" si="169"/>
        <v/>
      </c>
      <c r="BL763" s="1419">
        <f>IF(OR($L763=BL$627,$L763="",$D763=$BN$626),MAX(BL$629:BL762)+1,0)</f>
        <v>39</v>
      </c>
      <c r="BM763" s="1420">
        <f>IF(OR($L763=BM$627,$L763="",$D763=$BN$626),MAX(BM$629:BM762)+1,0)</f>
        <v>9</v>
      </c>
      <c r="BN763" s="1421">
        <f>IF(OR($L763=BN$627,$L763="",$D763=$BN$626),MAX(BN$629:BN762)+1,0)</f>
        <v>90</v>
      </c>
      <c r="BO763" s="5701"/>
      <c r="BP763" s="961" t="str">
        <f t="shared" si="170"/>
        <v/>
      </c>
      <c r="BQ763" s="87" t="str">
        <f t="shared" si="171"/>
        <v/>
      </c>
      <c r="BR763" s="87" t="str">
        <f t="shared" si="172"/>
        <v/>
      </c>
      <c r="BS763" s="1419">
        <f>IF(OR($L763=BS$627,$L763="",$D763=$BU$626),MAX(BS$629:BS762)+1,0)</f>
        <v>39</v>
      </c>
      <c r="BT763" s="1420">
        <f>IF(OR($L763=BT$627,$L763="",$D763=$BU$626),MAX(BT$629:BT762)+1,0)</f>
        <v>9</v>
      </c>
      <c r="BU763" s="1421">
        <f>IF(OR($L763=BU$627,$L763="",$D763=$BU$626),MAX(BU$629:BU762)+1,0)</f>
        <v>90</v>
      </c>
    </row>
    <row r="764" spans="1:73" ht="12.75" customHeight="1" x14ac:dyDescent="0.2">
      <c r="A764" s="242">
        <v>764</v>
      </c>
      <c r="B764" s="5664"/>
      <c r="C764" s="1288"/>
      <c r="D764" s="235" t="s">
        <v>8577</v>
      </c>
      <c r="E764" s="1287">
        <v>0</v>
      </c>
      <c r="F764" s="1287">
        <v>-80</v>
      </c>
      <c r="G764" s="1287">
        <v>0</v>
      </c>
      <c r="H764" s="1287">
        <v>0</v>
      </c>
      <c r="I764" s="1287" t="s">
        <v>1464</v>
      </c>
      <c r="J764" s="1287" t="s">
        <v>1464</v>
      </c>
      <c r="K764" s="1281" t="s">
        <v>7537</v>
      </c>
      <c r="L764" s="1287" t="str">
        <f>IF(ISNUMBER(SEARCH($D764,Armas_Conocidas)),"Conocida",IF(OR(ISNUMBER(SEARCH(LEFT($K764,SEARCH("/",$K764)),Tipologías_Conocidas)),AND(NOT(ISNUMBER(SEARCH("/-",$K764))),ISNUMBER(SEARCH(MID($K764,SEARCH("/",$K764)+1,LEN($K764)),Tipologías_Conocidas)))),IF(ISNUMBER(SEARCH($K764,Tipologías_Conocidas)),"Similar","Mixta"),"Distinta"))</f>
        <v>Similar</v>
      </c>
      <c r="M764" s="1287">
        <v>18</v>
      </c>
      <c r="N764" s="1287" t="s">
        <v>1464</v>
      </c>
      <c r="O764" s="1287">
        <v>25</v>
      </c>
      <c r="P764" s="1287"/>
      <c r="Q764" s="1287"/>
      <c r="R764" s="1287" t="s">
        <v>1464</v>
      </c>
      <c r="S764" s="1287"/>
      <c r="T764" s="1287">
        <v>150</v>
      </c>
      <c r="U764" s="1287">
        <v>10</v>
      </c>
      <c r="V764" s="1281" t="s">
        <v>2185</v>
      </c>
      <c r="W764" s="1281"/>
      <c r="X764" s="1282"/>
      <c r="Z764" s="1418" t="str">
        <f t="shared" si="174"/>
        <v/>
      </c>
      <c r="AA764" s="242"/>
      <c r="AC764" s="242"/>
      <c r="AG764" s="961" t="str">
        <f t="shared" si="155"/>
        <v/>
      </c>
      <c r="AH764" s="87" t="str">
        <f t="shared" si="156"/>
        <v/>
      </c>
      <c r="AI764" s="87" t="str">
        <f t="shared" si="157"/>
        <v/>
      </c>
      <c r="AJ764" s="1419">
        <f>IF(OR($L764=AJ$627,$L764="",$D764=$AL$626),MAX(AJ$629:AJ763)+1,0)</f>
        <v>40</v>
      </c>
      <c r="AK764" s="1420">
        <f>IF(OR($L764=AK$627,$L764="",$D764=$AL$626),MAX(AK$629:AK763)+1,0)</f>
        <v>0</v>
      </c>
      <c r="AL764" s="1421">
        <f>IF(OR($L764=AL$627,$L764="",$D764=$AL$626),MAX(AL$629:AL763)+1,0)</f>
        <v>0</v>
      </c>
      <c r="AM764" s="5701"/>
      <c r="AN764" s="961" t="str">
        <f t="shared" si="158"/>
        <v/>
      </c>
      <c r="AO764" s="87" t="str">
        <f t="shared" si="159"/>
        <v/>
      </c>
      <c r="AP764" s="87" t="str">
        <f t="shared" si="160"/>
        <v/>
      </c>
      <c r="AQ764" s="1419">
        <f>IF(OR($L764=AQ$627,$L764="",$D764=$AS$626),MAX(AQ$629:AQ763)+1,0)</f>
        <v>40</v>
      </c>
      <c r="AR764" s="1420">
        <f>IF(OR($L764=AR$627,$L764="",$D764=$AS$626),MAX(AR$629:AR763)+1,0)</f>
        <v>0</v>
      </c>
      <c r="AS764" s="1421">
        <f>IF(OR($L764=AS$627,$L764="",$D764=$AS$626),MAX(AS$629:AS763)+1,0)</f>
        <v>0</v>
      </c>
      <c r="AT764" s="5701"/>
      <c r="AU764" s="961" t="str">
        <f t="shared" si="161"/>
        <v/>
      </c>
      <c r="AV764" s="87" t="str">
        <f t="shared" si="162"/>
        <v/>
      </c>
      <c r="AW764" s="87" t="str">
        <f t="shared" si="163"/>
        <v/>
      </c>
      <c r="AX764" s="1419">
        <f>IF(OR($L764=AX$627,$L764="",$D764=$AZ$626),MAX(AX$629:AX763)+1,0)</f>
        <v>40</v>
      </c>
      <c r="AY764" s="1420">
        <f>IF(OR($L764=AY$627,$L764="",$D764=$AZ$626),MAX(AY$629:AY763)+1,0)</f>
        <v>0</v>
      </c>
      <c r="AZ764" s="1421">
        <f>IF(OR($L764=AZ$627,$L764="",$D764=$AZ$626),MAX(AZ$629:AZ763)+1,0)</f>
        <v>0</v>
      </c>
      <c r="BA764" s="5701"/>
      <c r="BB764" s="961" t="str">
        <f t="shared" si="164"/>
        <v/>
      </c>
      <c r="BC764" s="87" t="str">
        <f t="shared" si="165"/>
        <v/>
      </c>
      <c r="BD764" s="87" t="str">
        <f t="shared" si="166"/>
        <v/>
      </c>
      <c r="BE764" s="1419">
        <f>IF(OR($L764=BE$627,$L764="",$D764=$BG$626),MAX(BE$629:BE763)+1,0)</f>
        <v>40</v>
      </c>
      <c r="BF764" s="1420">
        <f>IF(OR($L764=BF$627,$L764="",$D764=$BG$626),MAX(BF$629:BF763)+1,0)</f>
        <v>0</v>
      </c>
      <c r="BG764" s="1421">
        <f>IF(OR($L764=BG$627,$L764="",$D764=$BG$626),MAX(BG$629:BG763)+1,0)</f>
        <v>0</v>
      </c>
      <c r="BH764" s="5701"/>
      <c r="BI764" s="961" t="str">
        <f t="shared" si="167"/>
        <v/>
      </c>
      <c r="BJ764" s="87" t="str">
        <f t="shared" si="168"/>
        <v/>
      </c>
      <c r="BK764" s="87" t="str">
        <f t="shared" si="169"/>
        <v/>
      </c>
      <c r="BL764" s="1419">
        <f>IF(OR($L764=BL$627,$L764="",$D764=$BN$626),MAX(BL$629:BL763)+1,0)</f>
        <v>40</v>
      </c>
      <c r="BM764" s="1420">
        <f>IF(OR($L764=BM$627,$L764="",$D764=$BN$626),MAX(BM$629:BM763)+1,0)</f>
        <v>0</v>
      </c>
      <c r="BN764" s="1421">
        <f>IF(OR($L764=BN$627,$L764="",$D764=$BN$626),MAX(BN$629:BN763)+1,0)</f>
        <v>0</v>
      </c>
      <c r="BO764" s="5701"/>
      <c r="BP764" s="961" t="str">
        <f t="shared" si="170"/>
        <v/>
      </c>
      <c r="BQ764" s="87" t="str">
        <f t="shared" si="171"/>
        <v/>
      </c>
      <c r="BR764" s="87" t="str">
        <f t="shared" si="172"/>
        <v/>
      </c>
      <c r="BS764" s="1419">
        <f>IF(OR($L764=BS$627,$L764="",$D764=$BU$626),MAX(BS$629:BS763)+1,0)</f>
        <v>40</v>
      </c>
      <c r="BT764" s="1420">
        <f>IF(OR($L764=BT$627,$L764="",$D764=$BU$626),MAX(BT$629:BT763)+1,0)</f>
        <v>0</v>
      </c>
      <c r="BU764" s="1421">
        <f>IF(OR($L764=BU$627,$L764="",$D764=$BU$626),MAX(BU$629:BU763)+1,0)</f>
        <v>0</v>
      </c>
    </row>
    <row r="765" spans="1:73" ht="12.75" customHeight="1" x14ac:dyDescent="0.2">
      <c r="A765" s="242">
        <v>765</v>
      </c>
      <c r="B765" s="5664"/>
      <c r="C765" s="1288"/>
      <c r="D765" s="235" t="s">
        <v>8578</v>
      </c>
      <c r="E765" s="1287">
        <v>0</v>
      </c>
      <c r="F765" s="1287">
        <v>-100</v>
      </c>
      <c r="G765" s="1287">
        <v>0</v>
      </c>
      <c r="H765" s="1287">
        <v>0</v>
      </c>
      <c r="I765" s="1287" t="s">
        <v>1464</v>
      </c>
      <c r="J765" s="1287" t="s">
        <v>1464</v>
      </c>
      <c r="K765" s="1281" t="s">
        <v>7537</v>
      </c>
      <c r="L765" s="1287" t="str">
        <f>IF(ISNUMBER(SEARCH($D765,Armas_Conocidas)),"Conocida",IF(OR(ISNUMBER(SEARCH(LEFT($K765,SEARCH("/",$K765)),Tipologías_Conocidas)),AND(NOT(ISNUMBER(SEARCH("/-",$K765))),ISNUMBER(SEARCH(MID($K765,SEARCH("/",$K765)+1,LEN($K765)),Tipologías_Conocidas)))),IF(ISNUMBER(SEARCH($K765,Tipologías_Conocidas)),"Similar","Mixta"),"Distinta"))</f>
        <v>Similar</v>
      </c>
      <c r="M765" s="1287">
        <v>20</v>
      </c>
      <c r="N765" s="1287" t="s">
        <v>1464</v>
      </c>
      <c r="O765" s="1287">
        <v>30</v>
      </c>
      <c r="P765" s="1287"/>
      <c r="Q765" s="1287"/>
      <c r="R765" s="1287" t="s">
        <v>1464</v>
      </c>
      <c r="S765" s="1287"/>
      <c r="T765" s="1287">
        <v>200</v>
      </c>
      <c r="U765" s="1287">
        <v>13</v>
      </c>
      <c r="V765" s="1281" t="s">
        <v>2185</v>
      </c>
      <c r="W765" s="1281"/>
      <c r="X765" s="1282"/>
      <c r="Z765" s="1418" t="str">
        <f t="shared" si="174"/>
        <v/>
      </c>
      <c r="AA765" s="242"/>
      <c r="AC765" s="242"/>
      <c r="AG765" s="961" t="str">
        <f t="shared" si="155"/>
        <v/>
      </c>
      <c r="AH765" s="87" t="str">
        <f t="shared" si="156"/>
        <v/>
      </c>
      <c r="AI765" s="87" t="str">
        <f t="shared" si="157"/>
        <v/>
      </c>
      <c r="AJ765" s="1419">
        <f>IF(OR($L765=AJ$627,$L765="",$D765=$AL$626),MAX(AJ$629:AJ764)+1,0)</f>
        <v>41</v>
      </c>
      <c r="AK765" s="1420">
        <f>IF(OR($L765=AK$627,$L765="",$D765=$AL$626),MAX(AK$629:AK764)+1,0)</f>
        <v>0</v>
      </c>
      <c r="AL765" s="1421">
        <f>IF(OR($L765=AL$627,$L765="",$D765=$AL$626),MAX(AL$629:AL764)+1,0)</f>
        <v>0</v>
      </c>
      <c r="AM765" s="5701"/>
      <c r="AN765" s="961" t="str">
        <f t="shared" si="158"/>
        <v/>
      </c>
      <c r="AO765" s="87" t="str">
        <f t="shared" si="159"/>
        <v/>
      </c>
      <c r="AP765" s="87" t="str">
        <f t="shared" si="160"/>
        <v/>
      </c>
      <c r="AQ765" s="1419">
        <f>IF(OR($L765=AQ$627,$L765="",$D765=$AS$626),MAX(AQ$629:AQ764)+1,0)</f>
        <v>41</v>
      </c>
      <c r="AR765" s="1420">
        <f>IF(OR($L765=AR$627,$L765="",$D765=$AS$626),MAX(AR$629:AR764)+1,0)</f>
        <v>0</v>
      </c>
      <c r="AS765" s="1421">
        <f>IF(OR($L765=AS$627,$L765="",$D765=$AS$626),MAX(AS$629:AS764)+1,0)</f>
        <v>0</v>
      </c>
      <c r="AT765" s="5701"/>
      <c r="AU765" s="961" t="str">
        <f t="shared" si="161"/>
        <v/>
      </c>
      <c r="AV765" s="87" t="str">
        <f t="shared" si="162"/>
        <v/>
      </c>
      <c r="AW765" s="87" t="str">
        <f t="shared" si="163"/>
        <v/>
      </c>
      <c r="AX765" s="1419">
        <f>IF(OR($L765=AX$627,$L765="",$D765=$AZ$626),MAX(AX$629:AX764)+1,0)</f>
        <v>41</v>
      </c>
      <c r="AY765" s="1420">
        <f>IF(OR($L765=AY$627,$L765="",$D765=$AZ$626),MAX(AY$629:AY764)+1,0)</f>
        <v>0</v>
      </c>
      <c r="AZ765" s="1421">
        <f>IF(OR($L765=AZ$627,$L765="",$D765=$AZ$626),MAX(AZ$629:AZ764)+1,0)</f>
        <v>0</v>
      </c>
      <c r="BA765" s="5701"/>
      <c r="BB765" s="961" t="str">
        <f t="shared" si="164"/>
        <v/>
      </c>
      <c r="BC765" s="87" t="str">
        <f t="shared" si="165"/>
        <v/>
      </c>
      <c r="BD765" s="87" t="str">
        <f t="shared" si="166"/>
        <v/>
      </c>
      <c r="BE765" s="1419">
        <f>IF(OR($L765=BE$627,$L765="",$D765=$BG$626),MAX(BE$629:BE764)+1,0)</f>
        <v>41</v>
      </c>
      <c r="BF765" s="1420">
        <f>IF(OR($L765=BF$627,$L765="",$D765=$BG$626),MAX(BF$629:BF764)+1,0)</f>
        <v>0</v>
      </c>
      <c r="BG765" s="1421">
        <f>IF(OR($L765=BG$627,$L765="",$D765=$BG$626),MAX(BG$629:BG764)+1,0)</f>
        <v>0</v>
      </c>
      <c r="BH765" s="5701"/>
      <c r="BI765" s="961" t="str">
        <f t="shared" si="167"/>
        <v/>
      </c>
      <c r="BJ765" s="87" t="str">
        <f t="shared" si="168"/>
        <v/>
      </c>
      <c r="BK765" s="87" t="str">
        <f t="shared" si="169"/>
        <v/>
      </c>
      <c r="BL765" s="1419">
        <f>IF(OR($L765=BL$627,$L765="",$D765=$BN$626),MAX(BL$629:BL764)+1,0)</f>
        <v>41</v>
      </c>
      <c r="BM765" s="1420">
        <f>IF(OR($L765=BM$627,$L765="",$D765=$BN$626),MAX(BM$629:BM764)+1,0)</f>
        <v>0</v>
      </c>
      <c r="BN765" s="1421">
        <f>IF(OR($L765=BN$627,$L765="",$D765=$BN$626),MAX(BN$629:BN764)+1,0)</f>
        <v>0</v>
      </c>
      <c r="BO765" s="5701"/>
      <c r="BP765" s="961" t="str">
        <f t="shared" si="170"/>
        <v/>
      </c>
      <c r="BQ765" s="87" t="str">
        <f t="shared" si="171"/>
        <v/>
      </c>
      <c r="BR765" s="87" t="str">
        <f t="shared" si="172"/>
        <v/>
      </c>
      <c r="BS765" s="1419">
        <f>IF(OR($L765=BS$627,$L765="",$D765=$BU$626),MAX(BS$629:BS764)+1,0)</f>
        <v>41</v>
      </c>
      <c r="BT765" s="1420">
        <f>IF(OR($L765=BT$627,$L765="",$D765=$BU$626),MAX(BT$629:BT764)+1,0)</f>
        <v>0</v>
      </c>
      <c r="BU765" s="1421">
        <f>IF(OR($L765=BU$627,$L765="",$D765=$BU$626),MAX(BU$629:BU764)+1,0)</f>
        <v>0</v>
      </c>
    </row>
    <row r="766" spans="1:73" ht="12.75" customHeight="1" thickBot="1" x14ac:dyDescent="0.25">
      <c r="A766" s="242">
        <v>766</v>
      </c>
      <c r="B766" s="5664"/>
      <c r="C766" s="1288"/>
      <c r="D766" s="235" t="s">
        <v>8579</v>
      </c>
      <c r="E766" s="1287">
        <v>0</v>
      </c>
      <c r="F766" s="1287">
        <v>-100</v>
      </c>
      <c r="G766" s="1287">
        <v>0</v>
      </c>
      <c r="H766" s="1287">
        <v>0</v>
      </c>
      <c r="I766" s="1287" t="s">
        <v>1464</v>
      </c>
      <c r="J766" s="1287" t="s">
        <v>1464</v>
      </c>
      <c r="K766" s="1281" t="s">
        <v>7537</v>
      </c>
      <c r="L766" s="1287" t="str">
        <f>IF(ISNUMBER(SEARCH($D766,Armas_Conocidas)),"Conocida",IF(OR(ISNUMBER(SEARCH(LEFT($K766,SEARCH("/",$K766)),Tipologías_Conocidas)),AND(NOT(ISNUMBER(SEARCH("/-",$K766))),ISNUMBER(SEARCH(MID($K766,SEARCH("/",$K766)+1,LEN($K766)),Tipologías_Conocidas)))),IF(ISNUMBER(SEARCH($K766,Tipologías_Conocidas)),"Similar","Mixta"),"Distinta"))</f>
        <v>Similar</v>
      </c>
      <c r="M766" s="1287">
        <v>24</v>
      </c>
      <c r="N766" s="1287" t="s">
        <v>1464</v>
      </c>
      <c r="O766" s="1287">
        <v>30</v>
      </c>
      <c r="P766" s="1287"/>
      <c r="Q766" s="1287"/>
      <c r="R766" s="1287" t="s">
        <v>1464</v>
      </c>
      <c r="S766" s="1287">
        <v>12</v>
      </c>
      <c r="T766" s="1287">
        <v>250</v>
      </c>
      <c r="U766" s="1287">
        <v>14</v>
      </c>
      <c r="V766" s="1281" t="s">
        <v>2185</v>
      </c>
      <c r="W766" s="1281"/>
      <c r="X766" s="1282"/>
      <c r="Z766" s="1418" t="str">
        <f t="shared" si="174"/>
        <v/>
      </c>
      <c r="AA766" s="242"/>
      <c r="AC766" s="242"/>
      <c r="AG766" s="1283" t="str">
        <f t="shared" si="155"/>
        <v/>
      </c>
      <c r="AH766" s="1042" t="str">
        <f t="shared" si="156"/>
        <v/>
      </c>
      <c r="AI766" s="1042" t="str">
        <f t="shared" si="157"/>
        <v/>
      </c>
      <c r="AJ766" s="1875">
        <f>IF(OR($L766=AJ$627,$L766="",$D766=$AL$626),MAX(AJ$629:AJ765)+1,0)</f>
        <v>42</v>
      </c>
      <c r="AK766" s="1424">
        <f>IF(OR($L766=AK$627,$L766="",$D766=$AL$626),MAX(AK$629:AK765)+1,0)</f>
        <v>0</v>
      </c>
      <c r="AL766" s="1425">
        <f>IF(OR($L766=AL$627,$L766="",$D766=$AL$626),MAX(AL$629:AL765)+1,0)</f>
        <v>0</v>
      </c>
      <c r="AM766" s="5701"/>
      <c r="AN766" s="1283" t="str">
        <f t="shared" si="158"/>
        <v/>
      </c>
      <c r="AO766" s="1042" t="str">
        <f t="shared" si="159"/>
        <v/>
      </c>
      <c r="AP766" s="1042" t="str">
        <f t="shared" si="160"/>
        <v/>
      </c>
      <c r="AQ766" s="1875">
        <f>IF(OR($L766=AQ$627,$L766="",$D766=$AS$626),MAX(AQ$629:AQ765)+1,0)</f>
        <v>42</v>
      </c>
      <c r="AR766" s="1424">
        <f>IF(OR($L766=AR$627,$L766="",$D766=$AS$626),MAX(AR$629:AR765)+1,0)</f>
        <v>0</v>
      </c>
      <c r="AS766" s="1425">
        <f>IF(OR($L766=AS$627,$L766="",$D766=$AS$626),MAX(AS$629:AS765)+1,0)</f>
        <v>0</v>
      </c>
      <c r="AT766" s="5701"/>
      <c r="AU766" s="1283" t="str">
        <f t="shared" si="161"/>
        <v/>
      </c>
      <c r="AV766" s="1042" t="str">
        <f t="shared" si="162"/>
        <v/>
      </c>
      <c r="AW766" s="1042" t="str">
        <f t="shared" si="163"/>
        <v/>
      </c>
      <c r="AX766" s="1875">
        <f>IF(OR($L766=AX$627,$L766="",$D766=$AZ$626),MAX(AX$629:AX765)+1,0)</f>
        <v>42</v>
      </c>
      <c r="AY766" s="1424">
        <f>IF(OR($L766=AY$627,$L766="",$D766=$AZ$626),MAX(AY$629:AY765)+1,0)</f>
        <v>0</v>
      </c>
      <c r="AZ766" s="1425">
        <f>IF(OR($L766=AZ$627,$L766="",$D766=$AZ$626),MAX(AZ$629:AZ765)+1,0)</f>
        <v>0</v>
      </c>
      <c r="BA766" s="5701"/>
      <c r="BB766" s="1283" t="str">
        <f t="shared" si="164"/>
        <v/>
      </c>
      <c r="BC766" s="1042" t="str">
        <f t="shared" si="165"/>
        <v/>
      </c>
      <c r="BD766" s="1042" t="str">
        <f t="shared" si="166"/>
        <v/>
      </c>
      <c r="BE766" s="1875">
        <f>IF(OR($L766=BE$627,$L766="",$D766=$BG$626),MAX(BE$629:BE765)+1,0)</f>
        <v>42</v>
      </c>
      <c r="BF766" s="1424">
        <f>IF(OR($L766=BF$627,$L766="",$D766=$BG$626),MAX(BF$629:BF765)+1,0)</f>
        <v>0</v>
      </c>
      <c r="BG766" s="1425">
        <f>IF(OR($L766=BG$627,$L766="",$D766=$BG$626),MAX(BG$629:BG765)+1,0)</f>
        <v>0</v>
      </c>
      <c r="BH766" s="5701"/>
      <c r="BI766" s="1283" t="str">
        <f t="shared" si="167"/>
        <v/>
      </c>
      <c r="BJ766" s="1042" t="str">
        <f t="shared" si="168"/>
        <v/>
      </c>
      <c r="BK766" s="1042" t="str">
        <f t="shared" si="169"/>
        <v/>
      </c>
      <c r="BL766" s="1875">
        <f>IF(OR($L766=BL$627,$L766="",$D766=$BN$626),MAX(BL$629:BL765)+1,0)</f>
        <v>42</v>
      </c>
      <c r="BM766" s="1424">
        <f>IF(OR($L766=BM$627,$L766="",$D766=$BN$626),MAX(BM$629:BM765)+1,0)</f>
        <v>0</v>
      </c>
      <c r="BN766" s="1425">
        <f>IF(OR($L766=BN$627,$L766="",$D766=$BN$626),MAX(BN$629:BN765)+1,0)</f>
        <v>0</v>
      </c>
      <c r="BO766" s="5701"/>
      <c r="BP766" s="1283" t="str">
        <f t="shared" si="170"/>
        <v/>
      </c>
      <c r="BQ766" s="1042" t="str">
        <f t="shared" si="171"/>
        <v/>
      </c>
      <c r="BR766" s="1042" t="str">
        <f t="shared" si="172"/>
        <v/>
      </c>
      <c r="BS766" s="1875">
        <f>IF(OR($L766=BS$627,$L766="",$D766=$BU$626),MAX(BS$629:BS765)+1,0)</f>
        <v>42</v>
      </c>
      <c r="BT766" s="1424">
        <f>IF(OR($L766=BT$627,$L766="",$D766=$BU$626),MAX(BT$629:BT765)+1,0)</f>
        <v>0</v>
      </c>
      <c r="BU766" s="1425">
        <f>IF(OR($L766=BU$627,$L766="",$D766=$BU$626),MAX(BU$629:BU765)+1,0)</f>
        <v>0</v>
      </c>
    </row>
    <row r="767" spans="1:73" ht="12.75" customHeight="1" thickBot="1" x14ac:dyDescent="0.25">
      <c r="A767" s="242">
        <v>767</v>
      </c>
      <c r="B767" s="5664"/>
      <c r="C767" s="1288"/>
      <c r="D767" s="1289" t="s">
        <v>2244</v>
      </c>
      <c r="E767" s="1293"/>
      <c r="F767" s="1293"/>
      <c r="G767" s="1293"/>
      <c r="H767" s="1293"/>
      <c r="I767" s="1293"/>
      <c r="J767" s="1293"/>
      <c r="K767" s="1050" t="s">
        <v>7517</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5"/>
      <c r="AK767" s="1424"/>
      <c r="AL767" s="1425"/>
      <c r="AM767" s="5701"/>
      <c r="AN767" s="1283" t="str">
        <f>""</f>
        <v/>
      </c>
      <c r="AO767" s="1042" t="str">
        <f>""</f>
        <v/>
      </c>
      <c r="AP767" s="1042" t="str">
        <f>""</f>
        <v/>
      </c>
      <c r="AQ767" s="1875"/>
      <c r="AR767" s="1424"/>
      <c r="AS767" s="1425"/>
      <c r="AT767" s="5701"/>
      <c r="AU767" s="1283" t="str">
        <f>""</f>
        <v/>
      </c>
      <c r="AV767" s="1042" t="str">
        <f>""</f>
        <v/>
      </c>
      <c r="AW767" s="1042" t="str">
        <f>""</f>
        <v/>
      </c>
      <c r="AX767" s="1875"/>
      <c r="AY767" s="1424"/>
      <c r="AZ767" s="1425"/>
      <c r="BA767" s="5701"/>
      <c r="BB767" s="1283" t="str">
        <f>""</f>
        <v/>
      </c>
      <c r="BC767" s="1042" t="str">
        <f>""</f>
        <v/>
      </c>
      <c r="BD767" s="1042" t="str">
        <f>""</f>
        <v/>
      </c>
      <c r="BE767" s="1875"/>
      <c r="BF767" s="1424"/>
      <c r="BG767" s="1425"/>
      <c r="BH767" s="5701"/>
      <c r="BI767" s="1283" t="str">
        <f>""</f>
        <v/>
      </c>
      <c r="BJ767" s="1042" t="str">
        <f>""</f>
        <v/>
      </c>
      <c r="BK767" s="1042" t="str">
        <f>""</f>
        <v/>
      </c>
      <c r="BL767" s="1875"/>
      <c r="BM767" s="1424"/>
      <c r="BN767" s="1425"/>
      <c r="BO767" s="5701"/>
      <c r="BP767" s="1283" t="str">
        <f>""</f>
        <v/>
      </c>
      <c r="BQ767" s="1042" t="str">
        <f>""</f>
        <v/>
      </c>
      <c r="BR767" s="1042" t="str">
        <f>""</f>
        <v/>
      </c>
      <c r="BS767" s="1875"/>
      <c r="BT767" s="1424"/>
      <c r="BU767" s="1425"/>
    </row>
    <row r="768" spans="1:73" ht="12.75" customHeight="1" thickBot="1" x14ac:dyDescent="0.25">
      <c r="A768" s="242">
        <v>768</v>
      </c>
      <c r="B768" s="5664"/>
      <c r="C768" s="1288"/>
      <c r="D768" s="1289" t="s">
        <v>2245</v>
      </c>
      <c r="E768" s="1287">
        <v>60</v>
      </c>
      <c r="F768" s="1287" t="s">
        <v>1464</v>
      </c>
      <c r="G768" s="1287">
        <v>0</v>
      </c>
      <c r="H768" s="1287">
        <v>0</v>
      </c>
      <c r="I768" s="1287" t="s">
        <v>1561</v>
      </c>
      <c r="J768" s="1287" t="s">
        <v>1464</v>
      </c>
      <c r="K768" s="1281" t="s">
        <v>7538</v>
      </c>
      <c r="L768" s="1287"/>
      <c r="M768" s="1296">
        <v>11</v>
      </c>
      <c r="N768" s="1296">
        <v>5</v>
      </c>
      <c r="O768" s="1296">
        <v>15</v>
      </c>
      <c r="P768" s="1287"/>
      <c r="Q768" s="1287"/>
      <c r="R768" s="1287" t="s">
        <v>1464</v>
      </c>
      <c r="S768" s="1287" t="s">
        <v>1464</v>
      </c>
      <c r="T768" s="1287" t="s">
        <v>1464</v>
      </c>
      <c r="U768" s="1287"/>
      <c r="V768" s="5633" t="s">
        <v>2246</v>
      </c>
      <c r="W768" s="5633"/>
      <c r="X768" s="5634"/>
      <c r="Z768" s="1418" t="str">
        <f t="shared" si="174"/>
        <v/>
      </c>
      <c r="AA768" s="242"/>
      <c r="AC768" s="242"/>
    </row>
    <row r="769" spans="1:47" ht="12.75" customHeight="1" x14ac:dyDescent="0.2">
      <c r="A769" s="242">
        <v>769</v>
      </c>
      <c r="B769" s="5664"/>
      <c r="C769" s="1288"/>
      <c r="D769" s="1289" t="s">
        <v>8835</v>
      </c>
      <c r="E769" s="1287">
        <v>30</v>
      </c>
      <c r="F769" s="1287" t="s">
        <v>1464</v>
      </c>
      <c r="G769" s="1287">
        <v>0</v>
      </c>
      <c r="H769" s="1287">
        <v>0</v>
      </c>
      <c r="I769" s="1287" t="s">
        <v>1561</v>
      </c>
      <c r="J769" s="1287" t="s">
        <v>1464</v>
      </c>
      <c r="K769" s="1281" t="s">
        <v>7538</v>
      </c>
      <c r="L769" s="1287"/>
      <c r="M769" s="1296">
        <v>6</v>
      </c>
      <c r="N769" s="1296">
        <v>1</v>
      </c>
      <c r="O769" s="1296">
        <v>10</v>
      </c>
      <c r="P769" s="1287"/>
      <c r="Q769" s="1287"/>
      <c r="R769" s="1287" t="s">
        <v>1464</v>
      </c>
      <c r="S769" s="1287" t="s">
        <v>1464</v>
      </c>
      <c r="T769" s="1287" t="s">
        <v>1464</v>
      </c>
      <c r="U769" s="1287"/>
      <c r="V769" s="1281" t="s">
        <v>8843</v>
      </c>
      <c r="W769" s="1281"/>
      <c r="X769" s="1282"/>
      <c r="Z769" s="1418" t="str">
        <f t="shared" si="174"/>
        <v/>
      </c>
      <c r="AA769" s="242"/>
      <c r="AB769" s="5636" t="s">
        <v>8833</v>
      </c>
      <c r="AC769" s="5637"/>
      <c r="AD769" s="5637"/>
      <c r="AE769" s="5637"/>
      <c r="AF769" s="5637"/>
      <c r="AG769" s="5637"/>
      <c r="AH769" s="5637"/>
      <c r="AI769" s="5637"/>
      <c r="AJ769" s="5637"/>
      <c r="AK769" s="5637"/>
      <c r="AL769" s="5637"/>
      <c r="AM769" s="5637"/>
      <c r="AN769" s="5637"/>
      <c r="AO769" s="5637"/>
      <c r="AP769" s="5637"/>
      <c r="AQ769" s="5637"/>
      <c r="AR769" s="5637"/>
      <c r="AS769" s="5637"/>
      <c r="AT769" s="5637"/>
      <c r="AU769" s="5638"/>
    </row>
    <row r="770" spans="1:47" ht="12.75" customHeight="1" x14ac:dyDescent="0.2">
      <c r="A770" s="242">
        <v>770</v>
      </c>
      <c r="B770" s="5664"/>
      <c r="C770" s="1288"/>
      <c r="D770" s="1289" t="s">
        <v>2247</v>
      </c>
      <c r="E770" s="1287">
        <v>150</v>
      </c>
      <c r="F770" s="1287" t="s">
        <v>1464</v>
      </c>
      <c r="G770" s="1287">
        <v>0</v>
      </c>
      <c r="H770" s="1287">
        <v>0</v>
      </c>
      <c r="I770" s="1287" t="s">
        <v>1506</v>
      </c>
      <c r="J770" s="1287" t="s">
        <v>1464</v>
      </c>
      <c r="K770" s="1281" t="s">
        <v>7538</v>
      </c>
      <c r="L770" s="1287"/>
      <c r="M770" s="1296">
        <v>20</v>
      </c>
      <c r="N770" s="1296">
        <v>14</v>
      </c>
      <c r="O770" s="1296">
        <v>15</v>
      </c>
      <c r="P770" s="1287"/>
      <c r="Q770" s="1287"/>
      <c r="R770" s="1287" t="s">
        <v>1464</v>
      </c>
      <c r="S770" s="1287" t="s">
        <v>1464</v>
      </c>
      <c r="T770" s="1287" t="s">
        <v>1464</v>
      </c>
      <c r="U770" s="1287"/>
      <c r="V770" s="5633" t="s">
        <v>2248</v>
      </c>
      <c r="W770" s="5633"/>
      <c r="X770" s="5634"/>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664"/>
      <c r="C771" s="1288"/>
      <c r="D771" s="1289" t="s">
        <v>8870</v>
      </c>
      <c r="E771" s="1287">
        <v>120</v>
      </c>
      <c r="F771" s="1287" t="s">
        <v>1464</v>
      </c>
      <c r="G771" s="1287">
        <v>0</v>
      </c>
      <c r="H771" s="1287">
        <v>0</v>
      </c>
      <c r="I771" s="1287" t="s">
        <v>1506</v>
      </c>
      <c r="J771" s="1287" t="s">
        <v>1464</v>
      </c>
      <c r="K771" s="1281" t="s">
        <v>7538</v>
      </c>
      <c r="L771" s="1287"/>
      <c r="M771" s="1296">
        <v>20</v>
      </c>
      <c r="N771" s="1296">
        <v>14</v>
      </c>
      <c r="O771" s="1296">
        <v>15</v>
      </c>
      <c r="P771" s="1287"/>
      <c r="Q771" s="1287"/>
      <c r="R771" s="1287" t="s">
        <v>1464</v>
      </c>
      <c r="S771" s="1287" t="s">
        <v>1464</v>
      </c>
      <c r="T771" s="1287" t="s">
        <v>1464</v>
      </c>
      <c r="U771" s="1287"/>
      <c r="V771" s="5633" t="s">
        <v>8871</v>
      </c>
      <c r="W771" s="5633"/>
      <c r="X771" s="5634"/>
      <c r="Z771" s="1418" t="str">
        <f t="shared" si="174"/>
        <v/>
      </c>
      <c r="AA771" s="242"/>
      <c r="AB771" s="1532" t="s">
        <v>1449</v>
      </c>
      <c r="AC771" s="1533" t="s">
        <v>8840</v>
      </c>
      <c r="AD771" s="5865" t="s">
        <v>8841</v>
      </c>
      <c r="AE771" s="5865"/>
      <c r="AF771" s="5865"/>
      <c r="AG771" s="5865"/>
      <c r="AH771" s="5865"/>
      <c r="AI771" s="5865"/>
      <c r="AJ771" s="5865"/>
      <c r="AK771" s="5865"/>
      <c r="AL771" s="5865"/>
      <c r="AM771" s="5865"/>
      <c r="AN771" s="5865"/>
      <c r="AO771" s="5865"/>
      <c r="AP771" s="5865"/>
      <c r="AQ771" s="5865"/>
      <c r="AR771" s="5865"/>
      <c r="AS771" s="5865"/>
      <c r="AT771" s="5865"/>
      <c r="AU771" s="5866"/>
    </row>
    <row r="772" spans="1:47" ht="12.75" customHeight="1" x14ac:dyDescent="0.2">
      <c r="A772" s="242">
        <v>772</v>
      </c>
      <c r="B772" s="5664"/>
      <c r="C772" s="1288"/>
      <c r="D772" s="1289" t="s">
        <v>8864</v>
      </c>
      <c r="E772" s="1287">
        <v>50</v>
      </c>
      <c r="F772" s="1287" t="s">
        <v>1464</v>
      </c>
      <c r="G772" s="1287">
        <v>0</v>
      </c>
      <c r="H772" s="1287">
        <v>0</v>
      </c>
      <c r="I772" s="1287" t="s">
        <v>1561</v>
      </c>
      <c r="J772" s="1287" t="s">
        <v>1464</v>
      </c>
      <c r="K772" s="1281" t="s">
        <v>7538</v>
      </c>
      <c r="L772" s="1287"/>
      <c r="M772" s="1296">
        <v>11</v>
      </c>
      <c r="N772" s="1296">
        <v>5</v>
      </c>
      <c r="O772" s="1296">
        <v>15</v>
      </c>
      <c r="P772" s="1287"/>
      <c r="Q772" s="1287"/>
      <c r="R772" s="1287" t="s">
        <v>1464</v>
      </c>
      <c r="S772" s="1287" t="s">
        <v>1464</v>
      </c>
      <c r="T772" s="1287" t="s">
        <v>1464</v>
      </c>
      <c r="U772" s="1287"/>
      <c r="V772" s="1281" t="s">
        <v>8869</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2245</v>
      </c>
      <c r="AE772" s="1538" t="s">
        <v>8835</v>
      </c>
      <c r="AF772" s="1538" t="s">
        <v>2247</v>
      </c>
      <c r="AG772" s="1538" t="s">
        <v>2249</v>
      </c>
      <c r="AH772" s="1538" t="s">
        <v>2251</v>
      </c>
      <c r="AI772" s="1538" t="s">
        <v>2253</v>
      </c>
      <c r="AJ772" s="1538" t="s">
        <v>2254</v>
      </c>
      <c r="AK772" s="1538" t="s">
        <v>2182</v>
      </c>
      <c r="AL772" s="1538" t="s">
        <v>8837</v>
      </c>
      <c r="AM772" s="1538" t="s">
        <v>8836</v>
      </c>
      <c r="AN772" s="1538" t="s">
        <v>2256</v>
      </c>
      <c r="AO772" s="1538" t="s">
        <v>2258</v>
      </c>
      <c r="AP772" s="1538" t="s">
        <v>2260</v>
      </c>
      <c r="AQ772" s="1538" t="s">
        <v>8838</v>
      </c>
      <c r="AR772" s="1538" t="s">
        <v>8839</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664"/>
      <c r="C773" s="1288"/>
      <c r="D773" s="1289" t="s">
        <v>2249</v>
      </c>
      <c r="E773" s="1287">
        <v>5</v>
      </c>
      <c r="F773" s="1287" t="s">
        <v>1464</v>
      </c>
      <c r="G773" s="1287">
        <v>0</v>
      </c>
      <c r="H773" s="1287">
        <v>0</v>
      </c>
      <c r="I773" s="1287" t="s">
        <v>1561</v>
      </c>
      <c r="J773" s="1287" t="s">
        <v>1464</v>
      </c>
      <c r="K773" s="1281" t="s">
        <v>7538</v>
      </c>
      <c r="L773" s="1287"/>
      <c r="M773" s="1296">
        <v>2</v>
      </c>
      <c r="N773" s="1296">
        <v>-4</v>
      </c>
      <c r="O773" s="1296">
        <v>15</v>
      </c>
      <c r="P773" s="1287"/>
      <c r="Q773" s="1287"/>
      <c r="R773" s="1287" t="s">
        <v>1464</v>
      </c>
      <c r="S773" s="1287" t="s">
        <v>1464</v>
      </c>
      <c r="T773" s="1287" t="s">
        <v>1464</v>
      </c>
      <c r="U773" s="1287"/>
      <c r="V773" s="5633" t="s">
        <v>2250</v>
      </c>
      <c r="W773" s="5633"/>
      <c r="X773" s="5634"/>
      <c r="Z773" s="1418" t="str">
        <f t="shared" si="174"/>
        <v/>
      </c>
      <c r="AA773" s="242"/>
      <c r="AB773" s="1546" t="str">
        <f>IF(ISNUMBER(FIND("Proyectil",VLOOKUP($D633,Tabla_ArmasyEscudos,8,0))),$D633,"-")</f>
        <v>-</v>
      </c>
      <c r="AC773" s="1549" t="str">
        <f t="shared" si="175"/>
        <v>Tablas!$AD$773:$AR$773</v>
      </c>
      <c r="AD773" s="1542" t="s">
        <v>2245</v>
      </c>
      <c r="AE773" s="1538" t="s">
        <v>8835</v>
      </c>
      <c r="AF773" s="1538" t="s">
        <v>2247</v>
      </c>
      <c r="AG773" s="1538" t="s">
        <v>2249</v>
      </c>
      <c r="AH773" s="1538" t="s">
        <v>2251</v>
      </c>
      <c r="AI773" s="1538" t="s">
        <v>2253</v>
      </c>
      <c r="AJ773" s="1538" t="s">
        <v>2254</v>
      </c>
      <c r="AK773" s="1538" t="s">
        <v>2182</v>
      </c>
      <c r="AL773" s="1538" t="s">
        <v>8837</v>
      </c>
      <c r="AM773" s="1538" t="s">
        <v>8836</v>
      </c>
      <c r="AN773" s="1538" t="s">
        <v>2256</v>
      </c>
      <c r="AO773" s="1538" t="s">
        <v>2258</v>
      </c>
      <c r="AP773" s="1538" t="s">
        <v>2260</v>
      </c>
      <c r="AQ773" s="1538" t="s">
        <v>8838</v>
      </c>
      <c r="AR773" s="1538" t="s">
        <v>8839</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664"/>
      <c r="C774" s="1288"/>
      <c r="D774" s="1289" t="s">
        <v>2251</v>
      </c>
      <c r="E774" s="1287">
        <v>40</v>
      </c>
      <c r="F774" s="1287" t="s">
        <v>1464</v>
      </c>
      <c r="G774" s="1287">
        <v>0</v>
      </c>
      <c r="H774" s="1287">
        <v>0</v>
      </c>
      <c r="I774" s="1287" t="s">
        <v>1561</v>
      </c>
      <c r="J774" s="1287" t="s">
        <v>1464</v>
      </c>
      <c r="K774" s="1281" t="s">
        <v>7538</v>
      </c>
      <c r="L774" s="1287"/>
      <c r="M774" s="1296">
        <v>4</v>
      </c>
      <c r="N774" s="1296">
        <v>1</v>
      </c>
      <c r="O774" s="1296">
        <v>20</v>
      </c>
      <c r="P774" s="1287"/>
      <c r="Q774" s="1287"/>
      <c r="R774" s="1287" t="s">
        <v>1464</v>
      </c>
      <c r="S774" s="1287" t="s">
        <v>1464</v>
      </c>
      <c r="T774" s="1287" t="s">
        <v>1464</v>
      </c>
      <c r="U774" s="1287"/>
      <c r="V774" s="5633" t="s">
        <v>2252</v>
      </c>
      <c r="W774" s="5633"/>
      <c r="X774" s="5634"/>
      <c r="Z774" s="1418" t="str">
        <f t="shared" si="174"/>
        <v/>
      </c>
      <c r="AA774" s="242"/>
      <c r="AB774" s="1546" t="str">
        <f>IF(ISNUMBER(FIND("Proyectil",VLOOKUP($D634,Tabla_ArmasyEscudos,8,0))),$D634,"-")</f>
        <v>-</v>
      </c>
      <c r="AC774" s="1549" t="str">
        <f t="shared" si="175"/>
        <v>Tablas!$AD$774:$AR$774</v>
      </c>
      <c r="AD774" s="1542" t="s">
        <v>2245</v>
      </c>
      <c r="AE774" s="1538" t="s">
        <v>8835</v>
      </c>
      <c r="AF774" s="1538" t="s">
        <v>2247</v>
      </c>
      <c r="AG774" s="1538" t="s">
        <v>2249</v>
      </c>
      <c r="AH774" s="1538" t="s">
        <v>2251</v>
      </c>
      <c r="AI774" s="1538" t="s">
        <v>2253</v>
      </c>
      <c r="AJ774" s="1538" t="s">
        <v>2254</v>
      </c>
      <c r="AK774" s="1538" t="s">
        <v>2182</v>
      </c>
      <c r="AL774" s="1538" t="s">
        <v>8837</v>
      </c>
      <c r="AM774" s="1538" t="s">
        <v>8836</v>
      </c>
      <c r="AN774" s="1538" t="s">
        <v>2256</v>
      </c>
      <c r="AO774" s="1538" t="s">
        <v>2258</v>
      </c>
      <c r="AP774" s="1538" t="s">
        <v>2260</v>
      </c>
      <c r="AQ774" s="1538" t="s">
        <v>8838</v>
      </c>
      <c r="AR774" s="1538" t="s">
        <v>8839</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664"/>
      <c r="C775" s="1288"/>
      <c r="D775" s="1289" t="s">
        <v>2253</v>
      </c>
      <c r="E775" s="1287">
        <v>30</v>
      </c>
      <c r="F775" s="1287" t="s">
        <v>1464</v>
      </c>
      <c r="G775" s="1287">
        <v>0</v>
      </c>
      <c r="H775" s="1287">
        <v>0</v>
      </c>
      <c r="I775" s="1287" t="s">
        <v>1561</v>
      </c>
      <c r="J775" s="1287" t="s">
        <v>1464</v>
      </c>
      <c r="K775" s="1281" t="s">
        <v>7538</v>
      </c>
      <c r="L775" s="1287"/>
      <c r="M775" s="1296">
        <v>3</v>
      </c>
      <c r="N775" s="1296">
        <v>0</v>
      </c>
      <c r="O775" s="1296">
        <v>20</v>
      </c>
      <c r="P775" s="1287"/>
      <c r="Q775" s="1287"/>
      <c r="R775" s="1287" t="s">
        <v>1464</v>
      </c>
      <c r="S775" s="1287" t="s">
        <v>1464</v>
      </c>
      <c r="T775" s="1287" t="s">
        <v>1464</v>
      </c>
      <c r="U775" s="1287"/>
      <c r="V775" s="5702" t="s">
        <v>8846</v>
      </c>
      <c r="W775" s="5633"/>
      <c r="X775" s="5634"/>
      <c r="Z775" s="1418" t="str">
        <f t="shared" si="174"/>
        <v/>
      </c>
      <c r="AA775" s="242"/>
      <c r="AB775" s="1546" t="s">
        <v>1928</v>
      </c>
      <c r="AC775" s="1549" t="str">
        <f t="shared" ref="AC775:AC795" si="176">"Tablas!"&amp;ADDRESS(ROW(AD775),COLUMN(AD775))&amp;":"&amp;ADDRESS(ROW(AD775),COLUMN(AD775)+AU$770-AD$770-COUNTBLANK(AD775:AU775))</f>
        <v>Tablas!$AD$775:$AD$775</v>
      </c>
      <c r="AD775" s="1542" t="s">
        <v>9081</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664"/>
      <c r="C776" s="1288"/>
      <c r="D776" s="1289" t="s">
        <v>2254</v>
      </c>
      <c r="E776" s="1287">
        <v>30</v>
      </c>
      <c r="F776" s="1287" t="s">
        <v>1464</v>
      </c>
      <c r="G776" s="1287">
        <v>0</v>
      </c>
      <c r="H776" s="1287">
        <v>0</v>
      </c>
      <c r="I776" s="1287" t="s">
        <v>1561</v>
      </c>
      <c r="J776" s="1287" t="s">
        <v>1464</v>
      </c>
      <c r="K776" s="1281" t="s">
        <v>7538</v>
      </c>
      <c r="L776" s="1287"/>
      <c r="M776" s="1296">
        <v>3</v>
      </c>
      <c r="N776" s="1296">
        <v>0</v>
      </c>
      <c r="O776" s="1296">
        <v>20</v>
      </c>
      <c r="P776" s="1287"/>
      <c r="Q776" s="1287"/>
      <c r="R776" s="1287" t="s">
        <v>1464</v>
      </c>
      <c r="S776" s="1287" t="s">
        <v>1464</v>
      </c>
      <c r="T776" s="1287" t="s">
        <v>1464</v>
      </c>
      <c r="U776" s="1287"/>
      <c r="V776" s="5702" t="s">
        <v>8847</v>
      </c>
      <c r="W776" s="5633"/>
      <c r="X776" s="5634"/>
      <c r="Z776" s="1418" t="str">
        <f t="shared" si="174"/>
        <v/>
      </c>
      <c r="AA776" s="242"/>
      <c r="AB776" s="1546" t="s">
        <v>8834</v>
      </c>
      <c r="AC776" s="1549" t="str">
        <f t="shared" si="176"/>
        <v>Tablas!$AD$776:$AD$776</v>
      </c>
      <c r="AD776" s="1543" t="s">
        <v>2245</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664"/>
      <c r="C777" s="1288"/>
      <c r="D777" s="1289" t="s">
        <v>8863</v>
      </c>
      <c r="E777" s="1287">
        <v>35</v>
      </c>
      <c r="F777" s="1287" t="s">
        <v>1464</v>
      </c>
      <c r="G777" s="1287">
        <v>0</v>
      </c>
      <c r="H777" s="1287">
        <v>0</v>
      </c>
      <c r="I777" s="1287" t="s">
        <v>1561</v>
      </c>
      <c r="J777" s="1287" t="s">
        <v>1464</v>
      </c>
      <c r="K777" s="1281" t="s">
        <v>7538</v>
      </c>
      <c r="L777" s="1287"/>
      <c r="M777" s="1296">
        <v>10</v>
      </c>
      <c r="N777" s="1296">
        <v>-2</v>
      </c>
      <c r="O777" s="1296">
        <v>20</v>
      </c>
      <c r="P777" s="1287"/>
      <c r="Q777" s="1287"/>
      <c r="R777" s="1287" t="s">
        <v>1464</v>
      </c>
      <c r="S777" s="1287" t="s">
        <v>1464</v>
      </c>
      <c r="T777" s="1287" t="s">
        <v>1464</v>
      </c>
      <c r="U777" s="1287"/>
      <c r="V777" s="1281" t="s">
        <v>8842</v>
      </c>
      <c r="W777" s="1281"/>
      <c r="X777" s="1282"/>
      <c r="Z777" s="1418" t="str">
        <f t="shared" si="174"/>
        <v/>
      </c>
      <c r="AA777" s="242"/>
      <c r="AB777" s="1546" t="s">
        <v>2232</v>
      </c>
      <c r="AC777" s="1549" t="str">
        <f t="shared" si="176"/>
        <v>Tablas!$AD$777:$AF$777</v>
      </c>
      <c r="AD777" s="1543" t="s">
        <v>2251</v>
      </c>
      <c r="AE777" s="1539" t="s">
        <v>2253</v>
      </c>
      <c r="AF777" s="1539" t="s">
        <v>2254</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664"/>
      <c r="C778" s="1288"/>
      <c r="D778" s="1289" t="s">
        <v>8837</v>
      </c>
      <c r="E778" s="1287">
        <v>20</v>
      </c>
      <c r="F778" s="1287" t="s">
        <v>1464</v>
      </c>
      <c r="G778" s="1287">
        <v>0</v>
      </c>
      <c r="H778" s="1287">
        <v>0</v>
      </c>
      <c r="I778" s="1287" t="s">
        <v>1506</v>
      </c>
      <c r="J778" s="1287" t="s">
        <v>1464</v>
      </c>
      <c r="K778" s="1281" t="s">
        <v>7538</v>
      </c>
      <c r="L778" s="1287"/>
      <c r="M778" s="1296">
        <v>5</v>
      </c>
      <c r="N778" s="1296">
        <v>0</v>
      </c>
      <c r="O778" s="1296">
        <v>5</v>
      </c>
      <c r="P778" s="1287"/>
      <c r="Q778" s="1287"/>
      <c r="R778" s="1287" t="s">
        <v>1464</v>
      </c>
      <c r="S778" s="1287" t="s">
        <v>1464</v>
      </c>
      <c r="T778" s="1287" t="s">
        <v>1464</v>
      </c>
      <c r="U778" s="1287"/>
      <c r="V778" s="1281" t="s">
        <v>8843</v>
      </c>
      <c r="W778" s="1281"/>
      <c r="X778" s="1282"/>
      <c r="Z778" s="1418" t="str">
        <f t="shared" si="174"/>
        <v/>
      </c>
      <c r="AA778" s="242"/>
      <c r="AB778" s="1546" t="s">
        <v>2234</v>
      </c>
      <c r="AC778" s="1549" t="str">
        <f t="shared" si="176"/>
        <v>Tablas!$AD$778:$AF$778</v>
      </c>
      <c r="AD778" s="1543" t="s">
        <v>2251</v>
      </c>
      <c r="AE778" s="1539" t="s">
        <v>2253</v>
      </c>
      <c r="AF778" s="1539" t="s">
        <v>2254</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664"/>
      <c r="C779" s="1288"/>
      <c r="D779" s="1289" t="s">
        <v>8836</v>
      </c>
      <c r="E779" s="1287">
        <v>15</v>
      </c>
      <c r="F779" s="1287" t="s">
        <v>1464</v>
      </c>
      <c r="G779" s="1287">
        <v>0</v>
      </c>
      <c r="H779" s="1287">
        <v>0</v>
      </c>
      <c r="I779" s="1287" t="s">
        <v>1506</v>
      </c>
      <c r="J779" s="1287" t="s">
        <v>1464</v>
      </c>
      <c r="K779" s="1281" t="s">
        <v>7538</v>
      </c>
      <c r="L779" s="1287"/>
      <c r="M779" s="1296">
        <v>7</v>
      </c>
      <c r="N779" s="1296">
        <v>2</v>
      </c>
      <c r="O779" s="1296">
        <v>10</v>
      </c>
      <c r="P779" s="1287"/>
      <c r="Q779" s="1287"/>
      <c r="R779" s="1287" t="s">
        <v>1464</v>
      </c>
      <c r="S779" s="1287" t="s">
        <v>1464</v>
      </c>
      <c r="T779" s="1287" t="s">
        <v>1464</v>
      </c>
      <c r="U779" s="1287"/>
      <c r="V779" s="5633" t="s">
        <v>2255</v>
      </c>
      <c r="W779" s="5633"/>
      <c r="X779" s="5634"/>
      <c r="Z779" s="1418" t="str">
        <f t="shared" si="174"/>
        <v/>
      </c>
      <c r="AA779" s="242"/>
      <c r="AB779" s="1546" t="s">
        <v>7228</v>
      </c>
      <c r="AC779" s="1549" t="str">
        <f t="shared" si="176"/>
        <v>Tablas!$AD$779:$AE$779</v>
      </c>
      <c r="AD779" s="1543" t="s">
        <v>8835</v>
      </c>
      <c r="AE779" s="1539" t="s">
        <v>8837</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664"/>
      <c r="C780" s="1288"/>
      <c r="D780" s="1289" t="s">
        <v>2256</v>
      </c>
      <c r="E780" s="1287">
        <v>40</v>
      </c>
      <c r="F780" s="1287" t="s">
        <v>1464</v>
      </c>
      <c r="G780" s="1287">
        <v>0</v>
      </c>
      <c r="H780" s="1287">
        <v>0</v>
      </c>
      <c r="I780" s="1287" t="s">
        <v>1561</v>
      </c>
      <c r="J780" s="1287" t="s">
        <v>1464</v>
      </c>
      <c r="K780" s="1281" t="s">
        <v>7538</v>
      </c>
      <c r="L780" s="1287"/>
      <c r="M780" s="1296">
        <v>3</v>
      </c>
      <c r="N780" s="1296">
        <v>0</v>
      </c>
      <c r="O780" s="1296">
        <v>15</v>
      </c>
      <c r="P780" s="1287"/>
      <c r="Q780" s="1287"/>
      <c r="R780" s="1287" t="s">
        <v>1464</v>
      </c>
      <c r="S780" s="1287" t="s">
        <v>1464</v>
      </c>
      <c r="T780" s="1287" t="s">
        <v>1464</v>
      </c>
      <c r="U780" s="1287"/>
      <c r="V780" s="5633" t="s">
        <v>2257</v>
      </c>
      <c r="W780" s="5633"/>
      <c r="X780" s="5634"/>
      <c r="Z780" s="1418" t="str">
        <f t="shared" si="174"/>
        <v/>
      </c>
      <c r="AA780" s="242"/>
      <c r="AB780" s="1546" t="s">
        <v>2235</v>
      </c>
      <c r="AC780" s="1549" t="str">
        <f t="shared" si="176"/>
        <v>Tablas!$AD$780:$AF$780</v>
      </c>
      <c r="AD780" s="1543" t="s">
        <v>2251</v>
      </c>
      <c r="AE780" s="1539" t="s">
        <v>2253</v>
      </c>
      <c r="AF780" s="1539" t="s">
        <v>2254</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664"/>
      <c r="C781" s="1288"/>
      <c r="D781" s="1289" t="s">
        <v>2258</v>
      </c>
      <c r="E781" s="1287">
        <v>30</v>
      </c>
      <c r="F781" s="1287" t="s">
        <v>1464</v>
      </c>
      <c r="G781" s="1287">
        <v>0</v>
      </c>
      <c r="H781" s="1287">
        <v>0</v>
      </c>
      <c r="I781" s="1287" t="s">
        <v>1561</v>
      </c>
      <c r="J781" s="1287" t="s">
        <v>1464</v>
      </c>
      <c r="K781" s="1281" t="s">
        <v>7538</v>
      </c>
      <c r="L781" s="1287"/>
      <c r="M781" s="1296">
        <v>2</v>
      </c>
      <c r="N781" s="1296">
        <v>-1</v>
      </c>
      <c r="O781" s="1296">
        <v>15</v>
      </c>
      <c r="P781" s="1287"/>
      <c r="Q781" s="1287"/>
      <c r="R781" s="1287" t="s">
        <v>1464</v>
      </c>
      <c r="S781" s="1287" t="s">
        <v>1464</v>
      </c>
      <c r="T781" s="1287" t="s">
        <v>1464</v>
      </c>
      <c r="U781" s="1287"/>
      <c r="V781" s="5633" t="s">
        <v>2259</v>
      </c>
      <c r="W781" s="5633"/>
      <c r="X781" s="5634"/>
      <c r="Z781" s="1418" t="str">
        <f t="shared" si="174"/>
        <v/>
      </c>
      <c r="AA781" s="242"/>
      <c r="AB781" s="1546" t="s">
        <v>7232</v>
      </c>
      <c r="AC781" s="1549" t="str">
        <f t="shared" si="176"/>
        <v>Tablas!$AD$781:$AD$781</v>
      </c>
      <c r="AD781" s="1543" t="s">
        <v>8863</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664"/>
      <c r="C782" s="1288"/>
      <c r="D782" s="1289" t="s">
        <v>2260</v>
      </c>
      <c r="E782" s="1287">
        <v>60</v>
      </c>
      <c r="F782" s="1287" t="s">
        <v>1464</v>
      </c>
      <c r="G782" s="1287">
        <v>0</v>
      </c>
      <c r="H782" s="1287">
        <v>0</v>
      </c>
      <c r="I782" s="1287" t="s">
        <v>1561</v>
      </c>
      <c r="J782" s="1287" t="s">
        <v>1464</v>
      </c>
      <c r="K782" s="1281" t="s">
        <v>7538</v>
      </c>
      <c r="L782" s="1287"/>
      <c r="M782" s="1296">
        <v>4</v>
      </c>
      <c r="N782" s="1296">
        <v>1</v>
      </c>
      <c r="O782" s="1296">
        <v>15</v>
      </c>
      <c r="P782" s="1287"/>
      <c r="Q782" s="1287"/>
      <c r="R782" s="1287" t="s">
        <v>1464</v>
      </c>
      <c r="S782" s="1287" t="s">
        <v>1464</v>
      </c>
      <c r="T782" s="1287" t="s">
        <v>1464</v>
      </c>
      <c r="U782" s="1287"/>
      <c r="V782" s="5633" t="s">
        <v>2261</v>
      </c>
      <c r="W782" s="5633"/>
      <c r="X782" s="5634"/>
      <c r="Z782" s="1418" t="str">
        <f t="shared" si="174"/>
        <v/>
      </c>
      <c r="AA782" s="242"/>
      <c r="AB782" s="1546" t="s">
        <v>2236</v>
      </c>
      <c r="AC782" s="1549" t="str">
        <f t="shared" si="176"/>
        <v>Tablas!$AD$782:$AD$782</v>
      </c>
      <c r="AD782" s="1543" t="s">
        <v>2256</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664"/>
      <c r="C783" s="1288"/>
      <c r="D783" s="1289" t="s">
        <v>8838</v>
      </c>
      <c r="E783" s="1287">
        <v>120</v>
      </c>
      <c r="F783" s="1287" t="s">
        <v>1464</v>
      </c>
      <c r="G783" s="1287">
        <v>0</v>
      </c>
      <c r="H783" s="1287">
        <v>0</v>
      </c>
      <c r="I783" s="1287" t="s">
        <v>1561</v>
      </c>
      <c r="J783" s="1287" t="s">
        <v>1464</v>
      </c>
      <c r="K783" s="1281" t="s">
        <v>7538</v>
      </c>
      <c r="L783" s="1287"/>
      <c r="M783" s="1296">
        <v>16</v>
      </c>
      <c r="N783" s="1296">
        <v>8</v>
      </c>
      <c r="O783" s="1296">
        <v>15</v>
      </c>
      <c r="P783" s="1287"/>
      <c r="Q783" s="1287"/>
      <c r="R783" s="1287" t="s">
        <v>1464</v>
      </c>
      <c r="S783" s="1287" t="s">
        <v>1464</v>
      </c>
      <c r="T783" s="1287" t="s">
        <v>1464</v>
      </c>
      <c r="U783" s="1287"/>
      <c r="V783" s="1281" t="s">
        <v>8844</v>
      </c>
      <c r="W783" s="1281"/>
      <c r="X783" s="1282"/>
      <c r="Z783" s="1418" t="str">
        <f t="shared" si="174"/>
        <v/>
      </c>
      <c r="AA783" s="242"/>
      <c r="AB783" s="1546" t="s">
        <v>2238</v>
      </c>
      <c r="AC783" s="1549" t="str">
        <f t="shared" si="176"/>
        <v>Tablas!$AD$783:$AD$783</v>
      </c>
      <c r="AD783" s="1543" t="s">
        <v>2258</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664"/>
      <c r="C784" s="1288"/>
      <c r="D784" s="1289" t="s">
        <v>8839</v>
      </c>
      <c r="E784" s="1287">
        <v>150</v>
      </c>
      <c r="F784" s="1287" t="s">
        <v>1464</v>
      </c>
      <c r="G784" s="1287">
        <v>0</v>
      </c>
      <c r="H784" s="1287">
        <v>0</v>
      </c>
      <c r="I784" s="1287" t="s">
        <v>1561</v>
      </c>
      <c r="J784" s="1287" t="s">
        <v>1464</v>
      </c>
      <c r="K784" s="1281" t="s">
        <v>7538</v>
      </c>
      <c r="L784" s="1287"/>
      <c r="M784" s="1296">
        <v>18</v>
      </c>
      <c r="N784" s="1296">
        <v>12</v>
      </c>
      <c r="O784" s="1296">
        <v>15</v>
      </c>
      <c r="P784" s="1287"/>
      <c r="Q784" s="1287"/>
      <c r="R784" s="1287" t="s">
        <v>1464</v>
      </c>
      <c r="S784" s="1287" t="s">
        <v>1464</v>
      </c>
      <c r="T784" s="1287" t="s">
        <v>1464</v>
      </c>
      <c r="U784" s="1287"/>
      <c r="V784" s="1281" t="s">
        <v>8845</v>
      </c>
      <c r="W784" s="1281"/>
      <c r="X784" s="1282"/>
      <c r="Z784" s="1418" t="str">
        <f t="shared" si="174"/>
        <v/>
      </c>
      <c r="AA784" s="242"/>
      <c r="AB784" s="1546" t="s">
        <v>2239</v>
      </c>
      <c r="AC784" s="1549" t="str">
        <f t="shared" si="176"/>
        <v>Tablas!$AD$784:$AD$784</v>
      </c>
      <c r="AD784" s="1543" t="s">
        <v>2256</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664"/>
      <c r="C785" s="1288"/>
      <c r="D785" s="1289" t="s">
        <v>9081</v>
      </c>
      <c r="E785" s="1287">
        <f>ArmasNaturales_Daño</f>
        <v>40</v>
      </c>
      <c r="F785" s="1287" t="s">
        <v>1464</v>
      </c>
      <c r="G785" s="1287">
        <v>0</v>
      </c>
      <c r="H785" s="1287">
        <v>0</v>
      </c>
      <c r="I785" s="1287" t="str">
        <f>I631</f>
        <v>-</v>
      </c>
      <c r="J785" s="1287" t="str">
        <f>J631</f>
        <v>-</v>
      </c>
      <c r="K785" s="1281" t="s">
        <v>7538</v>
      </c>
      <c r="L785" s="1287"/>
      <c r="M785" s="1296">
        <f>M631</f>
        <v>12</v>
      </c>
      <c r="N785" s="1287">
        <f t="shared" ref="N785" si="180">N631</f>
        <v>0</v>
      </c>
      <c r="O785" s="1287"/>
      <c r="P785" s="1287"/>
      <c r="Q785" s="1287"/>
      <c r="R785" s="1287" t="s">
        <v>1464</v>
      </c>
      <c r="S785" s="1287" t="s">
        <v>1464</v>
      </c>
      <c r="T785" s="1287" t="s">
        <v>1464</v>
      </c>
      <c r="U785" s="1287"/>
      <c r="V785" s="1281" t="s">
        <v>9080</v>
      </c>
      <c r="W785" s="1281"/>
      <c r="X785" s="1282"/>
      <c r="Z785" s="1418" t="str">
        <f>IF(AND(K786&lt;&gt;"Natural/-",ISNUMBER(SEARCH(D786,Armas_Conocidas))),", "&amp;K786,"")</f>
        <v/>
      </c>
      <c r="AA785" s="242"/>
      <c r="AB785" s="1546" t="s">
        <v>2240</v>
      </c>
      <c r="AC785" s="1549" t="str">
        <f t="shared" si="176"/>
        <v>Tablas!$AD$785:$AD$785</v>
      </c>
      <c r="AD785" s="1543" t="s">
        <v>2260</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664"/>
      <c r="C786" s="1288"/>
      <c r="D786" s="1289" t="s">
        <v>2262</v>
      </c>
      <c r="E786" s="1287"/>
      <c r="F786" s="1287"/>
      <c r="G786" s="1287"/>
      <c r="H786" s="1287"/>
      <c r="I786" s="1287"/>
      <c r="J786" s="1287"/>
      <c r="K786" s="1281" t="s">
        <v>7517</v>
      </c>
      <c r="L786" s="1287"/>
      <c r="M786" s="1296"/>
      <c r="N786" s="1296"/>
      <c r="O786" s="1296"/>
      <c r="P786" s="1287"/>
      <c r="Q786" s="1287"/>
      <c r="R786" s="1287"/>
      <c r="S786" s="1287"/>
      <c r="T786" s="1287"/>
      <c r="U786" s="1287"/>
      <c r="V786" s="1281"/>
      <c r="W786" s="1281"/>
      <c r="X786" s="1282"/>
      <c r="Z786" s="1422"/>
      <c r="AA786" s="242"/>
      <c r="AB786" s="1546" t="s">
        <v>2241</v>
      </c>
      <c r="AC786" s="1549" t="str">
        <f t="shared" si="176"/>
        <v>Tablas!$AD$786:$AD$786</v>
      </c>
      <c r="AD786" s="1543" t="s">
        <v>2249</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664"/>
      <c r="C787" s="1288"/>
      <c r="D787" s="1289" t="s">
        <v>2263</v>
      </c>
      <c r="E787" s="1287">
        <f>Presencia_final+Bono_Pod-Bono_Fue</f>
        <v>45</v>
      </c>
      <c r="F787" s="1287">
        <v>20</v>
      </c>
      <c r="G787" s="1287">
        <v>0</v>
      </c>
      <c r="H787" s="1287">
        <v>0</v>
      </c>
      <c r="I787" s="1287" t="s">
        <v>2264</v>
      </c>
      <c r="J787" s="1287" t="s">
        <v>1464</v>
      </c>
      <c r="K787" s="1281" t="s">
        <v>7539</v>
      </c>
      <c r="L787" s="1299" t="str">
        <f>IF(SUMPRODUCT(--ISNUMBER(SEARCH($D787,INDEX(Tabla_ArsMagnus,,1))),INDEX(Tabla_ArsMagnus,,4))&gt;0,"Conocida","Distinta")</f>
        <v>Distinta</v>
      </c>
      <c r="M787" s="1296" t="s">
        <v>1464</v>
      </c>
      <c r="N787" s="1296">
        <f>POD</f>
        <v>10</v>
      </c>
      <c r="O787" s="1296">
        <f>Presencia_final</f>
        <v>30</v>
      </c>
      <c r="P787" s="1287"/>
      <c r="Q787" s="1287"/>
      <c r="R787" s="1287"/>
      <c r="S787" s="1287"/>
      <c r="T787" s="1287"/>
      <c r="U787" s="1287"/>
      <c r="V787" s="1281" t="s">
        <v>2265</v>
      </c>
      <c r="W787" s="1281"/>
      <c r="X787" s="1282"/>
      <c r="Z787" s="1418" t="str">
        <f>IF(AND(K788&lt;&gt;"Natural/-",ISNUMBER(SEARCH(D788,Armas_Conocidas))),", "&amp;K788,"")</f>
        <v/>
      </c>
      <c r="AA787" s="242"/>
      <c r="AB787" s="1546" t="s">
        <v>7238</v>
      </c>
      <c r="AC787" s="1549" t="str">
        <f t="shared" si="176"/>
        <v>Tablas!$AD$787:$AF$787</v>
      </c>
      <c r="AD787" s="1543" t="s">
        <v>2251</v>
      </c>
      <c r="AE787" s="1539" t="s">
        <v>2253</v>
      </c>
      <c r="AF787" s="1539" t="s">
        <v>2254</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664"/>
      <c r="C788" s="1288"/>
      <c r="D788" s="1289" t="s">
        <v>2266</v>
      </c>
      <c r="E788" s="1293"/>
      <c r="F788" s="1293"/>
      <c r="G788" s="1293"/>
      <c r="H788" s="1293"/>
      <c r="I788" s="1293"/>
      <c r="J788" s="1293"/>
      <c r="K788" s="1050" t="s">
        <v>7517</v>
      </c>
      <c r="L788" s="1293"/>
      <c r="M788" s="1293"/>
      <c r="N788" s="1293"/>
      <c r="O788" s="1293"/>
      <c r="P788" s="1293"/>
      <c r="Q788" s="1293"/>
      <c r="R788" s="1293"/>
      <c r="S788" s="1293"/>
      <c r="T788" s="1293"/>
      <c r="U788" s="1293"/>
      <c r="V788" s="1050"/>
      <c r="W788" s="1050"/>
      <c r="X788" s="1294"/>
      <c r="Z788" s="1422"/>
      <c r="AA788" s="242"/>
      <c r="AB788" s="1546" t="s">
        <v>2242</v>
      </c>
      <c r="AC788" s="1549" t="str">
        <f t="shared" si="176"/>
        <v>Tablas!$AD$788:$AD$788</v>
      </c>
      <c r="AD788" s="940" t="s">
        <v>8836</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664"/>
      <c r="C789" s="1288"/>
      <c r="D789" s="1289" t="s">
        <v>2267</v>
      </c>
      <c r="E789" s="1295">
        <f>100-Bono_Fue</f>
        <v>100</v>
      </c>
      <c r="F789" s="1287">
        <v>-20</v>
      </c>
      <c r="G789" s="1287">
        <v>0</v>
      </c>
      <c r="H789" s="1287">
        <v>0</v>
      </c>
      <c r="I789" s="1287" t="s">
        <v>1561</v>
      </c>
      <c r="J789" s="1287" t="s">
        <v>1560</v>
      </c>
      <c r="K789" s="1281" t="s">
        <v>7517</v>
      </c>
      <c r="L789" s="1299" t="str">
        <f>IF(H980&gt;0,"Conocida","Distinta")</f>
        <v>Distinta</v>
      </c>
      <c r="M789" s="1296">
        <v>16</v>
      </c>
      <c r="N789" s="1296">
        <v>6</v>
      </c>
      <c r="O789" s="1296">
        <v>30</v>
      </c>
      <c r="P789" s="1287"/>
      <c r="Q789" s="1287"/>
      <c r="R789" s="1287" t="s">
        <v>1464</v>
      </c>
      <c r="S789" s="1287" t="s">
        <v>1464</v>
      </c>
      <c r="T789" s="1287" t="s">
        <v>1464</v>
      </c>
      <c r="U789" s="1287"/>
      <c r="V789" s="1281" t="s">
        <v>2268</v>
      </c>
      <c r="W789" s="1293"/>
      <c r="X789" s="1300"/>
      <c r="Z789" s="1422"/>
      <c r="AA789" s="242"/>
      <c r="AB789" s="1546" t="s">
        <v>2243</v>
      </c>
      <c r="AC789" s="1549" t="str">
        <f t="shared" si="176"/>
        <v>Tablas!$AD$789:$AD$789</v>
      </c>
      <c r="AD789" s="1543" t="s">
        <v>2245</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664"/>
      <c r="C790" s="1288"/>
      <c r="D790" s="1289" t="s">
        <v>2269</v>
      </c>
      <c r="E790" s="1295">
        <v>120</v>
      </c>
      <c r="F790" s="1287">
        <v>-80</v>
      </c>
      <c r="G790" s="1287">
        <v>12</v>
      </c>
      <c r="H790" s="1287">
        <v>10</v>
      </c>
      <c r="I790" s="1287" t="s">
        <v>1560</v>
      </c>
      <c r="J790" s="1287" t="s">
        <v>1506</v>
      </c>
      <c r="K790" s="1281" t="s">
        <v>7517</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2270</v>
      </c>
      <c r="W790" s="1293"/>
      <c r="X790" s="1300"/>
      <c r="Z790" s="1422"/>
      <c r="AA790" s="242"/>
      <c r="AB790" s="1163" t="s">
        <v>8577</v>
      </c>
      <c r="AC790" s="1549" t="str">
        <f t="shared" si="176"/>
        <v>Tablas!$AD$790:$AD$790</v>
      </c>
      <c r="AD790" s="1543" t="s">
        <v>8838</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664"/>
      <c r="C791" s="1288"/>
      <c r="D791" s="1289" t="s">
        <v>2271</v>
      </c>
      <c r="E791" s="1295">
        <f>50-2*Bono_Fue+20*U604</f>
        <v>50</v>
      </c>
      <c r="F791" s="1287">
        <v>15</v>
      </c>
      <c r="G791" s="1287">
        <v>4</v>
      </c>
      <c r="H791" s="1287">
        <v>4</v>
      </c>
      <c r="I791" s="1287" t="s">
        <v>1560</v>
      </c>
      <c r="J791" s="1287" t="s">
        <v>1561</v>
      </c>
      <c r="K791" s="1281" t="s">
        <v>7517</v>
      </c>
      <c r="L791" s="1299" t="str">
        <f>IF(OR(H983&gt;0,H984&gt;0),"Conocida","Distinta")</f>
        <v>Distinta</v>
      </c>
      <c r="M791" s="1296">
        <v>20</v>
      </c>
      <c r="N791" s="1296">
        <v>2</v>
      </c>
      <c r="O791" s="1296">
        <v>80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8578</v>
      </c>
      <c r="AC791" s="1549" t="str">
        <f t="shared" si="176"/>
        <v>Tablas!$AD$791:$AD$791</v>
      </c>
      <c r="AD791" s="1543" t="s">
        <v>8839</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664"/>
      <c r="C792" s="1288"/>
      <c r="D792" s="1289" t="s">
        <v>2272</v>
      </c>
      <c r="E792" s="1295">
        <v>70</v>
      </c>
      <c r="F792" s="1287">
        <v>-30</v>
      </c>
      <c r="G792" s="1287">
        <v>8</v>
      </c>
      <c r="H792" s="1287">
        <v>6</v>
      </c>
      <c r="I792" s="1287" t="s">
        <v>1560</v>
      </c>
      <c r="J792" s="1287" t="s">
        <v>1506</v>
      </c>
      <c r="K792" s="1281" t="s">
        <v>7517</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2273</v>
      </c>
      <c r="W792" s="1293"/>
      <c r="X792" s="1300"/>
      <c r="Z792" s="1422"/>
      <c r="AA792" s="242"/>
      <c r="AB792" s="1163" t="s">
        <v>8579</v>
      </c>
      <c r="AC792" s="1549" t="str">
        <f t="shared" si="176"/>
        <v>Tablas!$AD$792:$AD$792</v>
      </c>
      <c r="AD792" s="1543" t="s">
        <v>2247</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664"/>
      <c r="C793" s="1288"/>
      <c r="D793" s="1289" t="s">
        <v>8866</v>
      </c>
      <c r="E793" s="1287">
        <v>0</v>
      </c>
      <c r="F793" s="1287">
        <v>0</v>
      </c>
      <c r="G793" s="1287">
        <v>8</v>
      </c>
      <c r="H793" s="1287">
        <v>6</v>
      </c>
      <c r="I793" s="1287" t="s">
        <v>1561</v>
      </c>
      <c r="J793" s="1287" t="s">
        <v>1464</v>
      </c>
      <c r="K793" s="1281" t="s">
        <v>7517</v>
      </c>
      <c r="L793" s="1299" t="str">
        <f>L792</f>
        <v>Distinta</v>
      </c>
      <c r="M793" s="1296">
        <v>13</v>
      </c>
      <c r="N793" s="1296">
        <v>4</v>
      </c>
      <c r="O793" s="1296">
        <v>35</v>
      </c>
      <c r="P793" s="1287"/>
      <c r="Q793" s="1287"/>
      <c r="R793" s="1287" t="s">
        <v>1464</v>
      </c>
      <c r="S793" s="1287">
        <v>2</v>
      </c>
      <c r="T793" s="1287">
        <v>50</v>
      </c>
      <c r="U793" s="1287">
        <v>10</v>
      </c>
      <c r="V793" s="1281" t="s">
        <v>2273</v>
      </c>
      <c r="W793" s="1293"/>
      <c r="X793" s="1300"/>
      <c r="Z793" s="1422"/>
      <c r="AA793" s="242"/>
      <c r="AB793" s="1163" t="s">
        <v>8866</v>
      </c>
      <c r="AC793" s="1549" t="str">
        <f t="shared" si="176"/>
        <v>Tablas!$AD$793:$AD$793</v>
      </c>
      <c r="AD793" s="1543" t="s">
        <v>8864</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664"/>
      <c r="C794" s="1288"/>
      <c r="D794" s="1289" t="s">
        <v>2274</v>
      </c>
      <c r="E794" s="1287">
        <v>40</v>
      </c>
      <c r="F794" s="1287">
        <v>5</v>
      </c>
      <c r="G794" s="1287">
        <v>5</v>
      </c>
      <c r="H794" s="1287">
        <v>3</v>
      </c>
      <c r="I794" s="1287" t="s">
        <v>1561</v>
      </c>
      <c r="J794" s="1287" t="s">
        <v>1464</v>
      </c>
      <c r="K794" s="1281" t="s">
        <v>7517</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2273</v>
      </c>
      <c r="W794" s="1293"/>
      <c r="X794" s="1300"/>
      <c r="Z794" s="1422"/>
      <c r="AA794" s="242"/>
      <c r="AB794" s="1163" t="s">
        <v>8867</v>
      </c>
      <c r="AC794" s="1549" t="str">
        <f t="shared" si="176"/>
        <v>Tablas!$AD$794:$AD$794</v>
      </c>
      <c r="AD794" s="1543" t="s">
        <v>8864</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664"/>
      <c r="C795" s="1288"/>
      <c r="D795" s="1289" t="s">
        <v>8867</v>
      </c>
      <c r="E795" s="1287">
        <v>0</v>
      </c>
      <c r="F795" s="1287">
        <v>0</v>
      </c>
      <c r="G795" s="1287">
        <v>5</v>
      </c>
      <c r="H795" s="1287">
        <v>3</v>
      </c>
      <c r="I795" s="1287" t="s">
        <v>1561</v>
      </c>
      <c r="J795" s="1287" t="s">
        <v>1464</v>
      </c>
      <c r="K795" s="1281" t="s">
        <v>7517</v>
      </c>
      <c r="L795" s="1299" t="str">
        <f>L794</f>
        <v>Distinta</v>
      </c>
      <c r="M795" s="1296">
        <v>12</v>
      </c>
      <c r="N795" s="1296">
        <v>2</v>
      </c>
      <c r="O795" s="1296">
        <v>35</v>
      </c>
      <c r="P795" s="1287"/>
      <c r="Q795" s="1287"/>
      <c r="R795" s="1287" t="s">
        <v>1464</v>
      </c>
      <c r="S795" s="1287">
        <v>2</v>
      </c>
      <c r="T795" s="1287">
        <v>80</v>
      </c>
      <c r="U795" s="1287">
        <v>11</v>
      </c>
      <c r="V795" s="1281" t="s">
        <v>2273</v>
      </c>
      <c r="W795" s="1293"/>
      <c r="X795" s="1300"/>
      <c r="Z795" s="1422"/>
      <c r="AA795" s="242"/>
      <c r="AB795" s="1547" t="s">
        <v>8868</v>
      </c>
      <c r="AC795" s="1550" t="str">
        <f t="shared" si="176"/>
        <v>Tablas!$AD$795:$AD$795</v>
      </c>
      <c r="AD795" s="1544" t="s">
        <v>8870</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664"/>
      <c r="C796" s="1288"/>
      <c r="D796" s="1289" t="s">
        <v>8868</v>
      </c>
      <c r="E796" s="1287">
        <v>0</v>
      </c>
      <c r="F796" s="1287">
        <v>-40</v>
      </c>
      <c r="G796" s="1287" t="s">
        <v>1464</v>
      </c>
      <c r="H796" s="1287">
        <v>7</v>
      </c>
      <c r="I796" s="1287" t="s">
        <v>1506</v>
      </c>
      <c r="J796" s="1287" t="s">
        <v>1464</v>
      </c>
      <c r="K796" s="1281" t="s">
        <v>7517</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2276</v>
      </c>
      <c r="W796" s="1293"/>
      <c r="X796" s="1300"/>
      <c r="Z796" s="1422"/>
      <c r="AA796" s="242"/>
      <c r="AC796" s="242"/>
    </row>
    <row r="797" spans="1:47" ht="12.75" customHeight="1" x14ac:dyDescent="0.2">
      <c r="A797" s="242">
        <v>797</v>
      </c>
      <c r="B797" s="5664"/>
      <c r="C797" s="1288"/>
      <c r="D797" s="1289" t="s">
        <v>2275</v>
      </c>
      <c r="E797" s="1287">
        <v>60</v>
      </c>
      <c r="F797" s="1287">
        <v>-15</v>
      </c>
      <c r="G797" s="1287" t="s">
        <v>1464</v>
      </c>
      <c r="H797" s="1287">
        <v>7</v>
      </c>
      <c r="I797" s="1287" t="s">
        <v>1506</v>
      </c>
      <c r="J797" s="1287" t="s">
        <v>1464</v>
      </c>
      <c r="K797" s="1281" t="s">
        <v>7517</v>
      </c>
      <c r="L797" s="1299" t="str">
        <f>L796</f>
        <v>Distinta</v>
      </c>
      <c r="M797" s="1296">
        <v>15</v>
      </c>
      <c r="N797" s="1296">
        <v>5</v>
      </c>
      <c r="O797" s="1296">
        <v>35</v>
      </c>
      <c r="P797" s="1287"/>
      <c r="Q797" s="1287"/>
      <c r="R797" s="1287" t="s">
        <v>1464</v>
      </c>
      <c r="S797" s="1287" t="s">
        <v>1464</v>
      </c>
      <c r="T797" s="1287" t="s">
        <v>1464</v>
      </c>
      <c r="U797" s="1287"/>
      <c r="V797" s="1281" t="s">
        <v>2276</v>
      </c>
      <c r="W797" s="1293"/>
      <c r="X797" s="1300"/>
      <c r="Z797" s="1422"/>
      <c r="AA797" s="242"/>
      <c r="AC797" s="242"/>
    </row>
    <row r="798" spans="1:47" ht="12.75" customHeight="1" x14ac:dyDescent="0.2">
      <c r="A798" s="242">
        <v>798</v>
      </c>
      <c r="B798" s="5664"/>
      <c r="C798" s="1288"/>
      <c r="D798" s="1289" t="s">
        <v>2277</v>
      </c>
      <c r="E798" s="1287">
        <f>60-Bono_Fue-10</f>
        <v>50</v>
      </c>
      <c r="F798" s="1287">
        <v>-10</v>
      </c>
      <c r="G798" s="1287">
        <v>0</v>
      </c>
      <c r="H798" s="1287">
        <v>0</v>
      </c>
      <c r="I798" s="1287" t="s">
        <v>1506</v>
      </c>
      <c r="J798" s="1287" t="s">
        <v>1464</v>
      </c>
      <c r="K798" s="1281" t="s">
        <v>7517</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60m</v>
      </c>
      <c r="W798" s="1293"/>
      <c r="X798" s="1300"/>
      <c r="Z798" s="1422"/>
      <c r="AA798" s="242"/>
      <c r="AC798" s="242"/>
    </row>
    <row r="799" spans="1:47" ht="12.75" customHeight="1" x14ac:dyDescent="0.2">
      <c r="A799" s="242">
        <v>799</v>
      </c>
      <c r="B799" s="5664"/>
      <c r="C799" s="1288"/>
      <c r="D799" s="1289" t="s">
        <v>2278</v>
      </c>
      <c r="E799" s="1287">
        <f>60-10</f>
        <v>50</v>
      </c>
      <c r="F799" s="1287">
        <v>0</v>
      </c>
      <c r="G799" s="1287">
        <v>5</v>
      </c>
      <c r="H799" s="1287">
        <v>5</v>
      </c>
      <c r="I799" s="1287" t="s">
        <v>2279</v>
      </c>
      <c r="J799" s="1287" t="s">
        <v>1464</v>
      </c>
      <c r="K799" s="1281" t="s">
        <v>7517</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2280</v>
      </c>
      <c r="W799" s="1293"/>
      <c r="X799" s="1300"/>
      <c r="Z799" s="1422"/>
      <c r="AA799" s="242"/>
      <c r="AC799" s="242"/>
    </row>
    <row r="800" spans="1:47" ht="12.75" customHeight="1" x14ac:dyDescent="0.2">
      <c r="A800" s="242">
        <v>800</v>
      </c>
      <c r="B800" s="5664"/>
      <c r="C800" s="1288"/>
      <c r="D800" s="1289" t="s">
        <v>7334</v>
      </c>
      <c r="E800" s="1287">
        <v>50</v>
      </c>
      <c r="F800" s="1287">
        <v>0</v>
      </c>
      <c r="G800" s="1287">
        <v>5</v>
      </c>
      <c r="H800" s="1287">
        <v>5</v>
      </c>
      <c r="I800" s="1287" t="s">
        <v>1560</v>
      </c>
      <c r="J800" s="1287" t="s">
        <v>1561</v>
      </c>
      <c r="K800" s="1281" t="s">
        <v>7517</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664"/>
      <c r="C801" s="1288"/>
      <c r="D801" s="1289" t="s">
        <v>7335</v>
      </c>
      <c r="E801" s="1287">
        <v>40</v>
      </c>
      <c r="F801" s="1287">
        <v>-10</v>
      </c>
      <c r="G801" s="1287">
        <v>5</v>
      </c>
      <c r="H801" s="1287">
        <v>5</v>
      </c>
      <c r="I801" s="1287" t="s">
        <v>1560</v>
      </c>
      <c r="J801" s="1287" t="s">
        <v>1561</v>
      </c>
      <c r="K801" s="1281" t="s">
        <v>7517</v>
      </c>
      <c r="L801" s="1299" t="str">
        <f>L800</f>
        <v>Distinta</v>
      </c>
      <c r="M801" s="1296">
        <v>13</v>
      </c>
      <c r="N801" s="1296">
        <v>2</v>
      </c>
      <c r="O801" s="1296">
        <v>35</v>
      </c>
      <c r="P801" s="1287"/>
      <c r="Q801" s="1287"/>
      <c r="R801" s="1287" t="s">
        <v>1464</v>
      </c>
      <c r="S801" s="1287" t="s">
        <v>1464</v>
      </c>
      <c r="T801" s="1287" t="s">
        <v>1464</v>
      </c>
      <c r="U801" s="1287"/>
      <c r="V801" s="1281" t="s">
        <v>8944</v>
      </c>
      <c r="W801" s="1293"/>
      <c r="X801" s="1300"/>
      <c r="Z801" s="1422"/>
      <c r="AA801" s="242"/>
      <c r="AC801" s="242"/>
    </row>
    <row r="802" spans="1:64" ht="12.75" customHeight="1" x14ac:dyDescent="0.2">
      <c r="A802" s="242">
        <v>802</v>
      </c>
      <c r="B802" s="5664"/>
      <c r="C802" s="1288"/>
      <c r="D802" s="1289" t="s">
        <v>2281</v>
      </c>
      <c r="E802" s="1287">
        <f>50-Bono_Fue-10-IF(Ki!Q38&gt;0,10,0)+50*V593</f>
        <v>40</v>
      </c>
      <c r="F802" s="1287">
        <v>10</v>
      </c>
      <c r="G802" s="1287">
        <v>4</v>
      </c>
      <c r="H802" s="1287">
        <v>4</v>
      </c>
      <c r="I802" s="1287" t="s">
        <v>1561</v>
      </c>
      <c r="J802" s="1287" t="s">
        <v>1506</v>
      </c>
      <c r="K802" s="1281" t="s">
        <v>7517</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664"/>
      <c r="C803" s="1288"/>
      <c r="D803" s="1289" t="s">
        <v>2282</v>
      </c>
      <c r="E803" s="1287">
        <f>100-Bono_Fue+Bono_Des</f>
        <v>100</v>
      </c>
      <c r="F803" s="1287">
        <v>20</v>
      </c>
      <c r="G803" s="1287">
        <v>3</v>
      </c>
      <c r="H803" s="1287">
        <v>3</v>
      </c>
      <c r="I803" s="1287" t="s">
        <v>1561</v>
      </c>
      <c r="J803" s="1287" t="s">
        <v>1464</v>
      </c>
      <c r="K803" s="1281" t="s">
        <v>7517</v>
      </c>
      <c r="L803" s="1299" t="str">
        <f>IF(H991&gt;0,"Conocida","Distinta")</f>
        <v>Distinta</v>
      </c>
      <c r="M803" s="1296">
        <v>8</v>
      </c>
      <c r="N803" s="1296">
        <v>-5</v>
      </c>
      <c r="O803" s="1296">
        <v>20</v>
      </c>
      <c r="P803" s="1287"/>
      <c r="Q803" s="1287"/>
      <c r="R803" s="1287">
        <v>30</v>
      </c>
      <c r="S803" s="1287" t="s">
        <v>1464</v>
      </c>
      <c r="T803" s="1287">
        <v>10</v>
      </c>
      <c r="U803" s="1287"/>
      <c r="V803" s="1281" t="s">
        <v>8945</v>
      </c>
      <c r="W803" s="1293"/>
      <c r="X803" s="1300"/>
      <c r="Z803" s="1422"/>
    </row>
    <row r="804" spans="1:64" ht="12.75" customHeight="1" x14ac:dyDescent="0.2">
      <c r="A804" s="242">
        <v>804</v>
      </c>
      <c r="B804" s="5664"/>
      <c r="C804" s="1288"/>
      <c r="D804" s="1289" t="s">
        <v>2283</v>
      </c>
      <c r="E804" s="1287">
        <f>70-Bono_Fue-10</f>
        <v>60</v>
      </c>
      <c r="F804" s="1287">
        <v>10</v>
      </c>
      <c r="G804" s="1287">
        <v>3</v>
      </c>
      <c r="H804" s="1287">
        <v>3</v>
      </c>
      <c r="I804" s="1287" t="s">
        <v>1560</v>
      </c>
      <c r="J804" s="1287" t="s">
        <v>1506</v>
      </c>
      <c r="K804" s="1281" t="s">
        <v>7517</v>
      </c>
      <c r="L804" s="1299" t="str">
        <f>IF(H992&gt;0,"Conocida","Distinta")</f>
        <v>Distinta</v>
      </c>
      <c r="M804" s="1296">
        <v>20</v>
      </c>
      <c r="N804" s="1296">
        <v>5</v>
      </c>
      <c r="O804" s="1296">
        <v>30</v>
      </c>
      <c r="P804" s="1287"/>
      <c r="Q804" s="1287"/>
      <c r="R804" s="1287" t="s">
        <v>1464</v>
      </c>
      <c r="S804" s="1287" t="s">
        <v>1464</v>
      </c>
      <c r="T804" s="1287" t="s">
        <v>1464</v>
      </c>
      <c r="U804" s="1287"/>
      <c r="V804" s="1281" t="s">
        <v>7292</v>
      </c>
      <c r="W804" s="1293"/>
      <c r="X804" s="1300"/>
      <c r="Z804" s="1422"/>
    </row>
    <row r="805" spans="1:64" ht="12.75" customHeight="1" x14ac:dyDescent="0.2">
      <c r="A805" s="242">
        <v>805</v>
      </c>
      <c r="B805" s="5664"/>
      <c r="C805" s="1288"/>
      <c r="D805" s="1289" t="s">
        <v>2284</v>
      </c>
      <c r="E805" s="1287">
        <f>30-Bono_Fue+Bono_Des</f>
        <v>30</v>
      </c>
      <c r="F805" s="1287">
        <v>20</v>
      </c>
      <c r="G805" s="1287">
        <v>0</v>
      </c>
      <c r="H805" s="1287">
        <v>0</v>
      </c>
      <c r="I805" s="1287" t="s">
        <v>1506</v>
      </c>
      <c r="J805" s="1287" t="s">
        <v>1464</v>
      </c>
      <c r="K805" s="1281" t="s">
        <v>7517</v>
      </c>
      <c r="L805" s="1299" t="str">
        <f>IF(H993&gt;0,"Conocida","Distinta")</f>
        <v>Distinta</v>
      </c>
      <c r="M805" s="1296">
        <v>8</v>
      </c>
      <c r="N805" s="1296">
        <v>-2</v>
      </c>
      <c r="O805" s="1296">
        <v>20</v>
      </c>
      <c r="P805" s="1287"/>
      <c r="Q805" s="1287"/>
      <c r="R805" s="1287" t="s">
        <v>1464</v>
      </c>
      <c r="S805" s="1287" t="s">
        <v>1464</v>
      </c>
      <c r="T805" s="1287" t="s">
        <v>1464</v>
      </c>
      <c r="U805" s="1287"/>
      <c r="V805" s="1281" t="s">
        <v>2285</v>
      </c>
      <c r="W805" s="1293"/>
      <c r="X805" s="1300"/>
      <c r="Z805" s="1422"/>
    </row>
    <row r="806" spans="1:64" ht="12.75" customHeight="1" thickBot="1" x14ac:dyDescent="0.25">
      <c r="A806" s="242">
        <v>806</v>
      </c>
      <c r="B806" s="5664"/>
      <c r="C806" s="1301"/>
      <c r="D806" s="1302" t="s">
        <v>2286</v>
      </c>
      <c r="E806" s="1303">
        <f>60-2*Bono_Fue+IF(Extensióndelauraalarma,-10,0)</f>
        <v>60</v>
      </c>
      <c r="F806" s="1303">
        <v>0</v>
      </c>
      <c r="G806" s="1303">
        <v>0</v>
      </c>
      <c r="H806" s="1303">
        <v>0</v>
      </c>
      <c r="I806" s="1303" t="s">
        <v>1560</v>
      </c>
      <c r="J806" s="1303" t="s">
        <v>1561</v>
      </c>
      <c r="K806" s="1201" t="s">
        <v>7517</v>
      </c>
      <c r="L806" s="1304" t="str">
        <f>IF(AND(H994&gt;0,AA604&gt;0),"Conocida","Distinta")</f>
        <v>Distinta</v>
      </c>
      <c r="M806" s="1305">
        <v>10</v>
      </c>
      <c r="N806" s="1305">
        <v>11</v>
      </c>
      <c r="O806" s="1305">
        <f>Presencia_final*2</f>
        <v>60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664"/>
      <c r="H807"/>
      <c r="I807" s="624"/>
      <c r="N807"/>
      <c r="O807" s="624"/>
    </row>
    <row r="808" spans="1:64" ht="12.75" customHeight="1" x14ac:dyDescent="0.2">
      <c r="A808" s="242">
        <v>808</v>
      </c>
      <c r="B808" s="5664"/>
      <c r="C808" s="5534" t="s">
        <v>7570</v>
      </c>
      <c r="D808" s="5534"/>
      <c r="E808" s="5534"/>
      <c r="F808" s="5534"/>
      <c r="G808" s="5534"/>
      <c r="H808" s="5534"/>
      <c r="I808" s="5534"/>
      <c r="J808" s="5534"/>
      <c r="K808" s="5534"/>
      <c r="L808" s="5534"/>
      <c r="M808" s="5534"/>
      <c r="N808" s="5534"/>
      <c r="O808" s="5534"/>
      <c r="P808" s="5534"/>
      <c r="Q808" s="5534"/>
      <c r="R808" s="5534"/>
      <c r="S808" s="5534"/>
      <c r="T808" s="5534"/>
      <c r="U808" s="5534"/>
      <c r="V808" s="5534"/>
      <c r="W808" s="5534"/>
      <c r="X808" s="5534"/>
      <c r="Y808" s="5534"/>
      <c r="Z808" s="5534"/>
      <c r="AA808" s="5534"/>
      <c r="AB808" s="5534"/>
      <c r="AC808" s="5534"/>
      <c r="AD808" s="5534"/>
      <c r="AE808" s="5534"/>
      <c r="AF808" s="5534"/>
      <c r="AG808" s="5534"/>
      <c r="AH808" s="5534"/>
      <c r="AI808" s="5534"/>
      <c r="AJ808" s="5534"/>
      <c r="AK808" s="5534"/>
      <c r="AL808" s="5534"/>
      <c r="AM808" s="5534"/>
      <c r="AN808" s="5534"/>
      <c r="AO808" s="5534"/>
      <c r="AP808" s="5534"/>
      <c r="AQ808" s="5534"/>
      <c r="AR808" s="5534"/>
      <c r="AS808" s="5534"/>
      <c r="AT808" s="5534"/>
      <c r="AU808" s="5534"/>
      <c r="AV808" s="5534"/>
      <c r="AW808" s="5534"/>
      <c r="AX808" s="5534"/>
      <c r="AY808" s="5534"/>
      <c r="AZ808" s="5534"/>
      <c r="BA808" s="5534"/>
      <c r="BB808" s="5534"/>
      <c r="BC808" s="5534"/>
      <c r="BD808" s="5534"/>
      <c r="BE808" s="5534"/>
      <c r="BF808" s="5534"/>
      <c r="BG808" s="5534"/>
      <c r="BH808" s="5534"/>
      <c r="BI808" s="5534"/>
      <c r="BJ808" s="5534"/>
      <c r="BK808" s="5534"/>
      <c r="BL808" s="5534"/>
    </row>
    <row r="809" spans="1:64" ht="12.75" customHeight="1" x14ac:dyDescent="0.2">
      <c r="A809" s="242">
        <v>809</v>
      </c>
      <c r="B809" s="5664"/>
      <c r="C809" s="5534"/>
      <c r="D809" s="5534"/>
      <c r="E809" s="5534"/>
      <c r="F809" s="5534"/>
      <c r="G809" s="5534"/>
      <c r="H809" s="5534"/>
      <c r="I809" s="5534"/>
      <c r="J809" s="5534"/>
      <c r="K809" s="5534"/>
      <c r="L809" s="5534"/>
      <c r="M809" s="5534"/>
      <c r="N809" s="5534"/>
      <c r="O809" s="5534"/>
      <c r="P809" s="5534"/>
      <c r="Q809" s="5534"/>
      <c r="R809" s="5534"/>
      <c r="S809" s="5534"/>
      <c r="T809" s="5534"/>
      <c r="U809" s="5534"/>
      <c r="V809" s="5534"/>
      <c r="W809" s="5534"/>
      <c r="X809" s="5534"/>
      <c r="Y809" s="5534"/>
      <c r="Z809" s="5534"/>
      <c r="AA809" s="5534"/>
      <c r="AB809" s="5534"/>
      <c r="AC809" s="5534"/>
      <c r="AD809" s="5534"/>
      <c r="AE809" s="5534"/>
      <c r="AF809" s="5534"/>
      <c r="AG809" s="5534"/>
      <c r="AH809" s="5534"/>
      <c r="AI809" s="5534"/>
      <c r="AJ809" s="5534"/>
      <c r="AK809" s="5534"/>
      <c r="AL809" s="5534"/>
      <c r="AM809" s="5534"/>
      <c r="AN809" s="5534"/>
      <c r="AO809" s="5534"/>
      <c r="AP809" s="5534"/>
      <c r="AQ809" s="5534"/>
      <c r="AR809" s="5534"/>
      <c r="AS809" s="5534"/>
      <c r="AT809" s="5534"/>
      <c r="AU809" s="5534"/>
      <c r="AV809" s="5534"/>
      <c r="AW809" s="5534"/>
      <c r="AX809" s="5534"/>
      <c r="AY809" s="5534"/>
      <c r="AZ809" s="5534"/>
      <c r="BA809" s="5534"/>
      <c r="BB809" s="5534"/>
      <c r="BC809" s="5534"/>
      <c r="BD809" s="5534"/>
      <c r="BE809" s="5534"/>
      <c r="BF809" s="5534"/>
      <c r="BG809" s="5534"/>
      <c r="BH809" s="5534"/>
      <c r="BI809" s="5534"/>
      <c r="BJ809" s="5534"/>
      <c r="BK809" s="5534"/>
      <c r="BL809" s="5534"/>
    </row>
    <row r="810" spans="1:64" ht="12.75" customHeight="1" x14ac:dyDescent="0.2">
      <c r="A810" s="242">
        <v>810</v>
      </c>
      <c r="B810" s="5664"/>
      <c r="C810" s="5534"/>
      <c r="D810" s="5534"/>
      <c r="E810" s="5534"/>
      <c r="F810" s="5534"/>
      <c r="G810" s="5534"/>
      <c r="H810" s="5534"/>
      <c r="I810" s="5534"/>
      <c r="J810" s="5534"/>
      <c r="K810" s="5534"/>
      <c r="L810" s="5534"/>
      <c r="M810" s="5534"/>
      <c r="N810" s="5534"/>
      <c r="O810" s="5534"/>
      <c r="P810" s="5534"/>
      <c r="Q810" s="5534"/>
      <c r="R810" s="5534"/>
      <c r="S810" s="5534"/>
      <c r="T810" s="5534"/>
      <c r="U810" s="5534"/>
      <c r="V810" s="5534"/>
      <c r="W810" s="5534"/>
      <c r="X810" s="5534"/>
      <c r="Y810" s="5534"/>
      <c r="Z810" s="5534"/>
      <c r="AA810" s="5534"/>
      <c r="AB810" s="5534"/>
      <c r="AC810" s="5534"/>
      <c r="AD810" s="5534"/>
      <c r="AE810" s="5534"/>
      <c r="AF810" s="5534"/>
      <c r="AG810" s="5534"/>
      <c r="AH810" s="5534"/>
      <c r="AI810" s="5534"/>
      <c r="AJ810" s="5534"/>
      <c r="AK810" s="5534"/>
      <c r="AL810" s="5534"/>
      <c r="AM810" s="5534"/>
      <c r="AN810" s="5534"/>
      <c r="AO810" s="5534"/>
      <c r="AP810" s="5534"/>
      <c r="AQ810" s="5534"/>
      <c r="AR810" s="5534"/>
      <c r="AS810" s="5534"/>
      <c r="AT810" s="5534"/>
      <c r="AU810" s="5534"/>
      <c r="AV810" s="5534"/>
      <c r="AW810" s="5534"/>
      <c r="AX810" s="5534"/>
      <c r="AY810" s="5534"/>
      <c r="AZ810" s="5534"/>
      <c r="BA810" s="5534"/>
      <c r="BB810" s="5534"/>
      <c r="BC810" s="5534"/>
      <c r="BD810" s="5534"/>
      <c r="BE810" s="5534"/>
      <c r="BF810" s="5534"/>
      <c r="BG810" s="5534"/>
      <c r="BH810" s="5534"/>
      <c r="BI810" s="5534"/>
      <c r="BJ810" s="5534"/>
      <c r="BK810" s="5534"/>
      <c r="BL810" s="5534"/>
    </row>
    <row r="811" spans="1:64" ht="12.75" customHeight="1" thickBot="1" x14ac:dyDescent="0.25">
      <c r="A811" s="242">
        <v>811</v>
      </c>
      <c r="B811" s="5664"/>
      <c r="C811" s="790"/>
      <c r="H811"/>
      <c r="N811"/>
    </row>
    <row r="812" spans="1:64" ht="12.75" customHeight="1" thickBot="1" x14ac:dyDescent="0.25">
      <c r="A812" s="242">
        <v>812</v>
      </c>
      <c r="B812" s="5664"/>
      <c r="C812" s="5537" t="s">
        <v>857</v>
      </c>
      <c r="D812" s="5538"/>
      <c r="E812" s="5538"/>
      <c r="F812" s="5538"/>
      <c r="G812" s="5538"/>
      <c r="H812" s="5538"/>
      <c r="I812" s="5538"/>
      <c r="J812" s="5538"/>
      <c r="K812" s="5538"/>
      <c r="L812" s="5538"/>
      <c r="M812" s="5538"/>
      <c r="N812" s="5538"/>
      <c r="O812" s="5538"/>
      <c r="P812" s="5538"/>
      <c r="Q812" s="5538"/>
      <c r="R812" s="5538"/>
      <c r="S812" s="5538"/>
      <c r="T812" s="5538"/>
      <c r="U812" s="5538"/>
      <c r="V812" s="5538"/>
      <c r="W812" s="5538"/>
      <c r="X812" s="5538"/>
      <c r="Y812" s="5538"/>
      <c r="Z812" s="5538"/>
      <c r="AA812" s="5538"/>
      <c r="AB812" s="5538"/>
      <c r="AC812" s="5539"/>
      <c r="AE812" s="5543" t="s">
        <v>9028</v>
      </c>
      <c r="AF812" s="5544"/>
      <c r="AG812" s="5545"/>
      <c r="AI812" s="5543" t="s">
        <v>9040</v>
      </c>
      <c r="AJ812" s="5544"/>
      <c r="AK812" s="5544"/>
      <c r="AL812" s="5544"/>
      <c r="AM812" s="5544"/>
      <c r="AN812" s="5544"/>
      <c r="AO812" s="5544"/>
      <c r="AP812" s="5544"/>
      <c r="AQ812" s="5544"/>
      <c r="AR812" s="5544"/>
      <c r="AS812" s="5544"/>
      <c r="AT812" s="5544"/>
      <c r="AU812" s="5544"/>
      <c r="AV812" s="5544"/>
      <c r="AW812" s="5544"/>
      <c r="AX812" s="5544"/>
      <c r="AY812" s="5544"/>
      <c r="AZ812" s="5544"/>
      <c r="BA812" s="5544"/>
      <c r="BB812" s="5544"/>
      <c r="BC812" s="5544"/>
      <c r="BD812" s="5544"/>
      <c r="BE812" s="5544"/>
      <c r="BF812" s="5544"/>
      <c r="BG812" s="5544"/>
      <c r="BH812" s="5544"/>
      <c r="BI812" s="5544"/>
      <c r="BJ812" s="5544"/>
      <c r="BK812" s="5544"/>
      <c r="BL812" s="5545"/>
    </row>
    <row r="813" spans="1:64" ht="12.75" customHeight="1" thickBot="1" x14ac:dyDescent="0.25">
      <c r="A813" s="242">
        <v>813</v>
      </c>
      <c r="B813" s="5664"/>
      <c r="C813" s="5540"/>
      <c r="D813" s="5541"/>
      <c r="E813" s="5541"/>
      <c r="F813" s="5541"/>
      <c r="G813" s="5541"/>
      <c r="H813" s="5541"/>
      <c r="I813" s="5541"/>
      <c r="J813" s="5541"/>
      <c r="K813" s="5541"/>
      <c r="L813" s="5541"/>
      <c r="M813" s="5541"/>
      <c r="N813" s="5541"/>
      <c r="O813" s="5541"/>
      <c r="P813" s="5541"/>
      <c r="Q813" s="5541"/>
      <c r="R813" s="5541"/>
      <c r="S813" s="5541"/>
      <c r="T813" s="5541"/>
      <c r="U813" s="5541"/>
      <c r="V813" s="5541"/>
      <c r="W813" s="5541"/>
      <c r="X813" s="5541"/>
      <c r="Y813" s="5541"/>
      <c r="Z813" s="5541"/>
      <c r="AA813" s="5541"/>
      <c r="AB813" s="5541"/>
      <c r="AC813" s="5542"/>
      <c r="AE813" s="2090" t="s">
        <v>6389</v>
      </c>
      <c r="AF813" s="2088" t="s">
        <v>2090</v>
      </c>
      <c r="AG813" s="2089" t="s">
        <v>9029</v>
      </c>
      <c r="AI813" s="5549" t="s">
        <v>9041</v>
      </c>
      <c r="AJ813" s="5551"/>
      <c r="AK813" s="5555" t="b">
        <f>Arma_Desarrollada="Desarmado"</f>
        <v>1</v>
      </c>
      <c r="AL813" s="5556"/>
      <c r="AM813" s="5546" t="str">
        <f>IF(Categoría_1="","",Categoría_1)</f>
        <v>Novel</v>
      </c>
      <c r="AN813" s="5547"/>
      <c r="AO813" s="5547"/>
      <c r="AP813" s="5547"/>
      <c r="AQ813" s="5548"/>
      <c r="AR813" s="5549" t="str">
        <f>IF(Categoría_2="","",Categoría_2)</f>
        <v/>
      </c>
      <c r="AS813" s="5550"/>
      <c r="AT813" s="5550"/>
      <c r="AU813" s="5550"/>
      <c r="AV813" s="5551"/>
      <c r="AW813" s="5549" t="str">
        <f>IF(Categoría_3="","",Categoría_3)</f>
        <v/>
      </c>
      <c r="AX813" s="5550"/>
      <c r="AY813" s="5550"/>
      <c r="AZ813" s="5550"/>
      <c r="BA813" s="5551"/>
      <c r="BB813" s="5549" t="str">
        <f>IF(Categoría_4="","",Categoría_4)</f>
        <v/>
      </c>
      <c r="BC813" s="5550"/>
      <c r="BD813" s="5550"/>
      <c r="BE813" s="5550"/>
      <c r="BF813" s="5551"/>
      <c r="BG813" s="5549" t="str">
        <f>IF(Categoría_5="","",Categoría_5)</f>
        <v/>
      </c>
      <c r="BH813" s="5550"/>
      <c r="BI813" s="5550"/>
      <c r="BJ813" s="5550"/>
      <c r="BK813" s="5551"/>
      <c r="BL813" s="5552" t="s">
        <v>9042</v>
      </c>
    </row>
    <row r="814" spans="1:64" ht="12.75" customHeight="1" thickBot="1" x14ac:dyDescent="0.25">
      <c r="A814" s="242">
        <v>814</v>
      </c>
      <c r="B814" s="5664"/>
      <c r="C814" s="5557">
        <v>1</v>
      </c>
      <c r="D814" s="5558"/>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534" t="s">
        <v>9046</v>
      </c>
      <c r="AB814" s="4534"/>
      <c r="AC814" s="5536"/>
      <c r="AE814" s="2091" t="s">
        <v>9030</v>
      </c>
      <c r="AF814" s="319">
        <v>10</v>
      </c>
      <c r="AG814" s="1048">
        <v>20</v>
      </c>
      <c r="AI814" s="5561" t="s">
        <v>9047</v>
      </c>
      <c r="AJ814" s="5562"/>
      <c r="AK814" s="5559" t="b">
        <f>OR(Categoría_2&lt;&gt;"",Categoría_3&lt;&gt;"",Categoría_4&lt;&gt;"",Categoría_5&lt;&gt;"")</f>
        <v>0</v>
      </c>
      <c r="AL814" s="5560"/>
      <c r="AM814" s="2077"/>
      <c r="AN814" s="2078">
        <v>1</v>
      </c>
      <c r="AO814" s="2078">
        <v>2</v>
      </c>
      <c r="AP814" s="2078">
        <v>3</v>
      </c>
      <c r="AQ814" s="2079"/>
      <c r="AR814" s="2080"/>
      <c r="AS814" s="2078">
        <v>1</v>
      </c>
      <c r="AT814" s="2078">
        <v>2</v>
      </c>
      <c r="AU814" s="2078">
        <v>3</v>
      </c>
      <c r="AV814" s="2079"/>
      <c r="AW814" s="2080"/>
      <c r="AX814" s="2078">
        <v>1</v>
      </c>
      <c r="AY814" s="2078">
        <v>2</v>
      </c>
      <c r="AZ814" s="2078">
        <v>3</v>
      </c>
      <c r="BA814" s="2079"/>
      <c r="BB814" s="2080"/>
      <c r="BC814" s="2078">
        <v>1</v>
      </c>
      <c r="BD814" s="2078">
        <v>2</v>
      </c>
      <c r="BE814" s="2078">
        <v>3</v>
      </c>
      <c r="BF814" s="2079"/>
      <c r="BG814" s="2081"/>
      <c r="BH814" s="2078">
        <v>1</v>
      </c>
      <c r="BI814" s="2078">
        <v>2</v>
      </c>
      <c r="BJ814" s="2078">
        <v>3</v>
      </c>
      <c r="BK814" s="2082"/>
      <c r="BL814" s="5553"/>
    </row>
    <row r="815" spans="1:64" ht="12.75" customHeight="1" thickBot="1" x14ac:dyDescent="0.25">
      <c r="A815" s="242">
        <v>815</v>
      </c>
      <c r="B815" s="5664"/>
      <c r="C815" s="5759" t="s">
        <v>858</v>
      </c>
      <c r="D815" s="5760"/>
      <c r="E815" s="181" t="s">
        <v>859</v>
      </c>
      <c r="F815" s="181" t="s">
        <v>860</v>
      </c>
      <c r="G815" s="181" t="s">
        <v>9054</v>
      </c>
      <c r="H815" s="181" t="s">
        <v>861</v>
      </c>
      <c r="I815" s="181" t="s">
        <v>7447</v>
      </c>
      <c r="J815" s="181" t="s">
        <v>7448</v>
      </c>
      <c r="K815" s="181" t="s">
        <v>862</v>
      </c>
      <c r="L815" s="4386" t="s">
        <v>1485</v>
      </c>
      <c r="M815" s="4386"/>
      <c r="N815" s="4386"/>
      <c r="O815" s="4386"/>
      <c r="P815" s="4386"/>
      <c r="Q815" s="4386"/>
      <c r="R815" s="4386"/>
      <c r="S815" s="181" t="s">
        <v>9049</v>
      </c>
      <c r="T815" s="181" t="s">
        <v>864</v>
      </c>
      <c r="U815" s="181" t="s">
        <v>864</v>
      </c>
      <c r="V815" s="181" t="s">
        <v>865</v>
      </c>
      <c r="W815" s="181" t="s">
        <v>866</v>
      </c>
      <c r="X815" s="181" t="s">
        <v>867</v>
      </c>
      <c r="Y815" s="181" t="s">
        <v>2289</v>
      </c>
      <c r="Z815" s="181" t="s">
        <v>863</v>
      </c>
      <c r="AA815" s="670" t="s">
        <v>7483</v>
      </c>
      <c r="AB815" s="670" t="s">
        <v>7484</v>
      </c>
      <c r="AC815" s="1417" t="s">
        <v>7485</v>
      </c>
      <c r="AE815" s="2091" t="s">
        <v>9031</v>
      </c>
      <c r="AF815" s="319">
        <v>10</v>
      </c>
      <c r="AG815" s="1048">
        <v>30</v>
      </c>
      <c r="AI815" s="2083" t="s">
        <v>9043</v>
      </c>
      <c r="AJ815" s="2084" t="s">
        <v>6389</v>
      </c>
      <c r="AK815" s="2084" t="s">
        <v>1407</v>
      </c>
      <c r="AL815" s="2085" t="s">
        <v>9044</v>
      </c>
      <c r="AM815" s="2083" t="s">
        <v>8840</v>
      </c>
      <c r="AN815" s="2084" t="s">
        <v>1498</v>
      </c>
      <c r="AO815" s="2084" t="s">
        <v>1498</v>
      </c>
      <c r="AP815" s="2084" t="s">
        <v>1498</v>
      </c>
      <c r="AQ815" s="2085" t="s">
        <v>9045</v>
      </c>
      <c r="AR815" s="2083" t="s">
        <v>8840</v>
      </c>
      <c r="AS815" s="2084" t="s">
        <v>1498</v>
      </c>
      <c r="AT815" s="2084" t="s">
        <v>1498</v>
      </c>
      <c r="AU815" s="2084" t="s">
        <v>1498</v>
      </c>
      <c r="AV815" s="2085" t="s">
        <v>9045</v>
      </c>
      <c r="AW815" s="2083" t="s">
        <v>8840</v>
      </c>
      <c r="AX815" s="2084" t="s">
        <v>1498</v>
      </c>
      <c r="AY815" s="2084" t="s">
        <v>1498</v>
      </c>
      <c r="AZ815" s="2084" t="s">
        <v>1498</v>
      </c>
      <c r="BA815" s="2085" t="s">
        <v>9045</v>
      </c>
      <c r="BB815" s="2083" t="s">
        <v>8840</v>
      </c>
      <c r="BC815" s="2084" t="s">
        <v>1498</v>
      </c>
      <c r="BD815" s="2084" t="s">
        <v>1498</v>
      </c>
      <c r="BE815" s="2084" t="s">
        <v>1498</v>
      </c>
      <c r="BF815" s="2085" t="s">
        <v>9045</v>
      </c>
      <c r="BG815" s="2083" t="s">
        <v>8840</v>
      </c>
      <c r="BH815" s="2084" t="s">
        <v>1498</v>
      </c>
      <c r="BI815" s="2084" t="s">
        <v>1498</v>
      </c>
      <c r="BJ815" s="2084" t="s">
        <v>1498</v>
      </c>
      <c r="BK815" s="2085" t="s">
        <v>9045</v>
      </c>
      <c r="BL815" s="5554"/>
    </row>
    <row r="816" spans="1:64" ht="12.75" customHeight="1" x14ac:dyDescent="0.2">
      <c r="A816" s="242">
        <v>816</v>
      </c>
      <c r="B816" s="5664"/>
      <c r="C816" s="542"/>
      <c r="D816" s="89" t="s">
        <v>868</v>
      </c>
      <c r="E816" s="86"/>
      <c r="F816" s="86"/>
      <c r="G816" s="86"/>
      <c r="H816" s="86"/>
      <c r="I816" s="86"/>
      <c r="J816" s="86"/>
      <c r="K816" s="86"/>
      <c r="L816" s="5535" t="s">
        <v>1464</v>
      </c>
      <c r="M816" s="5535"/>
      <c r="N816" s="5535"/>
      <c r="O816" s="5535"/>
      <c r="P816" s="5535"/>
      <c r="Q816" s="5535"/>
      <c r="R816" s="5535"/>
      <c r="S816" s="81">
        <f>LEN(L816)</f>
        <v>1</v>
      </c>
      <c r="T816" s="86"/>
      <c r="U816" s="86"/>
      <c r="V816" s="86"/>
      <c r="W816" s="86"/>
      <c r="X816" s="86">
        <f t="shared" ref="X816:X847" si="184">Y816*E816</f>
        <v>0</v>
      </c>
      <c r="Y816" s="86"/>
      <c r="Z816" s="86" t="s">
        <v>1464</v>
      </c>
      <c r="AA816" s="1158"/>
      <c r="AB816" s="857"/>
      <c r="AC816" s="1430"/>
      <c r="AE816" s="2091" t="s">
        <v>9032</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6" t="str">
        <f>IFERROR("Tablas!"&amp;IF($AK$814,ADDRESS(ROW(AN816),COLUMN(AN816)),ADDRESS(ROW(INDEX(AN816:AP816,1,AL816)),COLUMN(INDEX(AN816:AP816,1,AL816))))&amp;":"&amp;ADDRESS(ROW(INDEX(AN816:AP816,1,AL816)),COLUMN(INDEX(AN816:AP816,1,AL816))),"")</f>
        <v/>
      </c>
      <c r="AN816" s="857" t="e">
        <f>IF(AM$813&lt;&gt;"",IF(AM$813="Tao",VLOOKUP($AK816&amp;AN$814,$AE$814:$AG$818,2,0)*IF($AK$813,0.5,1),VLOOKUP($AK816&amp;AN$814,$AE$814:$AG$818,3,0)*IF($AK$813,0.5,1)),0)</f>
        <v>#N/A</v>
      </c>
      <c r="AO816" s="857" t="e">
        <f>IF(AM$813&lt;&gt;"",AN816+IF(AM$813="Tao",VLOOKUP($AK816&amp;AO$814,$AE$814:$AG$818,2,0)*IF($AK$813,0.5,1),VLOOKUP($AK816&amp;AO$814,$AE$814:$AG$818,3,0)*IF($AK$813,0.5,1)),0)</f>
        <v>#N/A</v>
      </c>
      <c r="AP816" s="857" t="e">
        <f>IF(AM$813&lt;&gt;"",AO816+IF(AM$813="Tao",VLOOKUP($AK816&amp;AP$814,$AE$814:$AG$818,2,0)*IF($AK$813,0.5,1),VLOOKUP($AK816&amp;AP$814,$AE$814:$AG$818,3,0)*IF($AK$813,0.5,1)),0)</f>
        <v>#N/A</v>
      </c>
      <c r="AQ816" s="347">
        <f>IFERROR(MATCH(PDs!M56,AN816:AP816,0),0)</f>
        <v>0</v>
      </c>
      <c r="AR816" s="2086" t="str">
        <f>IFERROR(IF(AND(AQ816&lt;$AL816,AR$813&lt;&gt;""),"Tablas!"&amp;ADDRESS(ROW(INDEX(AS816:AU816,1,AQ816+1)),COLUMN(INDEX(AS816:AU816,1,AQ816+1)))&amp;":"&amp;ADDRESS(ROW(INDEX(AS816:AU816,1,$AL816)),COLUMN(INDEX(AS816:AU816,1,$AL816))),""),"")</f>
        <v/>
      </c>
      <c r="AS816" s="857">
        <f>IF(AND(AR$813&lt;&gt;"",AS$814&gt;AQ816),IF(AR$813="Tao",VLOOKUP($AK816&amp;AS$814,$AE$814:$AG$818,2,0)*IF($AK$813,0.5,1),VLOOKUP($AK816&amp;AS$814,$AE$814:$AG$818,3,0)*IF($AK$813,0.5,1)),0)</f>
        <v>0</v>
      </c>
      <c r="AT816" s="857">
        <f>IF(AND(AR$813&lt;&gt;"",AT$814&gt;AQ816),AS816+IF(AR$813="Tao",VLOOKUP($AK816&amp;AT$814,$AE$814:$AG$818,2,0)*IF($AK$813,0.5,1),VLOOKUP($AK816&amp;AT$814,$AE$814:$AG$818,3,0)*IF($AK$813,0.5,1)),0)</f>
        <v>0</v>
      </c>
      <c r="AU816" s="857">
        <f>IF(AND(AR$813&lt;&gt;"",AU$814&gt;AQ816),AT816+IF(AR$813="Tao",VLOOKUP($AK816&amp;AU$814,$AE$814:$AG$818,2,0)*IF($AK$813,0.5,1),VLOOKUP($AK816&amp;AU$814,$AE$814:$AG$818,3,0)*IF($AK$813,0.5,1)),0)</f>
        <v>0</v>
      </c>
      <c r="AV816" s="347">
        <f>IF(AR816="",AQ816,MAX(IFERROR(MATCH(PDs!O56,AS816:AU816,0),0),AQ816))</f>
        <v>0</v>
      </c>
      <c r="AW816" s="2086" t="str">
        <f>IFERROR(IF(AND(AV816&lt;$AL816,AW$813&lt;&gt;""),"Tablas!"&amp;ADDRESS(ROW(INDEX(AX816:AZ816,1,AV816+1)),COLUMN(INDEX(AX816:AZ816,1,AV816+1)))&amp;":"&amp;ADDRESS(ROW(INDEX(AX816:AZ816,1,$AL816)),COLUMN(INDEX(AX816:AZ816,1,$AL816))),""),"")</f>
        <v/>
      </c>
      <c r="AX816" s="857">
        <f>IF(AND(AW$813&lt;&gt;"",AX$814&gt;AV816),IF(AW$813="Tao",VLOOKUP($AK816&amp;AX$814,$AE$814:$AG$818,2,0)*IF($AK$813,0.5,1),VLOOKUP($AK816&amp;AX$814,$AE$814:$AG$818,3,0)*IF($AK$813,0.5,1)),0)</f>
        <v>0</v>
      </c>
      <c r="AY816" s="857">
        <f>IF(AND(AW$813&lt;&gt;"",AY$814&gt;AV816),AX816+IF(AW$813="Tao",VLOOKUP($AK816&amp;AY$814,$AE$814:$AG$818,2,0)*IF($AK$813,0.5,1),VLOOKUP($AK816&amp;AY$814,$AE$814:$AG$818,3,0)*IF($AK$813,0.5,1)),0)</f>
        <v>0</v>
      </c>
      <c r="AZ816" s="857">
        <f>IF(AND(AW$813&lt;&gt;"",AZ$814&gt;AV816),AY816+IF(AW$813="Tao",VLOOKUP($AK816&amp;AZ$814,$AE$814:$AG$818,2,0)*IF($AK$813,0.5,1),VLOOKUP($AK816&amp;AZ$814,$AE$814:$AG$818,3,0)*IF($AK$813,0.5,1)),0)</f>
        <v>0</v>
      </c>
      <c r="BA816" s="347">
        <f>IF(AW816="",AV816,MAX(IFERROR(MATCH(PDs!Q56,AX816:AZ816,0),0),AV816))</f>
        <v>0</v>
      </c>
      <c r="BB816" s="2086"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0</v>
      </c>
      <c r="BG816" s="2086"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0</v>
      </c>
      <c r="BL816" s="737">
        <f t="shared" ref="BL816:BL817" si="187">IF(BK816=AL816,1,0)</f>
        <v>0</v>
      </c>
    </row>
    <row r="817" spans="1:64" ht="12.75" customHeight="1" x14ac:dyDescent="0.2">
      <c r="A817" s="242">
        <v>817</v>
      </c>
      <c r="B817" s="5664"/>
      <c r="C817" s="542"/>
      <c r="D817" s="226" t="s">
        <v>869</v>
      </c>
      <c r="E817" s="86">
        <f>10+Bono_Fue</f>
        <v>10</v>
      </c>
      <c r="F817" s="86"/>
      <c r="G817" s="86">
        <v>0</v>
      </c>
      <c r="H817" s="86"/>
      <c r="I817" s="86"/>
      <c r="J817" s="86"/>
      <c r="K817" s="86"/>
      <c r="L817" s="5535" t="s">
        <v>870</v>
      </c>
      <c r="M817" s="5535"/>
      <c r="N817" s="5535"/>
      <c r="O817" s="5535"/>
      <c r="P817" s="5535"/>
      <c r="Q817" s="5535"/>
      <c r="R817" s="5535"/>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0</v>
      </c>
      <c r="AB817" s="857">
        <f>HE_final-PDs!$X$24+MIN(PDs!$X$24+I$906-I817,50)</f>
        <v>15</v>
      </c>
      <c r="AC817" s="1430">
        <f>HP_final-PDs!$X$23+MIN(PDs!$X$23+J$906-J817,50)</f>
        <v>0</v>
      </c>
      <c r="AE817" s="2091" t="s">
        <v>9033</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t="e">
        <f>IF(AM$813&lt;&gt;"",IF(AM$813="Tao",VLOOKUP($AK817&amp;AN$814,$AE$814:$AG$818,2,0),VLOOKUP($AK817&amp;AN$814,$AE$814:$AG$818,3,0)),0)</f>
        <v>#N/A</v>
      </c>
      <c r="AO817" s="857" t="e">
        <f>IF(AM$813&lt;&gt;"",AN817+IF(AM$813="Tao",VLOOKUP($AK817&amp;AO$814,$AE$814:$AG$818,2,0),VLOOKUP($AK817&amp;AO$814,$AE$814:$AG$818,3,0)),0)</f>
        <v>#N/A</v>
      </c>
      <c r="AP817" s="857" t="e">
        <f>IF(AM$813&lt;&gt;"",AO817+IF(AM$813="Tao",VLOOKUP($AK817&amp;AP$814,$AE$814:$AG$818,2,0),VLOOKUP($AK817&amp;AP$814,$AE$814:$AG$818,3,0)),0)</f>
        <v>#N/A</v>
      </c>
      <c r="AQ817" s="347">
        <f>IFERROR(MATCH(PDs!M57,AN817:AP817,0),0)</f>
        <v>0</v>
      </c>
      <c r="AR817" s="1158" t="str">
        <f t="shared" ref="AR817:AR834" si="190">IFERROR(IF(AND(AQ817&lt;$AL817,AR$813&lt;&gt;""),"Tablas!"&amp;ADDRESS(ROW(INDEX(AS817:AU817,1,AQ817+1)),COLUMN(INDEX(AS817:AU817,1,AQ817+1)))&amp;":"&amp;ADDRESS(ROW(INDEX(AS817:AU817,1,$AL817)),COLUMN(INDEX(AS817:AU817,1,$AL817))),""),"")</f>
        <v/>
      </c>
      <c r="AS817" s="857">
        <f>IF(AND(AR$813&lt;&gt;"",AS$814&gt;AQ817),IF(AR$813="Tao",VLOOKUP($AK817&amp;AS$814,$AE$814:$AG$818,2,0),VLOOKUP($AK817&amp;AS$814,$AE$814:$AG$818,3,0)),0)</f>
        <v>0</v>
      </c>
      <c r="AT817" s="857">
        <f>IF(AND(AR$813&lt;&gt;"",AT$814&gt;AQ817),AS817+IF(AR$813="Tao",VLOOKUP($AK817&amp;AT$814,$AE$814:$AG$818,2,0),VLOOKUP($AK817&amp;AT$814,$AE$814:$AG$818,3,0)),0)</f>
        <v>0</v>
      </c>
      <c r="AU817" s="857">
        <f>IF(AND(AR$813&lt;&gt;"",AU$814&gt;AQ817),AT817+IF(AR$813="Tao",VLOOKUP($AK817&amp;AU$814,$AE$814:$AG$818,2,0),VLOOKUP($AK817&amp;AU$814,$AE$814:$AG$818,3,0)),0)</f>
        <v>0</v>
      </c>
      <c r="AV817" s="347">
        <f>IF(AR817="",AQ817,MAX(IFERROR(MATCH(PDs!O57,AS817:AU817,0),0),AQ817))</f>
        <v>0</v>
      </c>
      <c r="AW817" s="1158" t="str">
        <f t="shared" ref="AW817:AW834" si="191">IFERROR(IF(AND(AV817&lt;$AL817,AW$813&lt;&gt;""),"Tablas!"&amp;ADDRESS(ROW(INDEX(AX817:AZ817,1,AV817+1)),COLUMN(INDEX(AX817:AZ817,1,AV817+1)))&amp;":"&amp;ADDRESS(ROW(INDEX(AX817:AZ817,1,$AL817)),COLUMN(INDEX(AX817:AZ817,1,$AL817))),""),"")</f>
        <v/>
      </c>
      <c r="AX817" s="857">
        <f>IF(AND(AW$813&lt;&gt;"",AX$814&gt;AV817),IF(AW$813="Tao",VLOOKUP($AK817&amp;AX$814,$AE$814:$AG$818,2,0),VLOOKUP($AK817&amp;AX$814,$AE$814:$AG$818,3,0)),0)</f>
        <v>0</v>
      </c>
      <c r="AY817" s="857">
        <f>IF(AND(AW$813&lt;&gt;"",AY$814&gt;AV817),AX817+IF(AW$813="Tao",VLOOKUP($AK817&amp;AY$814,$AE$814:$AG$818,2,0),VLOOKUP($AK817&amp;AY$814,$AE$814:$AG$818,3,0)),0)</f>
        <v>0</v>
      </c>
      <c r="AZ817" s="857">
        <f>IF(AND(AW$813&lt;&gt;"",AZ$814&gt;AV817),AY817+IF(AW$813="Tao",VLOOKUP($AK817&amp;AZ$814,$AE$814:$AG$818,2,0),VLOOKUP($AK817&amp;AZ$814,$AE$814:$AG$818,3,0)),0)</f>
        <v>0</v>
      </c>
      <c r="BA817" s="347">
        <f>IF(AW817="",AV817,MAX(IFERROR(MATCH(PDs!Q57,AX817:AZ817,0),0),AV817))</f>
        <v>0</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0</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0</v>
      </c>
      <c r="BL817" s="739">
        <f t="shared" si="187"/>
        <v>0</v>
      </c>
    </row>
    <row r="818" spans="1:64" ht="12.75" customHeight="1" thickBot="1" x14ac:dyDescent="0.25">
      <c r="A818" s="242">
        <v>818</v>
      </c>
      <c r="B818" s="5664"/>
      <c r="C818" s="542"/>
      <c r="D818" s="226" t="s">
        <v>871</v>
      </c>
      <c r="E818" s="86">
        <f>10+Bono_Fue</f>
        <v>10</v>
      </c>
      <c r="F818" s="86"/>
      <c r="G818" s="86">
        <v>10</v>
      </c>
      <c r="H818" s="86"/>
      <c r="I818" s="86">
        <v>10</v>
      </c>
      <c r="J818" s="86">
        <v>10</v>
      </c>
      <c r="K818" s="86"/>
      <c r="L818" s="5535" t="s">
        <v>9048</v>
      </c>
      <c r="M818" s="5535"/>
      <c r="N818" s="5535"/>
      <c r="O818" s="5535"/>
      <c r="P818" s="5535"/>
      <c r="Q818" s="5535"/>
      <c r="R818" s="5535"/>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0</v>
      </c>
      <c r="AB818" s="857">
        <f>HE_final-PDs!$X$24+MIN(PDs!$X$24+I$906-I818,50)</f>
        <v>5</v>
      </c>
      <c r="AC818" s="1430">
        <f>HP_final-PDs!$X$23+MIN(PDs!$X$23+J$906-J818,50)</f>
        <v>-10</v>
      </c>
      <c r="AE818" s="2092" t="s">
        <v>9034</v>
      </c>
      <c r="AF818" s="323">
        <v>20</v>
      </c>
      <c r="AG818" s="1059">
        <v>50</v>
      </c>
      <c r="AI818" s="1495" t="str">
        <f>IF(PDs!E58="","",PDs!E58)</f>
        <v/>
      </c>
      <c r="AJ818" s="857" t="str">
        <f>IF(PDs!J58="","",PDs!J58)</f>
        <v/>
      </c>
      <c r="AK818" s="857" t="str">
        <f t="shared" si="185"/>
        <v/>
      </c>
      <c r="AL818" s="857" t="str">
        <f t="shared" si="186"/>
        <v/>
      </c>
      <c r="AM818" s="1158" t="str">
        <f t="shared" si="189"/>
        <v/>
      </c>
      <c r="AN818" s="857" t="e">
        <f t="shared" ref="AN818:AN834" si="194">IF(AM$813&lt;&gt;"",IF(AM$813="Tao",VLOOKUP($AK818&amp;AN$814,$AE$814:$AG$818,2,0),VLOOKUP($AK818&amp;AN$814,$AE$814:$AG$818,3,0)),0)</f>
        <v>#N/A</v>
      </c>
      <c r="AO818" s="857" t="e">
        <f t="shared" ref="AO818:AO834" si="195">IF(AM$813&lt;&gt;"",AN818+IF(AM$813="Tao",VLOOKUP($AK818&amp;AO$814,$AE$814:$AG$818,2,0),VLOOKUP($AK818&amp;AO$814,$AE$814:$AG$818,3,0)),0)</f>
        <v>#N/A</v>
      </c>
      <c r="AP818" s="857" t="e">
        <f t="shared" ref="AP818:AP834" si="196">IF(AM$813&lt;&gt;"",AO818+IF(AM$813="Tao",VLOOKUP($AK818&amp;AP$814,$AE$814:$AG$818,2,0),VLOOKUP($AK818&amp;AP$814,$AE$814:$AG$818,3,0)),0)</f>
        <v>#N/A</v>
      </c>
      <c r="AQ818" s="347">
        <f>IFERROR(MATCH(PDs!M58,AN818:AP818,0),0)</f>
        <v>0</v>
      </c>
      <c r="AR818" s="1158" t="str">
        <f t="shared" si="190"/>
        <v/>
      </c>
      <c r="AS818" s="857">
        <f t="shared" ref="AS818:AS834" si="197">IF(AND(AR$813&lt;&gt;"",AS$814&gt;AQ818),IF(AR$813="Tao",VLOOKUP($AK818&amp;AS$814,$AE$814:$AG$818,2,0),VLOOKUP($AK818&amp;AS$814,$AE$814:$AG$818,3,0)),0)</f>
        <v>0</v>
      </c>
      <c r="AT818" s="857">
        <f t="shared" ref="AT818:AT834" si="198">IF(AND(AR$813&lt;&gt;"",AT$814&gt;AQ818),AS818+IF(AR$813="Tao",VLOOKUP($AK818&amp;AT$814,$AE$814:$AG$818,2,0),VLOOKUP($AK818&amp;AT$814,$AE$814:$AG$818,3,0)),0)</f>
        <v>0</v>
      </c>
      <c r="AU818" s="857">
        <f t="shared" ref="AU818:AU834" si="199">IF(AND(AR$813&lt;&gt;"",AU$814&gt;AQ818),AT818+IF(AR$813="Tao",VLOOKUP($AK818&amp;AU$814,$AE$814:$AG$818,2,0),VLOOKUP($AK818&amp;AU$814,$AE$814:$AG$818,3,0)),0)</f>
        <v>0</v>
      </c>
      <c r="AV818" s="347">
        <f>IF(AR818="",AQ818,MAX(IFERROR(MATCH(PDs!O58,AS818:AU818,0),0),AQ818))</f>
        <v>0</v>
      </c>
      <c r="AW818" s="1158" t="str">
        <f t="shared" si="191"/>
        <v/>
      </c>
      <c r="AX818" s="857">
        <f t="shared" ref="AX818:AX834" si="200">IF(AND(AW$813&lt;&gt;"",AX$814&gt;AV818),IF(AW$813="Tao",VLOOKUP($AK818&amp;AX$814,$AE$814:$AG$818,2,0),VLOOKUP($AK818&amp;AX$814,$AE$814:$AG$818,3,0)),0)</f>
        <v>0</v>
      </c>
      <c r="AY818" s="857">
        <f t="shared" ref="AY818:AY834" si="201">IF(AND(AW$813&lt;&gt;"",AY$814&gt;AV818),AX818+IF(AW$813="Tao",VLOOKUP($AK818&amp;AY$814,$AE$814:$AG$818,2,0),VLOOKUP($AK818&amp;AY$814,$AE$814:$AG$818,3,0)),0)</f>
        <v>0</v>
      </c>
      <c r="AZ818" s="857">
        <f t="shared" ref="AZ818:AZ834" si="202">IF(AND(AW$813&lt;&gt;"",AZ$814&gt;AV818),AY818+IF(AW$813="Tao",VLOOKUP($AK818&amp;AZ$814,$AE$814:$AG$818,2,0),VLOOKUP($AK818&amp;AZ$814,$AE$814:$AG$818,3,0)),0)</f>
        <v>0</v>
      </c>
      <c r="BA818" s="347">
        <f>IF(AW818="",AV818,MAX(IFERROR(MATCH(PDs!Q58,AX818:AZ818,0),0),AV818))</f>
        <v>0</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0</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0</v>
      </c>
      <c r="BL818" s="739">
        <f t="shared" ref="BL818:BL834" si="209">IF(BK818=AL818,1,0)</f>
        <v>0</v>
      </c>
    </row>
    <row r="819" spans="1:64" ht="12.75" customHeight="1" thickBot="1" x14ac:dyDescent="0.25">
      <c r="A819" s="242">
        <v>819</v>
      </c>
      <c r="B819" s="5664"/>
      <c r="C819" s="542"/>
      <c r="D819" s="226" t="s">
        <v>872</v>
      </c>
      <c r="E819" s="86">
        <f>10+Bono_Fue</f>
        <v>10</v>
      </c>
      <c r="F819" s="86"/>
      <c r="G819" s="86">
        <v>20</v>
      </c>
      <c r="H819" s="86"/>
      <c r="I819" s="86">
        <v>10</v>
      </c>
      <c r="J819" s="86">
        <v>10</v>
      </c>
      <c r="K819" s="86"/>
      <c r="L819" s="5535" t="s">
        <v>9052</v>
      </c>
      <c r="M819" s="5535"/>
      <c r="N819" s="5535"/>
      <c r="O819" s="5535"/>
      <c r="P819" s="5535"/>
      <c r="Q819" s="5535"/>
      <c r="R819" s="5535"/>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0</v>
      </c>
      <c r="AB819" s="857">
        <f>HE_final-PDs!$X$24+MIN(PDs!$X$24+I$906-I819,50)</f>
        <v>5</v>
      </c>
      <c r="AC819" s="1430">
        <f>HP_final-PDs!$X$23+MIN(PDs!$X$23+J$906-J819,50)</f>
        <v>-10</v>
      </c>
      <c r="AI819" s="1495" t="str">
        <f>IF(PDs!E59="","",PDs!E59)</f>
        <v/>
      </c>
      <c r="AJ819" s="857" t="str">
        <f>IF(PDs!J59="","",PDs!J59)</f>
        <v/>
      </c>
      <c r="AK819" s="857" t="str">
        <f t="shared" si="185"/>
        <v/>
      </c>
      <c r="AL819" s="857" t="str">
        <f t="shared" si="186"/>
        <v/>
      </c>
      <c r="AM819" s="1158" t="str">
        <f t="shared" si="189"/>
        <v/>
      </c>
      <c r="AN819" s="857" t="e">
        <f t="shared" si="194"/>
        <v>#N/A</v>
      </c>
      <c r="AO819" s="857" t="e">
        <f t="shared" si="195"/>
        <v>#N/A</v>
      </c>
      <c r="AP819" s="857" t="e">
        <f t="shared" si="196"/>
        <v>#N/A</v>
      </c>
      <c r="AQ819" s="347">
        <f>IFERROR(MATCH(PDs!M59,AN819:AP819,0),0)</f>
        <v>0</v>
      </c>
      <c r="AR819" s="1158" t="str">
        <f t="shared" si="190"/>
        <v/>
      </c>
      <c r="AS819" s="857">
        <f t="shared" si="197"/>
        <v>0</v>
      </c>
      <c r="AT819" s="857">
        <f t="shared" si="198"/>
        <v>0</v>
      </c>
      <c r="AU819" s="857">
        <f t="shared" si="199"/>
        <v>0</v>
      </c>
      <c r="AV819" s="347">
        <f>IF(AR819="",AQ819,MAX(IFERROR(MATCH(PDs!O59,AS819:AU819,0),0),AQ819))</f>
        <v>0</v>
      </c>
      <c r="AW819" s="1158" t="str">
        <f t="shared" si="191"/>
        <v/>
      </c>
      <c r="AX819" s="857">
        <f t="shared" si="200"/>
        <v>0</v>
      </c>
      <c r="AY819" s="857">
        <f t="shared" si="201"/>
        <v>0</v>
      </c>
      <c r="AZ819" s="857">
        <f t="shared" si="202"/>
        <v>0</v>
      </c>
      <c r="BA819" s="347">
        <f>IF(AW819="",AV819,MAX(IFERROR(MATCH(PDs!Q59,AX819:AZ819,0),0),AV819))</f>
        <v>0</v>
      </c>
      <c r="BB819" s="1158" t="str">
        <f t="shared" si="192"/>
        <v/>
      </c>
      <c r="BC819" s="857">
        <f t="shared" si="203"/>
        <v>0</v>
      </c>
      <c r="BD819" s="857">
        <f t="shared" si="204"/>
        <v>0</v>
      </c>
      <c r="BE819" s="857">
        <f t="shared" si="205"/>
        <v>0</v>
      </c>
      <c r="BF819" s="347">
        <f>IF(BB819="",BA819,MAX(IFERROR(MATCH(PDs!S59,BC819:BE819,0),0),BA819))</f>
        <v>0</v>
      </c>
      <c r="BG819" s="1158" t="str">
        <f t="shared" si="193"/>
        <v/>
      </c>
      <c r="BH819" s="857">
        <f t="shared" si="206"/>
        <v>0</v>
      </c>
      <c r="BI819" s="857">
        <f t="shared" si="207"/>
        <v>0</v>
      </c>
      <c r="BJ819" s="857">
        <f t="shared" si="208"/>
        <v>0</v>
      </c>
      <c r="BK819" s="347">
        <f>IF(BG819="",BF819,MAX(IFERROR(MATCH(PDs!U59,BH819:BJ819,0),0),BF819))</f>
        <v>0</v>
      </c>
      <c r="BL819" s="739">
        <f t="shared" si="209"/>
        <v>0</v>
      </c>
    </row>
    <row r="820" spans="1:64" ht="12.75" customHeight="1" thickBot="1" x14ac:dyDescent="0.25">
      <c r="A820" s="242">
        <v>820</v>
      </c>
      <c r="B820" s="5664"/>
      <c r="C820" s="542"/>
      <c r="D820" s="226" t="s">
        <v>873</v>
      </c>
      <c r="E820" s="86">
        <f>10+2*Bono_Fue</f>
        <v>10</v>
      </c>
      <c r="F820" s="86"/>
      <c r="G820" s="86">
        <v>0</v>
      </c>
      <c r="H820" s="86"/>
      <c r="I820" s="86"/>
      <c r="J820" s="86"/>
      <c r="K820" s="86">
        <v>5</v>
      </c>
      <c r="L820" s="5535" t="s">
        <v>1464</v>
      </c>
      <c r="M820" s="5535"/>
      <c r="N820" s="5535"/>
      <c r="O820" s="5535"/>
      <c r="P820" s="5535"/>
      <c r="Q820" s="5535"/>
      <c r="R820" s="5535"/>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0</v>
      </c>
      <c r="AB820" s="857">
        <f>HE_final-PDs!$X$24+MIN(PDs!$X$24+I$906-I820,50)</f>
        <v>15</v>
      </c>
      <c r="AC820" s="1430">
        <f>HP_final-PDs!$X$23+MIN(PDs!$X$23+J$906-J820,50)</f>
        <v>0</v>
      </c>
      <c r="AE820" s="1427" t="s">
        <v>8575</v>
      </c>
      <c r="AF820" s="1428" t="s">
        <v>7407</v>
      </c>
      <c r="AG820" s="1432" t="s">
        <v>7408</v>
      </c>
      <c r="AI820" s="1495" t="str">
        <f>IF(PDs!E60="","",PDs!E60)</f>
        <v/>
      </c>
      <c r="AJ820" s="857" t="str">
        <f>IF(PDs!J60="","",PDs!J60)</f>
        <v/>
      </c>
      <c r="AK820" s="857" t="str">
        <f t="shared" si="185"/>
        <v/>
      </c>
      <c r="AL820" s="857" t="str">
        <f t="shared" si="186"/>
        <v/>
      </c>
      <c r="AM820" s="1158" t="str">
        <f t="shared" si="189"/>
        <v/>
      </c>
      <c r="AN820" s="857" t="e">
        <f t="shared" si="194"/>
        <v>#N/A</v>
      </c>
      <c r="AO820" s="857" t="e">
        <f t="shared" si="195"/>
        <v>#N/A</v>
      </c>
      <c r="AP820" s="857" t="e">
        <f t="shared" si="196"/>
        <v>#N/A</v>
      </c>
      <c r="AQ820" s="347">
        <f>IFERROR(MATCH(PDs!M60,AN820:AP820,0),0)</f>
        <v>0</v>
      </c>
      <c r="AR820" s="1158" t="str">
        <f t="shared" si="190"/>
        <v/>
      </c>
      <c r="AS820" s="857">
        <f t="shared" si="197"/>
        <v>0</v>
      </c>
      <c r="AT820" s="857">
        <f t="shared" si="198"/>
        <v>0</v>
      </c>
      <c r="AU820" s="857">
        <f t="shared" si="199"/>
        <v>0</v>
      </c>
      <c r="AV820" s="347">
        <f>IF(AR820="",AQ820,MAX(IFERROR(MATCH(PDs!O60,AS820:AU820,0),0),AQ820))</f>
        <v>0</v>
      </c>
      <c r="AW820" s="1158" t="str">
        <f t="shared" si="191"/>
        <v/>
      </c>
      <c r="AX820" s="857">
        <f t="shared" si="200"/>
        <v>0</v>
      </c>
      <c r="AY820" s="857">
        <f t="shared" si="201"/>
        <v>0</v>
      </c>
      <c r="AZ820" s="857">
        <f t="shared" si="202"/>
        <v>0</v>
      </c>
      <c r="BA820" s="347">
        <f>IF(AW820="",AV820,MAX(IFERROR(MATCH(PDs!Q60,AX820:AZ820,0),0),AV820))</f>
        <v>0</v>
      </c>
      <c r="BB820" s="1158" t="str">
        <f t="shared" si="192"/>
        <v/>
      </c>
      <c r="BC820" s="857">
        <f t="shared" si="203"/>
        <v>0</v>
      </c>
      <c r="BD820" s="857">
        <f t="shared" si="204"/>
        <v>0</v>
      </c>
      <c r="BE820" s="857">
        <f t="shared" si="205"/>
        <v>0</v>
      </c>
      <c r="BF820" s="347">
        <f>IF(BB820="",BA820,MAX(IFERROR(MATCH(PDs!S60,BC820:BE820,0),0),BA820))</f>
        <v>0</v>
      </c>
      <c r="BG820" s="1158" t="str">
        <f t="shared" si="193"/>
        <v/>
      </c>
      <c r="BH820" s="857">
        <f t="shared" si="206"/>
        <v>0</v>
      </c>
      <c r="BI820" s="857">
        <f t="shared" si="207"/>
        <v>0</v>
      </c>
      <c r="BJ820" s="857">
        <f t="shared" si="208"/>
        <v>0</v>
      </c>
      <c r="BK820" s="347">
        <f>IF(BG820="",BF820,MAX(IFERROR(MATCH(PDs!U60,BH820:BJ820,0),0),BF820))</f>
        <v>0</v>
      </c>
      <c r="BL820" s="739">
        <f t="shared" si="209"/>
        <v>0</v>
      </c>
    </row>
    <row r="821" spans="1:64" ht="12.75" customHeight="1" x14ac:dyDescent="0.2">
      <c r="A821" s="242">
        <v>821</v>
      </c>
      <c r="B821" s="5664"/>
      <c r="C821" s="542"/>
      <c r="D821" s="226" t="s">
        <v>874</v>
      </c>
      <c r="E821" s="86">
        <f>20+2*Bono_Fue</f>
        <v>20</v>
      </c>
      <c r="F821" s="86"/>
      <c r="G821" s="86">
        <v>10</v>
      </c>
      <c r="H821" s="86"/>
      <c r="I821" s="86"/>
      <c r="J821" s="86"/>
      <c r="K821" s="86">
        <v>5</v>
      </c>
      <c r="L821" s="5535" t="s">
        <v>875</v>
      </c>
      <c r="M821" s="5535"/>
      <c r="N821" s="5535"/>
      <c r="O821" s="5535"/>
      <c r="P821" s="5535"/>
      <c r="Q821" s="5535"/>
      <c r="R821" s="5535"/>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0</v>
      </c>
      <c r="AB821" s="857">
        <f>HE_final-PDs!$X$24+MIN(PDs!$X$24+I$906-I821,50)</f>
        <v>15</v>
      </c>
      <c r="AC821" s="1430">
        <f>HP_final-PDs!$X$23+MIN(PDs!$X$23+J$906-J821,50)</f>
        <v>0</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t="e">
        <f t="shared" si="194"/>
        <v>#N/A</v>
      </c>
      <c r="AO821" s="857" t="e">
        <f t="shared" si="195"/>
        <v>#N/A</v>
      </c>
      <c r="AP821" s="857" t="e">
        <f t="shared" si="196"/>
        <v>#N/A</v>
      </c>
      <c r="AQ821" s="347">
        <f>IFERROR(MATCH(PDs!M61,AN821:AP821,0),0)</f>
        <v>0</v>
      </c>
      <c r="AR821" s="1158" t="str">
        <f t="shared" si="190"/>
        <v/>
      </c>
      <c r="AS821" s="857">
        <f t="shared" si="197"/>
        <v>0</v>
      </c>
      <c r="AT821" s="857">
        <f t="shared" si="198"/>
        <v>0</v>
      </c>
      <c r="AU821" s="857">
        <f t="shared" si="199"/>
        <v>0</v>
      </c>
      <c r="AV821" s="347">
        <f>IF(AR821="",AQ821,MAX(IFERROR(MATCH(PDs!O61,AS821:AU821,0),0),AQ821))</f>
        <v>0</v>
      </c>
      <c r="AW821" s="1158" t="str">
        <f t="shared" si="191"/>
        <v/>
      </c>
      <c r="AX821" s="857">
        <f t="shared" si="200"/>
        <v>0</v>
      </c>
      <c r="AY821" s="857">
        <f t="shared" si="201"/>
        <v>0</v>
      </c>
      <c r="AZ821" s="857">
        <f t="shared" si="202"/>
        <v>0</v>
      </c>
      <c r="BA821" s="347">
        <f>IF(AW821="",AV821,MAX(IFERROR(MATCH(PDs!Q61,AX821:AZ821,0),0),AV821))</f>
        <v>0</v>
      </c>
      <c r="BB821" s="1158" t="str">
        <f t="shared" si="192"/>
        <v/>
      </c>
      <c r="BC821" s="857">
        <f t="shared" si="203"/>
        <v>0</v>
      </c>
      <c r="BD821" s="857">
        <f t="shared" si="204"/>
        <v>0</v>
      </c>
      <c r="BE821" s="857">
        <f t="shared" si="205"/>
        <v>0</v>
      </c>
      <c r="BF821" s="347">
        <f>IF(BB821="",BA821,MAX(IFERROR(MATCH(PDs!S61,BC821:BE821,0),0),BA821))</f>
        <v>0</v>
      </c>
      <c r="BG821" s="1158" t="str">
        <f t="shared" si="193"/>
        <v/>
      </c>
      <c r="BH821" s="857">
        <f t="shared" si="206"/>
        <v>0</v>
      </c>
      <c r="BI821" s="857">
        <f t="shared" si="207"/>
        <v>0</v>
      </c>
      <c r="BJ821" s="857">
        <f t="shared" si="208"/>
        <v>0</v>
      </c>
      <c r="BK821" s="347">
        <f>IF(BG821="",BF821,MAX(IFERROR(MATCH(PDs!U61,BH821:BJ821,0),0),BF821))</f>
        <v>0</v>
      </c>
      <c r="BL821" s="739">
        <f t="shared" si="209"/>
        <v>0</v>
      </c>
    </row>
    <row r="822" spans="1:64" ht="12.75" customHeight="1" thickBot="1" x14ac:dyDescent="0.25">
      <c r="A822" s="242">
        <v>822</v>
      </c>
      <c r="B822" s="5664"/>
      <c r="C822" s="542"/>
      <c r="D822" s="226" t="s">
        <v>876</v>
      </c>
      <c r="E822" s="86">
        <f>30+2*Bono_Fue</f>
        <v>30</v>
      </c>
      <c r="F822" s="86"/>
      <c r="G822" s="86">
        <v>20</v>
      </c>
      <c r="H822" s="86">
        <v>10</v>
      </c>
      <c r="I822" s="86"/>
      <c r="J822" s="86"/>
      <c r="K822" s="86">
        <v>10</v>
      </c>
      <c r="L822" s="5535" t="s">
        <v>875</v>
      </c>
      <c r="M822" s="5535"/>
      <c r="N822" s="5535"/>
      <c r="O822" s="5535"/>
      <c r="P822" s="5535"/>
      <c r="Q822" s="5535"/>
      <c r="R822" s="5535"/>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-10</v>
      </c>
      <c r="AB822" s="857">
        <f>HE_final-PDs!$X$24+MIN(PDs!$X$24+I$906-I822,50)</f>
        <v>15</v>
      </c>
      <c r="AC822" s="1430">
        <f>HP_final-PDs!$X$23+MIN(PDs!$X$23+J$906-J822,50)</f>
        <v>0</v>
      </c>
      <c r="AE822" s="1429" t="s">
        <v>7371</v>
      </c>
      <c r="AF822" s="626" t="s">
        <v>3286</v>
      </c>
      <c r="AG822" s="1431" t="s">
        <v>3287</v>
      </c>
      <c r="AI822" s="1495" t="str">
        <f>IF(PDs!E62="","",PDs!E62)</f>
        <v/>
      </c>
      <c r="AJ822" s="857" t="str">
        <f>IF(PDs!J62="","",PDs!J62)</f>
        <v/>
      </c>
      <c r="AK822" s="857" t="str">
        <f t="shared" si="185"/>
        <v/>
      </c>
      <c r="AL822" s="857" t="str">
        <f t="shared" si="186"/>
        <v/>
      </c>
      <c r="AM822" s="1158" t="str">
        <f t="shared" si="189"/>
        <v/>
      </c>
      <c r="AN822" s="857" t="e">
        <f t="shared" si="194"/>
        <v>#N/A</v>
      </c>
      <c r="AO822" s="857" t="e">
        <f t="shared" si="195"/>
        <v>#N/A</v>
      </c>
      <c r="AP822" s="857" t="e">
        <f t="shared" si="196"/>
        <v>#N/A</v>
      </c>
      <c r="AQ822" s="347">
        <f>IFERROR(MATCH(PDs!M62,AN822:AP822,0),0)</f>
        <v>0</v>
      </c>
      <c r="AR822" s="1158" t="str">
        <f t="shared" si="190"/>
        <v/>
      </c>
      <c r="AS822" s="857">
        <f t="shared" si="197"/>
        <v>0</v>
      </c>
      <c r="AT822" s="857">
        <f t="shared" si="198"/>
        <v>0</v>
      </c>
      <c r="AU822" s="857">
        <f t="shared" si="199"/>
        <v>0</v>
      </c>
      <c r="AV822" s="347">
        <f>IF(AR822="",AQ822,MAX(IFERROR(MATCH(PDs!O62,AS822:AU822,0),0),AQ822))</f>
        <v>0</v>
      </c>
      <c r="AW822" s="1158" t="str">
        <f t="shared" si="191"/>
        <v/>
      </c>
      <c r="AX822" s="857">
        <f t="shared" si="200"/>
        <v>0</v>
      </c>
      <c r="AY822" s="857">
        <f t="shared" si="201"/>
        <v>0</v>
      </c>
      <c r="AZ822" s="857">
        <f t="shared" si="202"/>
        <v>0</v>
      </c>
      <c r="BA822" s="347">
        <f>IF(AW822="",AV822,MAX(IFERROR(MATCH(PDs!Q62,AX822:AZ822,0),0),AV822))</f>
        <v>0</v>
      </c>
      <c r="BB822" s="1158" t="str">
        <f t="shared" si="192"/>
        <v/>
      </c>
      <c r="BC822" s="857">
        <f t="shared" si="203"/>
        <v>0</v>
      </c>
      <c r="BD822" s="857">
        <f t="shared" si="204"/>
        <v>0</v>
      </c>
      <c r="BE822" s="857">
        <f t="shared" si="205"/>
        <v>0</v>
      </c>
      <c r="BF822" s="347">
        <f>IF(BB822="",BA822,MAX(IFERROR(MATCH(PDs!S62,BC822:BE822,0),0),BA822))</f>
        <v>0</v>
      </c>
      <c r="BG822" s="1158" t="str">
        <f t="shared" si="193"/>
        <v/>
      </c>
      <c r="BH822" s="857">
        <f t="shared" si="206"/>
        <v>0</v>
      </c>
      <c r="BI822" s="857">
        <f t="shared" si="207"/>
        <v>0</v>
      </c>
      <c r="BJ822" s="857">
        <f t="shared" si="208"/>
        <v>0</v>
      </c>
      <c r="BK822" s="347">
        <f>IF(BG822="",BF822,MAX(IFERROR(MATCH(PDs!U62,BH822:BJ822,0),0),BF822))</f>
        <v>0</v>
      </c>
      <c r="BL822" s="739">
        <f t="shared" si="209"/>
        <v>0</v>
      </c>
    </row>
    <row r="823" spans="1:64" ht="12.75" customHeight="1" thickBot="1" x14ac:dyDescent="0.25">
      <c r="A823" s="242">
        <v>823</v>
      </c>
      <c r="B823" s="5664"/>
      <c r="C823" s="542"/>
      <c r="D823" s="226" t="s">
        <v>877</v>
      </c>
      <c r="E823" s="86">
        <f>20+Bono_Fue</f>
        <v>20</v>
      </c>
      <c r="F823" s="86"/>
      <c r="G823" s="86">
        <v>0</v>
      </c>
      <c r="H823" s="86"/>
      <c r="I823" s="86"/>
      <c r="J823" s="86"/>
      <c r="K823" s="86"/>
      <c r="L823" s="5535" t="s">
        <v>878</v>
      </c>
      <c r="M823" s="5535"/>
      <c r="N823" s="5535"/>
      <c r="O823" s="5535"/>
      <c r="P823" s="5535"/>
      <c r="Q823" s="5535"/>
      <c r="R823" s="5535"/>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0</v>
      </c>
      <c r="AB823" s="857">
        <f>HE_final-PDs!$X$24+MIN(PDs!$X$24+I$906-I823,50)</f>
        <v>15</v>
      </c>
      <c r="AC823" s="1430">
        <f>HP_final-PDs!$X$23+MIN(PDs!$X$23+J$906-J823,50)</f>
        <v>0</v>
      </c>
      <c r="AE823" s="1429" t="s">
        <v>7372</v>
      </c>
      <c r="AF823" s="1431" t="s">
        <v>7406</v>
      </c>
      <c r="AI823" s="1495" t="str">
        <f>IF(PDs!E63="","",PDs!E63)</f>
        <v/>
      </c>
      <c r="AJ823" s="857" t="str">
        <f>IF(PDs!J63="","",PDs!J63)</f>
        <v/>
      </c>
      <c r="AK823" s="857" t="str">
        <f t="shared" si="185"/>
        <v/>
      </c>
      <c r="AL823" s="857" t="str">
        <f t="shared" si="186"/>
        <v/>
      </c>
      <c r="AM823" s="1158" t="str">
        <f t="shared" si="189"/>
        <v/>
      </c>
      <c r="AN823" s="857" t="e">
        <f t="shared" si="194"/>
        <v>#N/A</v>
      </c>
      <c r="AO823" s="857" t="e">
        <f t="shared" si="195"/>
        <v>#N/A</v>
      </c>
      <c r="AP823" s="857" t="e">
        <f t="shared" si="196"/>
        <v>#N/A</v>
      </c>
      <c r="AQ823" s="347">
        <f>IFERROR(MATCH(PDs!M63,AN823:AP823,0),0)</f>
        <v>0</v>
      </c>
      <c r="AR823" s="1158" t="str">
        <f t="shared" si="190"/>
        <v/>
      </c>
      <c r="AS823" s="857">
        <f t="shared" si="197"/>
        <v>0</v>
      </c>
      <c r="AT823" s="857">
        <f t="shared" si="198"/>
        <v>0</v>
      </c>
      <c r="AU823" s="857">
        <f t="shared" si="199"/>
        <v>0</v>
      </c>
      <c r="AV823" s="347">
        <f>IF(AR823="",AQ823,MAX(IFERROR(MATCH(PDs!O63,AS823:AU823,0),0),AQ823))</f>
        <v>0</v>
      </c>
      <c r="AW823" s="1158" t="str">
        <f t="shared" si="191"/>
        <v/>
      </c>
      <c r="AX823" s="857">
        <f t="shared" si="200"/>
        <v>0</v>
      </c>
      <c r="AY823" s="857">
        <f t="shared" si="201"/>
        <v>0</v>
      </c>
      <c r="AZ823" s="857">
        <f t="shared" si="202"/>
        <v>0</v>
      </c>
      <c r="BA823" s="347">
        <f>IF(AW823="",AV823,MAX(IFERROR(MATCH(PDs!Q63,AX823:AZ823,0),0),AV823))</f>
        <v>0</v>
      </c>
      <c r="BB823" s="1158" t="str">
        <f t="shared" si="192"/>
        <v/>
      </c>
      <c r="BC823" s="857">
        <f t="shared" si="203"/>
        <v>0</v>
      </c>
      <c r="BD823" s="857">
        <f t="shared" si="204"/>
        <v>0</v>
      </c>
      <c r="BE823" s="857">
        <f t="shared" si="205"/>
        <v>0</v>
      </c>
      <c r="BF823" s="347">
        <f>IF(BB823="",BA823,MAX(IFERROR(MATCH(PDs!S63,BC823:BE823,0),0),BA823))</f>
        <v>0</v>
      </c>
      <c r="BG823" s="1158" t="str">
        <f t="shared" si="193"/>
        <v/>
      </c>
      <c r="BH823" s="857">
        <f t="shared" si="206"/>
        <v>0</v>
      </c>
      <c r="BI823" s="857">
        <f t="shared" si="207"/>
        <v>0</v>
      </c>
      <c r="BJ823" s="857">
        <f t="shared" si="208"/>
        <v>0</v>
      </c>
      <c r="BK823" s="347">
        <f>IF(BG823="",BF823,MAX(IFERROR(MATCH(PDs!U63,BH823:BJ823,0),0),BF823))</f>
        <v>0</v>
      </c>
      <c r="BL823" s="739">
        <f t="shared" si="209"/>
        <v>0</v>
      </c>
    </row>
    <row r="824" spans="1:64" ht="12.75" customHeight="1" thickBot="1" x14ac:dyDescent="0.25">
      <c r="A824" s="242">
        <v>824</v>
      </c>
      <c r="B824" s="5664"/>
      <c r="C824" s="542"/>
      <c r="D824" s="226" t="s">
        <v>879</v>
      </c>
      <c r="E824" s="86">
        <f>20+Bono_Fue</f>
        <v>20</v>
      </c>
      <c r="F824" s="86"/>
      <c r="G824" s="86">
        <v>10</v>
      </c>
      <c r="H824" s="86"/>
      <c r="I824" s="86">
        <v>10</v>
      </c>
      <c r="J824" s="86"/>
      <c r="K824" s="86"/>
      <c r="L824" s="5535" t="s">
        <v>880</v>
      </c>
      <c r="M824" s="5535"/>
      <c r="N824" s="5535"/>
      <c r="O824" s="5535"/>
      <c r="P824" s="5535"/>
      <c r="Q824" s="5535"/>
      <c r="R824" s="5535"/>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0</v>
      </c>
      <c r="AB824" s="857">
        <f>HE_final-PDs!$X$24+MIN(PDs!$X$24+I$906-I824,50)</f>
        <v>5</v>
      </c>
      <c r="AC824" s="1430">
        <f>HP_final-PDs!$X$23+MIN(PDs!$X$23+J$906-J824,50)</f>
        <v>0</v>
      </c>
      <c r="AE824" s="1429" t="s">
        <v>7373</v>
      </c>
      <c r="AI824" s="1495" t="str">
        <f>IF(PDs!E64="","",PDs!E64)</f>
        <v/>
      </c>
      <c r="AJ824" s="857" t="str">
        <f>IF(PDs!J64="","",PDs!J64)</f>
        <v/>
      </c>
      <c r="AK824" s="857" t="str">
        <f t="shared" si="185"/>
        <v/>
      </c>
      <c r="AL824" s="857" t="str">
        <f t="shared" si="186"/>
        <v/>
      </c>
      <c r="AM824" s="1158" t="str">
        <f t="shared" si="189"/>
        <v/>
      </c>
      <c r="AN824" s="857" t="e">
        <f t="shared" si="194"/>
        <v>#N/A</v>
      </c>
      <c r="AO824" s="857" t="e">
        <f t="shared" si="195"/>
        <v>#N/A</v>
      </c>
      <c r="AP824" s="857" t="e">
        <f t="shared" si="196"/>
        <v>#N/A</v>
      </c>
      <c r="AQ824" s="347">
        <f>IFERROR(MATCH(PDs!M64,AN824:AP824,0),0)</f>
        <v>0</v>
      </c>
      <c r="AR824" s="1158" t="str">
        <f t="shared" si="190"/>
        <v/>
      </c>
      <c r="AS824" s="857">
        <f t="shared" si="197"/>
        <v>0</v>
      </c>
      <c r="AT824" s="857">
        <f t="shared" si="198"/>
        <v>0</v>
      </c>
      <c r="AU824" s="857">
        <f t="shared" si="199"/>
        <v>0</v>
      </c>
      <c r="AV824" s="347">
        <f>IF(AR824="",AQ824,MAX(IFERROR(MATCH(PDs!O64,AS824:AU824,0),0),AQ824))</f>
        <v>0</v>
      </c>
      <c r="AW824" s="1158" t="str">
        <f t="shared" si="191"/>
        <v/>
      </c>
      <c r="AX824" s="857">
        <f t="shared" si="200"/>
        <v>0</v>
      </c>
      <c r="AY824" s="857">
        <f t="shared" si="201"/>
        <v>0</v>
      </c>
      <c r="AZ824" s="857">
        <f t="shared" si="202"/>
        <v>0</v>
      </c>
      <c r="BA824" s="347">
        <f>IF(AW824="",AV824,MAX(IFERROR(MATCH(PDs!Q64,AX824:AZ824,0),0),AV824))</f>
        <v>0</v>
      </c>
      <c r="BB824" s="1158" t="str">
        <f t="shared" si="192"/>
        <v/>
      </c>
      <c r="BC824" s="857">
        <f t="shared" si="203"/>
        <v>0</v>
      </c>
      <c r="BD824" s="857">
        <f t="shared" si="204"/>
        <v>0</v>
      </c>
      <c r="BE824" s="857">
        <f t="shared" si="205"/>
        <v>0</v>
      </c>
      <c r="BF824" s="347">
        <f>IF(BB824="",BA824,MAX(IFERROR(MATCH(PDs!S64,BC824:BE824,0),0),BA824))</f>
        <v>0</v>
      </c>
      <c r="BG824" s="1158" t="str">
        <f t="shared" si="193"/>
        <v/>
      </c>
      <c r="BH824" s="857">
        <f t="shared" si="206"/>
        <v>0</v>
      </c>
      <c r="BI824" s="857">
        <f t="shared" si="207"/>
        <v>0</v>
      </c>
      <c r="BJ824" s="857">
        <f t="shared" si="208"/>
        <v>0</v>
      </c>
      <c r="BK824" s="347">
        <f>IF(BG824="",BF824,MAX(IFERROR(MATCH(PDs!U64,BH824:BJ824,0),0),BF824))</f>
        <v>0</v>
      </c>
      <c r="BL824" s="739">
        <f t="shared" si="209"/>
        <v>0</v>
      </c>
    </row>
    <row r="825" spans="1:64" ht="12.75" customHeight="1" thickBot="1" x14ac:dyDescent="0.25">
      <c r="A825" s="242">
        <v>825</v>
      </c>
      <c r="B825" s="5664"/>
      <c r="C825" s="542"/>
      <c r="D825" s="226" t="s">
        <v>881</v>
      </c>
      <c r="E825" s="86">
        <f>20+Bono_Fue</f>
        <v>20</v>
      </c>
      <c r="F825" s="86"/>
      <c r="G825" s="86">
        <v>20</v>
      </c>
      <c r="H825" s="86"/>
      <c r="I825" s="86">
        <v>10</v>
      </c>
      <c r="J825" s="86"/>
      <c r="K825" s="86"/>
      <c r="L825" s="5535" t="s">
        <v>9050</v>
      </c>
      <c r="M825" s="5535"/>
      <c r="N825" s="5535"/>
      <c r="O825" s="5535"/>
      <c r="P825" s="5535"/>
      <c r="Q825" s="5535"/>
      <c r="R825" s="5535"/>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0</v>
      </c>
      <c r="AB825" s="857">
        <f>HE_final-PDs!$X$24+MIN(PDs!$X$24+I$906-I825,50)</f>
        <v>5</v>
      </c>
      <c r="AC825" s="1430">
        <f>HP_final-PDs!$X$23+MIN(PDs!$X$23+J$906-J825,50)</f>
        <v>0</v>
      </c>
      <c r="AE825" s="1429" t="s">
        <v>7374</v>
      </c>
      <c r="AF825" s="1428" t="s">
        <v>9035</v>
      </c>
      <c r="AG825" s="1432" t="s">
        <v>9036</v>
      </c>
      <c r="AI825" s="1495" t="str">
        <f>IF(PDs!E65="","",PDs!E65)</f>
        <v/>
      </c>
      <c r="AJ825" s="857" t="str">
        <f>IF(PDs!J65="","",PDs!J65)</f>
        <v/>
      </c>
      <c r="AK825" s="857" t="str">
        <f t="shared" si="185"/>
        <v/>
      </c>
      <c r="AL825" s="857" t="str">
        <f t="shared" si="186"/>
        <v/>
      </c>
      <c r="AM825" s="1158" t="str">
        <f t="shared" si="189"/>
        <v/>
      </c>
      <c r="AN825" s="857" t="e">
        <f t="shared" si="194"/>
        <v>#N/A</v>
      </c>
      <c r="AO825" s="857" t="e">
        <f t="shared" si="195"/>
        <v>#N/A</v>
      </c>
      <c r="AP825" s="857" t="e">
        <f t="shared" si="196"/>
        <v>#N/A</v>
      </c>
      <c r="AQ825" s="347">
        <f>IFERROR(MATCH(PDs!M65,AN825:AP825,0),0)</f>
        <v>0</v>
      </c>
      <c r="AR825" s="1158" t="str">
        <f t="shared" si="190"/>
        <v/>
      </c>
      <c r="AS825" s="857">
        <f t="shared" si="197"/>
        <v>0</v>
      </c>
      <c r="AT825" s="857">
        <f t="shared" si="198"/>
        <v>0</v>
      </c>
      <c r="AU825" s="857">
        <f t="shared" si="199"/>
        <v>0</v>
      </c>
      <c r="AV825" s="347">
        <f>IF(AR825="",AQ825,MAX(IFERROR(MATCH(PDs!O65,AS825:AU825,0),0),AQ825))</f>
        <v>0</v>
      </c>
      <c r="AW825" s="1158" t="str">
        <f t="shared" si="191"/>
        <v/>
      </c>
      <c r="AX825" s="857">
        <f t="shared" si="200"/>
        <v>0</v>
      </c>
      <c r="AY825" s="857">
        <f t="shared" si="201"/>
        <v>0</v>
      </c>
      <c r="AZ825" s="857">
        <f t="shared" si="202"/>
        <v>0</v>
      </c>
      <c r="BA825" s="347">
        <f>IF(AW825="",AV825,MAX(IFERROR(MATCH(PDs!Q65,AX825:AZ825,0),0),AV825))</f>
        <v>0</v>
      </c>
      <c r="BB825" s="1158" t="str">
        <f t="shared" si="192"/>
        <v/>
      </c>
      <c r="BC825" s="857">
        <f t="shared" si="203"/>
        <v>0</v>
      </c>
      <c r="BD825" s="857">
        <f t="shared" si="204"/>
        <v>0</v>
      </c>
      <c r="BE825" s="857">
        <f t="shared" si="205"/>
        <v>0</v>
      </c>
      <c r="BF825" s="347">
        <f>IF(BB825="",BA825,MAX(IFERROR(MATCH(PDs!S65,BC825:BE825,0),0),BA825))</f>
        <v>0</v>
      </c>
      <c r="BG825" s="1158" t="str">
        <f t="shared" si="193"/>
        <v/>
      </c>
      <c r="BH825" s="857">
        <f t="shared" si="206"/>
        <v>0</v>
      </c>
      <c r="BI825" s="857">
        <f t="shared" si="207"/>
        <v>0</v>
      </c>
      <c r="BJ825" s="857">
        <f t="shared" si="208"/>
        <v>0</v>
      </c>
      <c r="BK825" s="347">
        <f>IF(BG825="",BF825,MAX(IFERROR(MATCH(PDs!U65,BH825:BJ825,0),0),BF825))</f>
        <v>0</v>
      </c>
      <c r="BL825" s="739">
        <f t="shared" si="209"/>
        <v>0</v>
      </c>
    </row>
    <row r="826" spans="1:64" ht="12.75" customHeight="1" x14ac:dyDescent="0.2">
      <c r="A826" s="242">
        <v>826</v>
      </c>
      <c r="B826" s="5664"/>
      <c r="C826" s="542"/>
      <c r="D826" s="226" t="s">
        <v>882</v>
      </c>
      <c r="E826" s="86">
        <f>10+Bono_Fue</f>
        <v>10</v>
      </c>
      <c r="F826" s="86"/>
      <c r="G826" s="86">
        <v>0</v>
      </c>
      <c r="H826" s="86"/>
      <c r="I826" s="86"/>
      <c r="J826" s="86"/>
      <c r="K826" s="86"/>
      <c r="L826" s="5535" t="s">
        <v>883</v>
      </c>
      <c r="M826" s="5535"/>
      <c r="N826" s="5535"/>
      <c r="O826" s="5535"/>
      <c r="P826" s="5535"/>
      <c r="Q826" s="5535"/>
      <c r="R826" s="5535"/>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0</v>
      </c>
      <c r="AB826" s="857">
        <f>HE_final-PDs!$X$24+MIN(PDs!$X$24+I$906-I826,50)</f>
        <v>15</v>
      </c>
      <c r="AC826" s="1430">
        <f>HP_final-PDs!$X$23+MIN(PDs!$X$23+J$906-J826,50)</f>
        <v>0</v>
      </c>
      <c r="AE826" s="1429" t="s">
        <v>7375</v>
      </c>
      <c r="AF826" s="626" t="s">
        <v>1373</v>
      </c>
      <c r="AG826" s="1433" t="s">
        <v>1373</v>
      </c>
      <c r="AI826" s="1495" t="str">
        <f>IF(PDs!E66="","",PDs!E66)</f>
        <v/>
      </c>
      <c r="AJ826" s="857" t="str">
        <f>IF(PDs!J66="","",PDs!J66)</f>
        <v/>
      </c>
      <c r="AK826" s="857" t="str">
        <f t="shared" si="185"/>
        <v/>
      </c>
      <c r="AL826" s="857" t="str">
        <f t="shared" si="186"/>
        <v/>
      </c>
      <c r="AM826" s="1158" t="str">
        <f t="shared" si="189"/>
        <v/>
      </c>
      <c r="AN826" s="857" t="e">
        <f t="shared" si="194"/>
        <v>#N/A</v>
      </c>
      <c r="AO826" s="857" t="e">
        <f t="shared" si="195"/>
        <v>#N/A</v>
      </c>
      <c r="AP826" s="857" t="e">
        <f t="shared" si="196"/>
        <v>#N/A</v>
      </c>
      <c r="AQ826" s="347">
        <f>IFERROR(MATCH(PDs!M66,AN826:AP826,0),0)</f>
        <v>0</v>
      </c>
      <c r="AR826" s="1158" t="str">
        <f t="shared" si="190"/>
        <v/>
      </c>
      <c r="AS826" s="857">
        <f t="shared" si="197"/>
        <v>0</v>
      </c>
      <c r="AT826" s="857">
        <f t="shared" si="198"/>
        <v>0</v>
      </c>
      <c r="AU826" s="857">
        <f t="shared" si="199"/>
        <v>0</v>
      </c>
      <c r="AV826" s="347">
        <f>IF(AR826="",AQ826,MAX(IFERROR(MATCH(PDs!O66,AS826:AU826,0),0),AQ826))</f>
        <v>0</v>
      </c>
      <c r="AW826" s="1158" t="str">
        <f t="shared" si="191"/>
        <v/>
      </c>
      <c r="AX826" s="857">
        <f t="shared" si="200"/>
        <v>0</v>
      </c>
      <c r="AY826" s="857">
        <f t="shared" si="201"/>
        <v>0</v>
      </c>
      <c r="AZ826" s="857">
        <f t="shared" si="202"/>
        <v>0</v>
      </c>
      <c r="BA826" s="347">
        <f>IF(AW826="",AV826,MAX(IFERROR(MATCH(PDs!Q66,AX826:AZ826,0),0),AV826))</f>
        <v>0</v>
      </c>
      <c r="BB826" s="1158" t="str">
        <f t="shared" si="192"/>
        <v/>
      </c>
      <c r="BC826" s="857">
        <f t="shared" si="203"/>
        <v>0</v>
      </c>
      <c r="BD826" s="857">
        <f t="shared" si="204"/>
        <v>0</v>
      </c>
      <c r="BE826" s="857">
        <f t="shared" si="205"/>
        <v>0</v>
      </c>
      <c r="BF826" s="347">
        <f>IF(BB826="",BA826,MAX(IFERROR(MATCH(PDs!S66,BC826:BE826,0),0),BA826))</f>
        <v>0</v>
      </c>
      <c r="BG826" s="1158" t="str">
        <f t="shared" si="193"/>
        <v/>
      </c>
      <c r="BH826" s="857">
        <f t="shared" si="206"/>
        <v>0</v>
      </c>
      <c r="BI826" s="857">
        <f t="shared" si="207"/>
        <v>0</v>
      </c>
      <c r="BJ826" s="857">
        <f t="shared" si="208"/>
        <v>0</v>
      </c>
      <c r="BK826" s="347">
        <f>IF(BG826="",BF826,MAX(IFERROR(MATCH(PDs!U66,BH826:BJ826,0),0),BF826))</f>
        <v>0</v>
      </c>
      <c r="BL826" s="739">
        <f t="shared" si="209"/>
        <v>0</v>
      </c>
    </row>
    <row r="827" spans="1:64" ht="12.75" customHeight="1" thickBot="1" x14ac:dyDescent="0.25">
      <c r="A827" s="242">
        <v>827</v>
      </c>
      <c r="B827" s="5664"/>
      <c r="C827" s="542"/>
      <c r="D827" s="226" t="s">
        <v>884</v>
      </c>
      <c r="E827" s="86">
        <f>20+Bono_Fue</f>
        <v>20</v>
      </c>
      <c r="F827" s="86"/>
      <c r="G827" s="86">
        <v>10</v>
      </c>
      <c r="H827" s="86"/>
      <c r="I827" s="86"/>
      <c r="J827" s="86"/>
      <c r="K827" s="86"/>
      <c r="L827" s="5535" t="s">
        <v>885</v>
      </c>
      <c r="M827" s="5535"/>
      <c r="N827" s="5535"/>
      <c r="O827" s="5535"/>
      <c r="P827" s="5535"/>
      <c r="Q827" s="5535"/>
      <c r="R827" s="5535"/>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0</v>
      </c>
      <c r="AB827" s="857">
        <f>HE_final-PDs!$X$24+MIN(PDs!$X$24+I$906-I827,50)</f>
        <v>15</v>
      </c>
      <c r="AC827" s="1430">
        <f>HP_final-PDs!$X$23+MIN(PDs!$X$23+J$906-J827,50)</f>
        <v>0</v>
      </c>
      <c r="AE827" s="1429" t="s">
        <v>7376</v>
      </c>
      <c r="AF827" s="626" t="s">
        <v>9037</v>
      </c>
      <c r="AG827" s="1431" t="s">
        <v>9038</v>
      </c>
      <c r="AI827" s="1495" t="str">
        <f>IF(PDs!E67="","",PDs!E67)</f>
        <v/>
      </c>
      <c r="AJ827" s="857" t="str">
        <f>IF(PDs!J67="","",PDs!J67)</f>
        <v/>
      </c>
      <c r="AK827" s="857" t="str">
        <f t="shared" si="185"/>
        <v/>
      </c>
      <c r="AL827" s="857" t="str">
        <f t="shared" si="186"/>
        <v/>
      </c>
      <c r="AM827" s="1158" t="str">
        <f t="shared" si="189"/>
        <v/>
      </c>
      <c r="AN827" s="857" t="e">
        <f t="shared" si="194"/>
        <v>#N/A</v>
      </c>
      <c r="AO827" s="857" t="e">
        <f t="shared" si="195"/>
        <v>#N/A</v>
      </c>
      <c r="AP827" s="857" t="e">
        <f t="shared" si="196"/>
        <v>#N/A</v>
      </c>
      <c r="AQ827" s="347">
        <f>IFERROR(MATCH(PDs!M67,AN827:AP827,0),0)</f>
        <v>0</v>
      </c>
      <c r="AR827" s="1158" t="str">
        <f t="shared" si="190"/>
        <v/>
      </c>
      <c r="AS827" s="857">
        <f t="shared" si="197"/>
        <v>0</v>
      </c>
      <c r="AT827" s="857">
        <f t="shared" si="198"/>
        <v>0</v>
      </c>
      <c r="AU827" s="857">
        <f t="shared" si="199"/>
        <v>0</v>
      </c>
      <c r="AV827" s="347">
        <f>IF(AR827="",AQ827,MAX(IFERROR(MATCH(PDs!O67,AS827:AU827,0),0),AQ827))</f>
        <v>0</v>
      </c>
      <c r="AW827" s="1158" t="str">
        <f t="shared" si="191"/>
        <v/>
      </c>
      <c r="AX827" s="857">
        <f t="shared" si="200"/>
        <v>0</v>
      </c>
      <c r="AY827" s="857">
        <f t="shared" si="201"/>
        <v>0</v>
      </c>
      <c r="AZ827" s="857">
        <f t="shared" si="202"/>
        <v>0</v>
      </c>
      <c r="BA827" s="347">
        <f>IF(AW827="",AV827,MAX(IFERROR(MATCH(PDs!Q67,AX827:AZ827,0),0),AV827))</f>
        <v>0</v>
      </c>
      <c r="BB827" s="1158" t="str">
        <f t="shared" si="192"/>
        <v/>
      </c>
      <c r="BC827" s="857">
        <f t="shared" si="203"/>
        <v>0</v>
      </c>
      <c r="BD827" s="857">
        <f t="shared" si="204"/>
        <v>0</v>
      </c>
      <c r="BE827" s="857">
        <f t="shared" si="205"/>
        <v>0</v>
      </c>
      <c r="BF827" s="347">
        <f>IF(BB827="",BA827,MAX(IFERROR(MATCH(PDs!S67,BC827:BE827,0),0),BA827))</f>
        <v>0</v>
      </c>
      <c r="BG827" s="1158" t="str">
        <f t="shared" si="193"/>
        <v/>
      </c>
      <c r="BH827" s="857">
        <f t="shared" si="206"/>
        <v>0</v>
      </c>
      <c r="BI827" s="857">
        <f t="shared" si="207"/>
        <v>0</v>
      </c>
      <c r="BJ827" s="857">
        <f t="shared" si="208"/>
        <v>0</v>
      </c>
      <c r="BK827" s="347">
        <f>IF(BG827="",BF827,MAX(IFERROR(MATCH(PDs!U67,BH827:BJ827,0),0),BF827))</f>
        <v>0</v>
      </c>
      <c r="BL827" s="739">
        <f t="shared" si="209"/>
        <v>0</v>
      </c>
    </row>
    <row r="828" spans="1:64" ht="12.75" customHeight="1" thickBot="1" x14ac:dyDescent="0.25">
      <c r="A828" s="242">
        <v>828</v>
      </c>
      <c r="B828" s="5664"/>
      <c r="C828" s="542"/>
      <c r="D828" s="226" t="s">
        <v>886</v>
      </c>
      <c r="E828" s="86">
        <f>20+Bono_Fue</f>
        <v>20</v>
      </c>
      <c r="F828" s="86"/>
      <c r="G828" s="86">
        <v>20</v>
      </c>
      <c r="H828" s="86"/>
      <c r="I828" s="86"/>
      <c r="J828" s="86"/>
      <c r="K828" s="86"/>
      <c r="L828" s="5535" t="s">
        <v>9051</v>
      </c>
      <c r="M828" s="5535"/>
      <c r="N828" s="5535"/>
      <c r="O828" s="5535"/>
      <c r="P828" s="5535"/>
      <c r="Q828" s="5535"/>
      <c r="R828" s="5535"/>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0</v>
      </c>
      <c r="AB828" s="857">
        <f>HE_final-PDs!$X$24+MIN(PDs!$X$24+I$906-I828,50)</f>
        <v>15</v>
      </c>
      <c r="AC828" s="1430">
        <f>HP_final-PDs!$X$23+MIN(PDs!$X$23+J$906-J828,50)</f>
        <v>0</v>
      </c>
      <c r="AE828" s="1429" t="s">
        <v>7377</v>
      </c>
      <c r="AF828" s="1431" t="s">
        <v>9039</v>
      </c>
      <c r="AI828" s="1495" t="str">
        <f>IF(PDs!E68="","",PDs!E68)</f>
        <v/>
      </c>
      <c r="AJ828" s="857" t="str">
        <f>IF(PDs!J68="","",PDs!J68)</f>
        <v/>
      </c>
      <c r="AK828" s="857" t="str">
        <f t="shared" si="185"/>
        <v/>
      </c>
      <c r="AL828" s="857" t="str">
        <f t="shared" si="186"/>
        <v/>
      </c>
      <c r="AM828" s="1158" t="str">
        <f t="shared" si="189"/>
        <v/>
      </c>
      <c r="AN828" s="857" t="e">
        <f t="shared" si="194"/>
        <v>#N/A</v>
      </c>
      <c r="AO828" s="857" t="e">
        <f t="shared" si="195"/>
        <v>#N/A</v>
      </c>
      <c r="AP828" s="857" t="e">
        <f t="shared" si="196"/>
        <v>#N/A</v>
      </c>
      <c r="AQ828" s="347">
        <f>IFERROR(MATCH(PDs!M68,AN828:AP828,0),0)</f>
        <v>0</v>
      </c>
      <c r="AR828" s="1158" t="str">
        <f t="shared" si="190"/>
        <v/>
      </c>
      <c r="AS828" s="857">
        <f t="shared" si="197"/>
        <v>0</v>
      </c>
      <c r="AT828" s="857">
        <f t="shared" si="198"/>
        <v>0</v>
      </c>
      <c r="AU828" s="857">
        <f t="shared" si="199"/>
        <v>0</v>
      </c>
      <c r="AV828" s="347">
        <f>IF(AR828="",AQ828,MAX(IFERROR(MATCH(PDs!O68,AS828:AU828,0),0),AQ828))</f>
        <v>0</v>
      </c>
      <c r="AW828" s="1158" t="str">
        <f t="shared" si="191"/>
        <v/>
      </c>
      <c r="AX828" s="857">
        <f t="shared" si="200"/>
        <v>0</v>
      </c>
      <c r="AY828" s="857">
        <f t="shared" si="201"/>
        <v>0</v>
      </c>
      <c r="AZ828" s="857">
        <f t="shared" si="202"/>
        <v>0</v>
      </c>
      <c r="BA828" s="347">
        <f>IF(AW828="",AV828,MAX(IFERROR(MATCH(PDs!Q68,AX828:AZ828,0),0),AV828))</f>
        <v>0</v>
      </c>
      <c r="BB828" s="1158" t="str">
        <f t="shared" si="192"/>
        <v/>
      </c>
      <c r="BC828" s="857">
        <f t="shared" si="203"/>
        <v>0</v>
      </c>
      <c r="BD828" s="857">
        <f t="shared" si="204"/>
        <v>0</v>
      </c>
      <c r="BE828" s="857">
        <f t="shared" si="205"/>
        <v>0</v>
      </c>
      <c r="BF828" s="347">
        <f>IF(BB828="",BA828,MAX(IFERROR(MATCH(PDs!S68,BC828:BE828,0),0),BA828))</f>
        <v>0</v>
      </c>
      <c r="BG828" s="1158" t="str">
        <f t="shared" si="193"/>
        <v/>
      </c>
      <c r="BH828" s="857">
        <f t="shared" si="206"/>
        <v>0</v>
      </c>
      <c r="BI828" s="857">
        <f t="shared" si="207"/>
        <v>0</v>
      </c>
      <c r="BJ828" s="857">
        <f t="shared" si="208"/>
        <v>0</v>
      </c>
      <c r="BK828" s="347">
        <f>IF(BG828="",BF828,MAX(IFERROR(MATCH(PDs!U68,BH828:BJ828,0),0),BF828))</f>
        <v>0</v>
      </c>
      <c r="BL828" s="739">
        <f t="shared" si="209"/>
        <v>0</v>
      </c>
    </row>
    <row r="829" spans="1:64" ht="12.75" customHeight="1" x14ac:dyDescent="0.2">
      <c r="A829" s="242">
        <v>829</v>
      </c>
      <c r="B829" s="5664"/>
      <c r="C829" s="542"/>
      <c r="D829" s="226" t="s">
        <v>887</v>
      </c>
      <c r="E829" s="86">
        <f>10+Bono_Fue</f>
        <v>10</v>
      </c>
      <c r="F829" s="86"/>
      <c r="G829" s="86">
        <v>0</v>
      </c>
      <c r="H829" s="86"/>
      <c r="I829" s="86"/>
      <c r="J829" s="86"/>
      <c r="K829" s="86"/>
      <c r="L829" s="5535" t="s">
        <v>888</v>
      </c>
      <c r="M829" s="5535"/>
      <c r="N829" s="5535"/>
      <c r="O829" s="5535"/>
      <c r="P829" s="5535"/>
      <c r="Q829" s="5535"/>
      <c r="R829" s="5535"/>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0</v>
      </c>
      <c r="AB829" s="857">
        <f>HE_final-PDs!$X$24+MIN(PDs!$X$24+I$906-I829,50)</f>
        <v>15</v>
      </c>
      <c r="AC829" s="1430">
        <f>HP_final-PDs!$X$23+MIN(PDs!$X$23+J$906-J829,50)</f>
        <v>0</v>
      </c>
      <c r="AE829" s="1429" t="s">
        <v>7378</v>
      </c>
      <c r="AI829" s="1495" t="str">
        <f>IF(PDs!E69="","",PDs!E69)</f>
        <v/>
      </c>
      <c r="AJ829" s="857" t="str">
        <f>IF(PDs!J69="","",PDs!J69)</f>
        <v/>
      </c>
      <c r="AK829" s="857" t="str">
        <f t="shared" si="185"/>
        <v/>
      </c>
      <c r="AL829" s="857" t="str">
        <f t="shared" si="186"/>
        <v/>
      </c>
      <c r="AM829" s="1158" t="str">
        <f t="shared" si="189"/>
        <v/>
      </c>
      <c r="AN829" s="857" t="e">
        <f t="shared" si="194"/>
        <v>#N/A</v>
      </c>
      <c r="AO829" s="857" t="e">
        <f t="shared" si="195"/>
        <v>#N/A</v>
      </c>
      <c r="AP829" s="857" t="e">
        <f t="shared" si="196"/>
        <v>#N/A</v>
      </c>
      <c r="AQ829" s="347">
        <f>IFERROR(MATCH(PDs!M69,AN829:AP829,0),0)</f>
        <v>0</v>
      </c>
      <c r="AR829" s="1158" t="str">
        <f t="shared" si="190"/>
        <v/>
      </c>
      <c r="AS829" s="857">
        <f t="shared" si="197"/>
        <v>0</v>
      </c>
      <c r="AT829" s="857">
        <f t="shared" si="198"/>
        <v>0</v>
      </c>
      <c r="AU829" s="857">
        <f t="shared" si="199"/>
        <v>0</v>
      </c>
      <c r="AV829" s="347">
        <f>IF(AR829="",AQ829,MAX(IFERROR(MATCH(PDs!O69,AS829:AU829,0),0),AQ829))</f>
        <v>0</v>
      </c>
      <c r="AW829" s="1158" t="str">
        <f t="shared" si="191"/>
        <v/>
      </c>
      <c r="AX829" s="857">
        <f t="shared" si="200"/>
        <v>0</v>
      </c>
      <c r="AY829" s="857">
        <f t="shared" si="201"/>
        <v>0</v>
      </c>
      <c r="AZ829" s="857">
        <f t="shared" si="202"/>
        <v>0</v>
      </c>
      <c r="BA829" s="347">
        <f>IF(AW829="",AV829,MAX(IFERROR(MATCH(PDs!Q69,AX829:AZ829,0),0),AV829))</f>
        <v>0</v>
      </c>
      <c r="BB829" s="1158" t="str">
        <f t="shared" si="192"/>
        <v/>
      </c>
      <c r="BC829" s="857">
        <f t="shared" si="203"/>
        <v>0</v>
      </c>
      <c r="BD829" s="857">
        <f t="shared" si="204"/>
        <v>0</v>
      </c>
      <c r="BE829" s="857">
        <f t="shared" si="205"/>
        <v>0</v>
      </c>
      <c r="BF829" s="347">
        <f>IF(BB829="",BA829,MAX(IFERROR(MATCH(PDs!S69,BC829:BE829,0),0),BA829))</f>
        <v>0</v>
      </c>
      <c r="BG829" s="1158" t="str">
        <f t="shared" si="193"/>
        <v/>
      </c>
      <c r="BH829" s="857">
        <f t="shared" si="206"/>
        <v>0</v>
      </c>
      <c r="BI829" s="857">
        <f t="shared" si="207"/>
        <v>0</v>
      </c>
      <c r="BJ829" s="857">
        <f t="shared" si="208"/>
        <v>0</v>
      </c>
      <c r="BK829" s="347">
        <f>IF(BG829="",BF829,MAX(IFERROR(MATCH(PDs!U69,BH829:BJ829,0),0),BF829))</f>
        <v>0</v>
      </c>
      <c r="BL829" s="739">
        <f t="shared" si="209"/>
        <v>0</v>
      </c>
    </row>
    <row r="830" spans="1:64" ht="12.75" customHeight="1" x14ac:dyDescent="0.2">
      <c r="A830" s="242">
        <v>830</v>
      </c>
      <c r="B830" s="5664"/>
      <c r="C830" s="542"/>
      <c r="D830" s="226" t="s">
        <v>889</v>
      </c>
      <c r="E830" s="86">
        <f>20+Bono_Fue</f>
        <v>20</v>
      </c>
      <c r="F830" s="86"/>
      <c r="G830" s="86">
        <v>10</v>
      </c>
      <c r="H830" s="86"/>
      <c r="I830" s="86">
        <v>10</v>
      </c>
      <c r="J830" s="86">
        <v>10</v>
      </c>
      <c r="K830" s="86"/>
      <c r="L830" s="5535" t="s">
        <v>890</v>
      </c>
      <c r="M830" s="5535"/>
      <c r="N830" s="5535"/>
      <c r="O830" s="5535"/>
      <c r="P830" s="5535"/>
      <c r="Q830" s="5535"/>
      <c r="R830" s="5535"/>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0</v>
      </c>
      <c r="AB830" s="857">
        <f>HE_final-PDs!$X$24+MIN(PDs!$X$24+I$906-I830,50)</f>
        <v>5</v>
      </c>
      <c r="AC830" s="1430">
        <f>HP_final-PDs!$X$23+MIN(PDs!$X$23+J$906-J830,50)</f>
        <v>-10</v>
      </c>
      <c r="AE830" s="1429" t="s">
        <v>7379</v>
      </c>
      <c r="AI830" s="1495" t="str">
        <f>IF(PDs!E70="","",PDs!E70)</f>
        <v/>
      </c>
      <c r="AJ830" s="857" t="str">
        <f>IF(PDs!J70="","",PDs!J70)</f>
        <v/>
      </c>
      <c r="AK830" s="857" t="str">
        <f t="shared" si="185"/>
        <v/>
      </c>
      <c r="AL830" s="857" t="str">
        <f t="shared" si="186"/>
        <v/>
      </c>
      <c r="AM830" s="1158" t="str">
        <f t="shared" si="189"/>
        <v/>
      </c>
      <c r="AN830" s="857" t="e">
        <f t="shared" si="194"/>
        <v>#N/A</v>
      </c>
      <c r="AO830" s="857" t="e">
        <f t="shared" si="195"/>
        <v>#N/A</v>
      </c>
      <c r="AP830" s="857" t="e">
        <f t="shared" si="196"/>
        <v>#N/A</v>
      </c>
      <c r="AQ830" s="347">
        <f>IFERROR(MATCH(PDs!M70,AN830:AP830,0),0)</f>
        <v>0</v>
      </c>
      <c r="AR830" s="1158" t="str">
        <f t="shared" si="190"/>
        <v/>
      </c>
      <c r="AS830" s="857">
        <f t="shared" si="197"/>
        <v>0</v>
      </c>
      <c r="AT830" s="857">
        <f t="shared" si="198"/>
        <v>0</v>
      </c>
      <c r="AU830" s="857">
        <f t="shared" si="199"/>
        <v>0</v>
      </c>
      <c r="AV830" s="347">
        <f>IF(AR830="",AQ830,MAX(IFERROR(MATCH(PDs!O70,AS830:AU830,0),0),AQ830))</f>
        <v>0</v>
      </c>
      <c r="AW830" s="1158" t="str">
        <f t="shared" si="191"/>
        <v/>
      </c>
      <c r="AX830" s="857">
        <f t="shared" si="200"/>
        <v>0</v>
      </c>
      <c r="AY830" s="857">
        <f t="shared" si="201"/>
        <v>0</v>
      </c>
      <c r="AZ830" s="857">
        <f t="shared" si="202"/>
        <v>0</v>
      </c>
      <c r="BA830" s="347">
        <f>IF(AW830="",AV830,MAX(IFERROR(MATCH(PDs!Q70,AX830:AZ830,0),0),AV830))</f>
        <v>0</v>
      </c>
      <c r="BB830" s="1158" t="str">
        <f t="shared" si="192"/>
        <v/>
      </c>
      <c r="BC830" s="857">
        <f t="shared" si="203"/>
        <v>0</v>
      </c>
      <c r="BD830" s="857">
        <f t="shared" si="204"/>
        <v>0</v>
      </c>
      <c r="BE830" s="857">
        <f t="shared" si="205"/>
        <v>0</v>
      </c>
      <c r="BF830" s="347">
        <f>IF(BB830="",BA830,MAX(IFERROR(MATCH(PDs!S70,BC830:BE830,0),0),BA830))</f>
        <v>0</v>
      </c>
      <c r="BG830" s="1158" t="str">
        <f t="shared" si="193"/>
        <v/>
      </c>
      <c r="BH830" s="857">
        <f t="shared" si="206"/>
        <v>0</v>
      </c>
      <c r="BI830" s="857">
        <f t="shared" si="207"/>
        <v>0</v>
      </c>
      <c r="BJ830" s="857">
        <f t="shared" si="208"/>
        <v>0</v>
      </c>
      <c r="BK830" s="347">
        <f>IF(BG830="",BF830,MAX(IFERROR(MATCH(PDs!U70,BH830:BJ830,0),0),BF830))</f>
        <v>0</v>
      </c>
      <c r="BL830" s="739">
        <f t="shared" si="209"/>
        <v>0</v>
      </c>
    </row>
    <row r="831" spans="1:64" ht="12.75" customHeight="1" x14ac:dyDescent="0.2">
      <c r="A831" s="242">
        <v>831</v>
      </c>
      <c r="B831" s="5664"/>
      <c r="C831" s="542"/>
      <c r="D831" s="226" t="s">
        <v>891</v>
      </c>
      <c r="E831" s="86">
        <f>30+Bono_Fue</f>
        <v>30</v>
      </c>
      <c r="F831" s="86"/>
      <c r="G831" s="86">
        <v>20</v>
      </c>
      <c r="H831" s="86"/>
      <c r="I831" s="86">
        <v>10</v>
      </c>
      <c r="J831" s="86">
        <v>10</v>
      </c>
      <c r="K831" s="86"/>
      <c r="L831" s="5535" t="s">
        <v>9053</v>
      </c>
      <c r="M831" s="5535"/>
      <c r="N831" s="5535"/>
      <c r="O831" s="5535"/>
      <c r="P831" s="5535"/>
      <c r="Q831" s="5535"/>
      <c r="R831" s="5535"/>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0</v>
      </c>
      <c r="AB831" s="857">
        <f>HE_final-PDs!$X$24+MIN(PDs!$X$24+I$906-I831,50)</f>
        <v>5</v>
      </c>
      <c r="AC831" s="1430">
        <f>HP_final-PDs!$X$23+MIN(PDs!$X$23+J$906-J831,50)</f>
        <v>-10</v>
      </c>
      <c r="AE831" s="1429" t="s">
        <v>7380</v>
      </c>
      <c r="AI831" s="1495" t="str">
        <f>IF(PDs!E71="","",PDs!E71)</f>
        <v/>
      </c>
      <c r="AJ831" s="857" t="str">
        <f>IF(PDs!J71="","",PDs!J71)</f>
        <v/>
      </c>
      <c r="AK831" s="857" t="str">
        <f t="shared" si="185"/>
        <v/>
      </c>
      <c r="AL831" s="857" t="str">
        <f t="shared" si="186"/>
        <v/>
      </c>
      <c r="AM831" s="1158" t="str">
        <f t="shared" si="189"/>
        <v/>
      </c>
      <c r="AN831" s="857" t="e">
        <f t="shared" si="194"/>
        <v>#N/A</v>
      </c>
      <c r="AO831" s="857" t="e">
        <f t="shared" si="195"/>
        <v>#N/A</v>
      </c>
      <c r="AP831" s="857" t="e">
        <f t="shared" si="196"/>
        <v>#N/A</v>
      </c>
      <c r="AQ831" s="347">
        <f>IFERROR(MATCH(PDs!M71,AN831:AP831,0),0)</f>
        <v>0</v>
      </c>
      <c r="AR831" s="1158" t="str">
        <f t="shared" si="190"/>
        <v/>
      </c>
      <c r="AS831" s="857">
        <f t="shared" si="197"/>
        <v>0</v>
      </c>
      <c r="AT831" s="857">
        <f t="shared" si="198"/>
        <v>0</v>
      </c>
      <c r="AU831" s="857">
        <f t="shared" si="199"/>
        <v>0</v>
      </c>
      <c r="AV831" s="347">
        <f>IF(AR831="",AQ831,MAX(IFERROR(MATCH(PDs!O71,AS831:AU831,0),0),AQ831))</f>
        <v>0</v>
      </c>
      <c r="AW831" s="1158" t="str">
        <f t="shared" si="191"/>
        <v/>
      </c>
      <c r="AX831" s="857">
        <f t="shared" si="200"/>
        <v>0</v>
      </c>
      <c r="AY831" s="857">
        <f t="shared" si="201"/>
        <v>0</v>
      </c>
      <c r="AZ831" s="857">
        <f t="shared" si="202"/>
        <v>0</v>
      </c>
      <c r="BA831" s="347">
        <f>IF(AW831="",AV831,MAX(IFERROR(MATCH(PDs!Q71,AX831:AZ831,0),0),AV831))</f>
        <v>0</v>
      </c>
      <c r="BB831" s="1158" t="str">
        <f t="shared" si="192"/>
        <v/>
      </c>
      <c r="BC831" s="857">
        <f t="shared" si="203"/>
        <v>0</v>
      </c>
      <c r="BD831" s="857">
        <f t="shared" si="204"/>
        <v>0</v>
      </c>
      <c r="BE831" s="857">
        <f t="shared" si="205"/>
        <v>0</v>
      </c>
      <c r="BF831" s="347">
        <f>IF(BB831="",BA831,MAX(IFERROR(MATCH(PDs!S71,BC831:BE831,0),0),BA831))</f>
        <v>0</v>
      </c>
      <c r="BG831" s="1158" t="str">
        <f t="shared" si="193"/>
        <v/>
      </c>
      <c r="BH831" s="857">
        <f t="shared" si="206"/>
        <v>0</v>
      </c>
      <c r="BI831" s="857">
        <f t="shared" si="207"/>
        <v>0</v>
      </c>
      <c r="BJ831" s="857">
        <f t="shared" si="208"/>
        <v>0</v>
      </c>
      <c r="BK831" s="347">
        <f>IF(BG831="",BF831,MAX(IFERROR(MATCH(PDs!U71,BH831:BJ831,0),0),BF831))</f>
        <v>0</v>
      </c>
      <c r="BL831" s="739">
        <f t="shared" si="209"/>
        <v>0</v>
      </c>
    </row>
    <row r="832" spans="1:64" ht="12.75" customHeight="1" x14ac:dyDescent="0.2">
      <c r="A832" s="242">
        <v>832</v>
      </c>
      <c r="B832" s="5664"/>
      <c r="C832" s="542"/>
      <c r="D832" s="226" t="s">
        <v>892</v>
      </c>
      <c r="E832" s="86">
        <f>10+Bono_Fue</f>
        <v>10</v>
      </c>
      <c r="F832" s="86"/>
      <c r="G832" s="86">
        <v>0</v>
      </c>
      <c r="H832" s="86"/>
      <c r="I832" s="86"/>
      <c r="J832" s="86"/>
      <c r="K832" s="86"/>
      <c r="L832" s="5535" t="s">
        <v>893</v>
      </c>
      <c r="M832" s="5535"/>
      <c r="N832" s="5535"/>
      <c r="O832" s="5535"/>
      <c r="P832" s="5535"/>
      <c r="Q832" s="5535"/>
      <c r="R832" s="5535"/>
      <c r="S832" s="81">
        <f t="shared" si="188"/>
        <v>50</v>
      </c>
      <c r="T832" s="86"/>
      <c r="U832" s="86"/>
      <c r="V832" s="86"/>
      <c r="W832" s="86"/>
      <c r="X832" s="86">
        <f t="shared" si="184"/>
        <v>0</v>
      </c>
      <c r="Y832" s="86">
        <f>IF(OR(Y833&gt;0,COUNTIF(PDs!$AD$56:$AD$74,Tablas!D832)&gt;0),1,0)</f>
        <v>0</v>
      </c>
      <c r="Z832" s="86" t="s">
        <v>1464</v>
      </c>
      <c r="AA832" s="1158">
        <f>HA_final-PDs!$X$22+MIN(PDs!$X$22+H$906-H832,50)</f>
        <v>0</v>
      </c>
      <c r="AB832" s="857">
        <f>HE_final-PDs!$X$24+MIN(PDs!$X$24+I$906-I832,50)</f>
        <v>15</v>
      </c>
      <c r="AC832" s="1430">
        <f>HP_final-PDs!$X$23+MIN(PDs!$X$23+J$906-J832,50)</f>
        <v>0</v>
      </c>
      <c r="AE832" s="1429" t="s">
        <v>7381</v>
      </c>
      <c r="AI832" s="1495" t="str">
        <f>IF(PDs!E72="","",PDs!E72)</f>
        <v/>
      </c>
      <c r="AJ832" s="857" t="str">
        <f>IF(PDs!J72="","",PDs!J72)</f>
        <v/>
      </c>
      <c r="AK832" s="857" t="str">
        <f t="shared" si="185"/>
        <v/>
      </c>
      <c r="AL832" s="857" t="str">
        <f t="shared" si="186"/>
        <v/>
      </c>
      <c r="AM832" s="1158" t="str">
        <f t="shared" si="189"/>
        <v/>
      </c>
      <c r="AN832" s="857" t="e">
        <f t="shared" si="194"/>
        <v>#N/A</v>
      </c>
      <c r="AO832" s="857" t="e">
        <f t="shared" si="195"/>
        <v>#N/A</v>
      </c>
      <c r="AP832" s="857" t="e">
        <f t="shared" si="196"/>
        <v>#N/A</v>
      </c>
      <c r="AQ832" s="347">
        <f>IFERROR(MATCH(PDs!M72,AN832:AP832,0),0)</f>
        <v>0</v>
      </c>
      <c r="AR832" s="1158" t="str">
        <f t="shared" si="190"/>
        <v/>
      </c>
      <c r="AS832" s="857">
        <f t="shared" si="197"/>
        <v>0</v>
      </c>
      <c r="AT832" s="857">
        <f t="shared" si="198"/>
        <v>0</v>
      </c>
      <c r="AU832" s="857">
        <f t="shared" si="199"/>
        <v>0</v>
      </c>
      <c r="AV832" s="347">
        <f>IF(AR832="",AQ832,MAX(IFERROR(MATCH(PDs!O72,AS832:AU832,0),0),AQ832))</f>
        <v>0</v>
      </c>
      <c r="AW832" s="1158" t="str">
        <f t="shared" si="191"/>
        <v/>
      </c>
      <c r="AX832" s="857">
        <f t="shared" si="200"/>
        <v>0</v>
      </c>
      <c r="AY832" s="857">
        <f t="shared" si="201"/>
        <v>0</v>
      </c>
      <c r="AZ832" s="857">
        <f t="shared" si="202"/>
        <v>0</v>
      </c>
      <c r="BA832" s="347">
        <f>IF(AW832="",AV832,MAX(IFERROR(MATCH(PDs!Q72,AX832:AZ832,0),0),AV832))</f>
        <v>0</v>
      </c>
      <c r="BB832" s="1158" t="str">
        <f t="shared" si="192"/>
        <v/>
      </c>
      <c r="BC832" s="857">
        <f t="shared" si="203"/>
        <v>0</v>
      </c>
      <c r="BD832" s="857">
        <f t="shared" si="204"/>
        <v>0</v>
      </c>
      <c r="BE832" s="857">
        <f t="shared" si="205"/>
        <v>0</v>
      </c>
      <c r="BF832" s="347">
        <f>IF(BB832="",BA832,MAX(IFERROR(MATCH(PDs!S72,BC832:BE832,0),0),BA832))</f>
        <v>0</v>
      </c>
      <c r="BG832" s="1158" t="str">
        <f t="shared" si="193"/>
        <v/>
      </c>
      <c r="BH832" s="857">
        <f t="shared" si="206"/>
        <v>0</v>
      </c>
      <c r="BI832" s="857">
        <f t="shared" si="207"/>
        <v>0</v>
      </c>
      <c r="BJ832" s="857">
        <f t="shared" si="208"/>
        <v>0</v>
      </c>
      <c r="BK832" s="347">
        <f>IF(BG832="",BF832,MAX(IFERROR(MATCH(PDs!U72,BH832:BJ832,0),0),BF832))</f>
        <v>0</v>
      </c>
      <c r="BL832" s="739">
        <f t="shared" si="209"/>
        <v>0</v>
      </c>
    </row>
    <row r="833" spans="1:64" ht="12.75" customHeight="1" x14ac:dyDescent="0.2">
      <c r="A833" s="242">
        <v>833</v>
      </c>
      <c r="B833" s="5664"/>
      <c r="C833" s="542"/>
      <c r="D833" s="226" t="s">
        <v>894</v>
      </c>
      <c r="E833" s="86">
        <f>20+Bono_Fue</f>
        <v>20</v>
      </c>
      <c r="F833" s="86"/>
      <c r="G833" s="86">
        <v>10</v>
      </c>
      <c r="H833" s="86"/>
      <c r="I833" s="86"/>
      <c r="J833" s="86"/>
      <c r="K833" s="86"/>
      <c r="L833" s="5535" t="s">
        <v>895</v>
      </c>
      <c r="M833" s="5535"/>
      <c r="N833" s="5535"/>
      <c r="O833" s="5535"/>
      <c r="P833" s="5535"/>
      <c r="Q833" s="5535"/>
      <c r="R833" s="5535"/>
      <c r="S833" s="81">
        <f t="shared" si="188"/>
        <v>50</v>
      </c>
      <c r="T833" s="86"/>
      <c r="U833" s="86"/>
      <c r="V833" s="86"/>
      <c r="W833" s="86"/>
      <c r="X833" s="86">
        <f t="shared" si="184"/>
        <v>0</v>
      </c>
      <c r="Y833" s="86">
        <f>IF(OR(Y834&gt;0,COUNTIF(PDs!$AD$56:$AD$74,Tablas!D833)&gt;0),1,0)</f>
        <v>0</v>
      </c>
      <c r="Z833" s="32" t="str">
        <f>IF(OR(AA833&lt;120),"NO","-")</f>
        <v>NO</v>
      </c>
      <c r="AA833" s="1158">
        <f>HA_final-PDs!$X$22+MIN(PDs!$X$22+H$906-H833,50)</f>
        <v>0</v>
      </c>
      <c r="AB833" s="857">
        <f>HE_final-PDs!$X$24+MIN(PDs!$X$24+I$906-I833,50)</f>
        <v>15</v>
      </c>
      <c r="AC833" s="1430">
        <f>HP_final-PDs!$X$23+MIN(PDs!$X$23+J$906-J833,50)</f>
        <v>0</v>
      </c>
      <c r="AE833" s="1429" t="s">
        <v>7382</v>
      </c>
      <c r="AI833" s="1495" t="str">
        <f>IF(PDs!E73="","",PDs!E73)</f>
        <v/>
      </c>
      <c r="AJ833" s="857" t="str">
        <f>IF(PDs!J73="","",PDs!J73)</f>
        <v/>
      </c>
      <c r="AK833" s="857" t="str">
        <f t="shared" si="185"/>
        <v/>
      </c>
      <c r="AL833" s="857" t="str">
        <f t="shared" si="186"/>
        <v/>
      </c>
      <c r="AM833" s="1158" t="str">
        <f t="shared" si="189"/>
        <v/>
      </c>
      <c r="AN833" s="857" t="e">
        <f t="shared" si="194"/>
        <v>#N/A</v>
      </c>
      <c r="AO833" s="857" t="e">
        <f t="shared" si="195"/>
        <v>#N/A</v>
      </c>
      <c r="AP833" s="857" t="e">
        <f t="shared" si="196"/>
        <v>#N/A</v>
      </c>
      <c r="AQ833" s="347">
        <f>IFERROR(MATCH(PDs!M73,AN833:AP833,0),0)</f>
        <v>0</v>
      </c>
      <c r="AR833" s="1158" t="str">
        <f t="shared" si="190"/>
        <v/>
      </c>
      <c r="AS833" s="857">
        <f t="shared" si="197"/>
        <v>0</v>
      </c>
      <c r="AT833" s="857">
        <f t="shared" si="198"/>
        <v>0</v>
      </c>
      <c r="AU833" s="857">
        <f t="shared" si="199"/>
        <v>0</v>
      </c>
      <c r="AV833" s="347">
        <f>IF(AR833="",AQ833,MAX(IFERROR(MATCH(PDs!O73,AS833:AU833,0),0),AQ833))</f>
        <v>0</v>
      </c>
      <c r="AW833" s="1158" t="str">
        <f t="shared" si="191"/>
        <v/>
      </c>
      <c r="AX833" s="857">
        <f t="shared" si="200"/>
        <v>0</v>
      </c>
      <c r="AY833" s="857">
        <f t="shared" si="201"/>
        <v>0</v>
      </c>
      <c r="AZ833" s="857">
        <f t="shared" si="202"/>
        <v>0</v>
      </c>
      <c r="BA833" s="347">
        <f>IF(AW833="",AV833,MAX(IFERROR(MATCH(PDs!Q73,AX833:AZ833,0),0),AV833))</f>
        <v>0</v>
      </c>
      <c r="BB833" s="1158" t="str">
        <f t="shared" si="192"/>
        <v/>
      </c>
      <c r="BC833" s="857">
        <f t="shared" si="203"/>
        <v>0</v>
      </c>
      <c r="BD833" s="857">
        <f t="shared" si="204"/>
        <v>0</v>
      </c>
      <c r="BE833" s="857">
        <f t="shared" si="205"/>
        <v>0</v>
      </c>
      <c r="BF833" s="347">
        <f>IF(BB833="",BA833,MAX(IFERROR(MATCH(PDs!S73,BC833:BE833,0),0),BA833))</f>
        <v>0</v>
      </c>
      <c r="BG833" s="1158" t="str">
        <f t="shared" si="193"/>
        <v/>
      </c>
      <c r="BH833" s="857">
        <f t="shared" si="206"/>
        <v>0</v>
      </c>
      <c r="BI833" s="857">
        <f t="shared" si="207"/>
        <v>0</v>
      </c>
      <c r="BJ833" s="857">
        <f t="shared" si="208"/>
        <v>0</v>
      </c>
      <c r="BK833" s="347">
        <f>IF(BG833="",BF833,MAX(IFERROR(MATCH(PDs!U73,BH833:BJ833,0),0),BF833))</f>
        <v>0</v>
      </c>
      <c r="BL833" s="739">
        <f t="shared" si="209"/>
        <v>0</v>
      </c>
    </row>
    <row r="834" spans="1:64" ht="12.75" customHeight="1" thickBot="1" x14ac:dyDescent="0.25">
      <c r="A834" s="242">
        <v>834</v>
      </c>
      <c r="B834" s="5664"/>
      <c r="C834" s="542"/>
      <c r="D834" s="226" t="s">
        <v>896</v>
      </c>
      <c r="E834" s="86">
        <f>20+Bono_Fue</f>
        <v>20</v>
      </c>
      <c r="F834" s="86"/>
      <c r="G834" s="86">
        <v>20</v>
      </c>
      <c r="H834" s="86">
        <v>10</v>
      </c>
      <c r="I834" s="86"/>
      <c r="J834" s="86"/>
      <c r="K834" s="86"/>
      <c r="L834" s="5535" t="s">
        <v>9060</v>
      </c>
      <c r="M834" s="5535"/>
      <c r="N834" s="5535"/>
      <c r="O834" s="5535"/>
      <c r="P834" s="5535"/>
      <c r="Q834" s="5535"/>
      <c r="R834" s="5535"/>
      <c r="S834" s="81">
        <f t="shared" si="188"/>
        <v>81</v>
      </c>
      <c r="T834" s="86"/>
      <c r="U834" s="86"/>
      <c r="V834" s="86"/>
      <c r="W834" s="86"/>
      <c r="X834" s="86">
        <f t="shared" si="184"/>
        <v>0</v>
      </c>
      <c r="Y834" s="86">
        <f>IF(COUNTIF(PDs!$AD$56:$AD$74,Tablas!D834)&gt;0,1,0)</f>
        <v>0</v>
      </c>
      <c r="Z834" s="32" t="str">
        <f>IF(OR(AA834&lt;200),"NO","-")</f>
        <v>NO</v>
      </c>
      <c r="AA834" s="1158">
        <f>HA_final-PDs!$X$22+MIN(PDs!$X$22+H$906-H834,50)</f>
        <v>-10</v>
      </c>
      <c r="AB834" s="857">
        <f>HE_final-PDs!$X$24+MIN(PDs!$X$24+I$906-I834,50)</f>
        <v>15</v>
      </c>
      <c r="AC834" s="1430">
        <f>HP_final-PDs!$X$23+MIN(PDs!$X$23+J$906-J834,50)</f>
        <v>0</v>
      </c>
      <c r="AE834" s="1429" t="s">
        <v>7383</v>
      </c>
      <c r="AI834" s="1496" t="str">
        <f>IF(PDs!E74="","",PDs!E74)</f>
        <v/>
      </c>
      <c r="AJ834" s="1396" t="str">
        <f>IF(PDs!J74="","",PDs!J74)</f>
        <v/>
      </c>
      <c r="AK834" s="1396" t="str">
        <f t="shared" si="185"/>
        <v/>
      </c>
      <c r="AL834" s="1396" t="str">
        <f t="shared" si="186"/>
        <v/>
      </c>
      <c r="AM834" s="1395" t="str">
        <f t="shared" si="189"/>
        <v/>
      </c>
      <c r="AN834" s="1396" t="e">
        <f t="shared" si="194"/>
        <v>#N/A</v>
      </c>
      <c r="AO834" s="1396" t="e">
        <f t="shared" si="195"/>
        <v>#N/A</v>
      </c>
      <c r="AP834" s="1396" t="e">
        <f t="shared" si="196"/>
        <v>#N/A</v>
      </c>
      <c r="AQ834" s="354">
        <f>IFERROR(MATCH(PDs!M74,AN834:AP834,0),0)</f>
        <v>0</v>
      </c>
      <c r="AR834" s="1395" t="str">
        <f t="shared" si="190"/>
        <v/>
      </c>
      <c r="AS834" s="1396">
        <f t="shared" si="197"/>
        <v>0</v>
      </c>
      <c r="AT834" s="1396">
        <f t="shared" si="198"/>
        <v>0</v>
      </c>
      <c r="AU834" s="1396">
        <f t="shared" si="199"/>
        <v>0</v>
      </c>
      <c r="AV834" s="354">
        <f>IF(AR834="",AQ834,MAX(IFERROR(MATCH(PDs!O74,AS834:AU834,0),0),AQ834))</f>
        <v>0</v>
      </c>
      <c r="AW834" s="1395" t="str">
        <f t="shared" si="191"/>
        <v/>
      </c>
      <c r="AX834" s="1396">
        <f t="shared" si="200"/>
        <v>0</v>
      </c>
      <c r="AY834" s="1396">
        <f t="shared" si="201"/>
        <v>0</v>
      </c>
      <c r="AZ834" s="1396">
        <f t="shared" si="202"/>
        <v>0</v>
      </c>
      <c r="BA834" s="354">
        <f>IF(AW834="",AV834,MAX(IFERROR(MATCH(PDs!Q74,AX834:AZ834,0),0),AV834))</f>
        <v>0</v>
      </c>
      <c r="BB834" s="1395" t="str">
        <f t="shared" si="192"/>
        <v/>
      </c>
      <c r="BC834" s="1396">
        <f t="shared" si="203"/>
        <v>0</v>
      </c>
      <c r="BD834" s="1396">
        <f t="shared" si="204"/>
        <v>0</v>
      </c>
      <c r="BE834" s="1396">
        <f t="shared" si="205"/>
        <v>0</v>
      </c>
      <c r="BF834" s="354">
        <f>IF(BB834="",BA834,MAX(IFERROR(MATCH(PDs!S74,BC834:BE834,0),0),BA834))</f>
        <v>0</v>
      </c>
      <c r="BG834" s="1395" t="str">
        <f t="shared" si="193"/>
        <v/>
      </c>
      <c r="BH834" s="1396">
        <f t="shared" si="206"/>
        <v>0</v>
      </c>
      <c r="BI834" s="1396">
        <f t="shared" si="207"/>
        <v>0</v>
      </c>
      <c r="BJ834" s="1396">
        <f t="shared" si="208"/>
        <v>0</v>
      </c>
      <c r="BK834" s="354">
        <f>IF(BG834="",BF834,MAX(IFERROR(MATCH(PDs!U74,BH834:BJ834,0),0),BF834))</f>
        <v>0</v>
      </c>
      <c r="BL834" s="2087">
        <f t="shared" si="209"/>
        <v>0</v>
      </c>
    </row>
    <row r="835" spans="1:64" ht="12.75" customHeight="1" x14ac:dyDescent="0.2">
      <c r="A835" s="242">
        <v>835</v>
      </c>
      <c r="B835" s="5664"/>
      <c r="C835" s="542"/>
      <c r="D835" s="226" t="s">
        <v>897</v>
      </c>
      <c r="E835" s="86">
        <f>10+Bono_Fue</f>
        <v>10</v>
      </c>
      <c r="F835" s="86"/>
      <c r="G835" s="86">
        <v>0</v>
      </c>
      <c r="H835" s="86"/>
      <c r="I835" s="86"/>
      <c r="J835" s="86"/>
      <c r="K835" s="86"/>
      <c r="L835" s="5535" t="s">
        <v>898</v>
      </c>
      <c r="M835" s="5535"/>
      <c r="N835" s="5535"/>
      <c r="O835" s="5535"/>
      <c r="P835" s="5535"/>
      <c r="Q835" s="5535"/>
      <c r="R835" s="5535"/>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0</v>
      </c>
      <c r="AB835" s="857">
        <f>HE_final-PDs!$X$24+MIN(PDs!$X$24+I$906-I835,50)</f>
        <v>15</v>
      </c>
      <c r="AC835" s="1430">
        <f>HP_final-PDs!$X$23+MIN(PDs!$X$23+J$906-J835,50)</f>
        <v>0</v>
      </c>
      <c r="AE835" s="1429" t="s">
        <v>7384</v>
      </c>
    </row>
    <row r="836" spans="1:64" ht="12.75" customHeight="1" x14ac:dyDescent="0.2">
      <c r="A836" s="242">
        <v>836</v>
      </c>
      <c r="B836" s="5664"/>
      <c r="C836" s="542"/>
      <c r="D836" s="226" t="s">
        <v>899</v>
      </c>
      <c r="E836" s="86">
        <f>20+Bono_Fue</f>
        <v>20</v>
      </c>
      <c r="F836" s="86"/>
      <c r="G836" s="86">
        <v>10</v>
      </c>
      <c r="H836" s="86"/>
      <c r="I836" s="86"/>
      <c r="J836" s="86">
        <v>10</v>
      </c>
      <c r="K836" s="86"/>
      <c r="L836" s="5535" t="s">
        <v>9055</v>
      </c>
      <c r="M836" s="5535"/>
      <c r="N836" s="5535"/>
      <c r="O836" s="5535"/>
      <c r="P836" s="5535"/>
      <c r="Q836" s="5535"/>
      <c r="R836" s="5535"/>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0</v>
      </c>
      <c r="AB836" s="857">
        <f>HE_final-PDs!$X$24+MIN(PDs!$X$24+I$906-I836,50)</f>
        <v>15</v>
      </c>
      <c r="AC836" s="1430">
        <f>HP_final-PDs!$X$23+MIN(PDs!$X$23+J$906-J836,50)</f>
        <v>-10</v>
      </c>
      <c r="AE836" s="1429" t="s">
        <v>7385</v>
      </c>
    </row>
    <row r="837" spans="1:64" ht="12.75" customHeight="1" x14ac:dyDescent="0.2">
      <c r="A837" s="242">
        <v>837</v>
      </c>
      <c r="B837" s="5664"/>
      <c r="C837" s="542"/>
      <c r="D837" s="226" t="s">
        <v>900</v>
      </c>
      <c r="E837" s="86">
        <f>20+Bono_Fue</f>
        <v>20</v>
      </c>
      <c r="F837" s="86"/>
      <c r="G837" s="86">
        <v>20</v>
      </c>
      <c r="H837" s="86"/>
      <c r="I837" s="86"/>
      <c r="J837" s="86">
        <v>10</v>
      </c>
      <c r="K837" s="86"/>
      <c r="L837" s="5535" t="s">
        <v>9056</v>
      </c>
      <c r="M837" s="5535"/>
      <c r="N837" s="5535"/>
      <c r="O837" s="5535"/>
      <c r="P837" s="5535"/>
      <c r="Q837" s="5535"/>
      <c r="R837" s="5535"/>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0</v>
      </c>
      <c r="AB837" s="857">
        <f>HE_final-PDs!$X$24+MIN(PDs!$X$24+I$906-I837,50)</f>
        <v>15</v>
      </c>
      <c r="AC837" s="1430">
        <f>HP_final-PDs!$X$23+MIN(PDs!$X$23+J$906-J837,50)</f>
        <v>-10</v>
      </c>
      <c r="AE837" s="1429" t="s">
        <v>7386</v>
      </c>
    </row>
    <row r="838" spans="1:64" ht="12.75" customHeight="1" x14ac:dyDescent="0.2">
      <c r="A838" s="242">
        <v>838</v>
      </c>
      <c r="B838" s="5664"/>
      <c r="C838" s="542"/>
      <c r="D838" s="226" t="s">
        <v>901</v>
      </c>
      <c r="E838" s="86">
        <f>20+Bono_Fue</f>
        <v>20</v>
      </c>
      <c r="F838" s="86"/>
      <c r="G838" s="86">
        <v>0</v>
      </c>
      <c r="H838" s="86"/>
      <c r="I838" s="86"/>
      <c r="J838" s="86"/>
      <c r="K838" s="86"/>
      <c r="L838" s="5535" t="s">
        <v>1464</v>
      </c>
      <c r="M838" s="5535"/>
      <c r="N838" s="5535"/>
      <c r="O838" s="5535"/>
      <c r="P838" s="5535"/>
      <c r="Q838" s="5535"/>
      <c r="R838" s="5535"/>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0</v>
      </c>
      <c r="AB838" s="857">
        <f>HE_final-PDs!$X$24+MIN(PDs!$X$24+I$906-I838,50)</f>
        <v>15</v>
      </c>
      <c r="AC838" s="1430">
        <f>HP_final-PDs!$X$23+MIN(PDs!$X$23+J$906-J838,50)</f>
        <v>0</v>
      </c>
      <c r="AE838" s="1429" t="s">
        <v>7387</v>
      </c>
    </row>
    <row r="839" spans="1:64" ht="12.75" customHeight="1" x14ac:dyDescent="0.2">
      <c r="A839" s="242">
        <v>839</v>
      </c>
      <c r="B839" s="5664"/>
      <c r="C839" s="542"/>
      <c r="D839" s="226" t="s">
        <v>902</v>
      </c>
      <c r="E839" s="86">
        <f>20+Bono_Fue</f>
        <v>20</v>
      </c>
      <c r="F839" s="86"/>
      <c r="G839" s="86">
        <v>10</v>
      </c>
      <c r="H839" s="86"/>
      <c r="I839" s="86"/>
      <c r="J839" s="86"/>
      <c r="K839" s="86"/>
      <c r="L839" s="5535" t="s">
        <v>903</v>
      </c>
      <c r="M839" s="5535"/>
      <c r="N839" s="5535"/>
      <c r="O839" s="5535"/>
      <c r="P839" s="5535"/>
      <c r="Q839" s="5535"/>
      <c r="R839" s="5535"/>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0</v>
      </c>
      <c r="AB839" s="857">
        <f>HE_final-PDs!$X$24+MIN(PDs!$X$24+I$906-I839,50)</f>
        <v>15</v>
      </c>
      <c r="AC839" s="1430">
        <f>HP_final-PDs!$X$23+MIN(PDs!$X$23+J$906-J839,50)</f>
        <v>0</v>
      </c>
      <c r="AE839" s="1429" t="s">
        <v>7388</v>
      </c>
    </row>
    <row r="840" spans="1:64" ht="12.75" customHeight="1" x14ac:dyDescent="0.2">
      <c r="A840" s="242">
        <v>840</v>
      </c>
      <c r="B840" s="5664"/>
      <c r="C840" s="542"/>
      <c r="D840" s="226" t="s">
        <v>904</v>
      </c>
      <c r="E840" s="86">
        <f>20+Bono_Fue</f>
        <v>20</v>
      </c>
      <c r="F840" s="86"/>
      <c r="G840" s="86">
        <v>20</v>
      </c>
      <c r="H840" s="86"/>
      <c r="I840" s="86"/>
      <c r="J840" s="86"/>
      <c r="K840" s="86"/>
      <c r="L840" s="5535" t="s">
        <v>9057</v>
      </c>
      <c r="M840" s="5535"/>
      <c r="N840" s="5535"/>
      <c r="O840" s="5535"/>
      <c r="P840" s="5535"/>
      <c r="Q840" s="5535"/>
      <c r="R840" s="5535"/>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0</v>
      </c>
      <c r="AB840" s="857">
        <f>HE_final-PDs!$X$24+MIN(PDs!$X$24+I$906-I840,50)</f>
        <v>15</v>
      </c>
      <c r="AC840" s="1430">
        <f>HP_final-PDs!$X$23+MIN(PDs!$X$23+J$906-J840,50)</f>
        <v>0</v>
      </c>
      <c r="AE840" s="1434" t="s">
        <v>950</v>
      </c>
    </row>
    <row r="841" spans="1:64" ht="12.75" customHeight="1" x14ac:dyDescent="0.2">
      <c r="A841" s="242">
        <v>841</v>
      </c>
      <c r="B841" s="5664"/>
      <c r="C841" s="542"/>
      <c r="D841" s="226" t="s">
        <v>905</v>
      </c>
      <c r="E841" s="86">
        <f>10+Bono_Fue</f>
        <v>10</v>
      </c>
      <c r="F841" s="86"/>
      <c r="G841" s="86">
        <v>0</v>
      </c>
      <c r="H841" s="86"/>
      <c r="I841" s="86">
        <v>10</v>
      </c>
      <c r="J841" s="86">
        <v>10</v>
      </c>
      <c r="K841" s="86"/>
      <c r="L841" s="5535" t="s">
        <v>1464</v>
      </c>
      <c r="M841" s="5535"/>
      <c r="N841" s="5535"/>
      <c r="O841" s="5535"/>
      <c r="P841" s="5535"/>
      <c r="Q841" s="5535"/>
      <c r="R841" s="5535"/>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0</v>
      </c>
      <c r="AB841" s="857">
        <f>HE_final-PDs!$X$24+MIN(PDs!$X$24+I$906-I841,50)</f>
        <v>5</v>
      </c>
      <c r="AC841" s="1430">
        <f>HP_final-PDs!$X$23+MIN(PDs!$X$23+J$906-J841,50)</f>
        <v>-10</v>
      </c>
      <c r="AE841" s="1429" t="s">
        <v>7389</v>
      </c>
    </row>
    <row r="842" spans="1:64" ht="12.75" customHeight="1" x14ac:dyDescent="0.2">
      <c r="A842" s="242">
        <v>842</v>
      </c>
      <c r="B842" s="5664"/>
      <c r="C842" s="542"/>
      <c r="D842" s="226" t="s">
        <v>906</v>
      </c>
      <c r="E842" s="86">
        <f>20+Bono_Fue</f>
        <v>20</v>
      </c>
      <c r="F842" s="86"/>
      <c r="G842" s="86">
        <v>10</v>
      </c>
      <c r="H842" s="86"/>
      <c r="I842" s="86"/>
      <c r="J842" s="86"/>
      <c r="K842" s="86"/>
      <c r="L842" s="5535" t="s">
        <v>907</v>
      </c>
      <c r="M842" s="5535"/>
      <c r="N842" s="5535"/>
      <c r="O842" s="5535"/>
      <c r="P842" s="5535"/>
      <c r="Q842" s="5535"/>
      <c r="R842" s="5535"/>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0</v>
      </c>
      <c r="AB842" s="857">
        <f>HE_final-PDs!$X$24+MIN(PDs!$X$24+I$906-I842,50)</f>
        <v>15</v>
      </c>
      <c r="AC842" s="1430">
        <f>HP_final-PDs!$X$23+MIN(PDs!$X$23+J$906-J842,50)</f>
        <v>0</v>
      </c>
      <c r="AE842" s="1429" t="s">
        <v>7390</v>
      </c>
    </row>
    <row r="843" spans="1:64" ht="12.75" customHeight="1" x14ac:dyDescent="0.2">
      <c r="A843" s="242">
        <v>843</v>
      </c>
      <c r="B843" s="5664"/>
      <c r="C843" s="542"/>
      <c r="D843" s="226" t="s">
        <v>908</v>
      </c>
      <c r="E843" s="86">
        <f>20+Bono_Fue</f>
        <v>20</v>
      </c>
      <c r="F843" s="86"/>
      <c r="G843" s="86">
        <v>20</v>
      </c>
      <c r="H843" s="86"/>
      <c r="I843" s="86">
        <v>10</v>
      </c>
      <c r="J843" s="86">
        <v>10</v>
      </c>
      <c r="K843" s="86"/>
      <c r="L843" s="5535" t="s">
        <v>9058</v>
      </c>
      <c r="M843" s="5535"/>
      <c r="N843" s="5535"/>
      <c r="O843" s="5535"/>
      <c r="P843" s="5535"/>
      <c r="Q843" s="5535"/>
      <c r="R843" s="5535"/>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0</v>
      </c>
      <c r="AB843" s="857">
        <f>HE_final-PDs!$X$24+MIN(PDs!$X$24+I$906-I843,50)</f>
        <v>5</v>
      </c>
      <c r="AC843" s="1430">
        <f>HP_final-PDs!$X$23+MIN(PDs!$X$23+J$906-J843,50)</f>
        <v>-10</v>
      </c>
      <c r="AE843" s="1429" t="s">
        <v>7391</v>
      </c>
    </row>
    <row r="844" spans="1:64" ht="12.75" customHeight="1" x14ac:dyDescent="0.2">
      <c r="A844" s="242">
        <v>844</v>
      </c>
      <c r="B844" s="5664"/>
      <c r="C844" s="542"/>
      <c r="D844" s="226" t="s">
        <v>909</v>
      </c>
      <c r="E844" s="86">
        <f>20+Bono_Fue</f>
        <v>20</v>
      </c>
      <c r="F844" s="86"/>
      <c r="G844" s="86">
        <v>0</v>
      </c>
      <c r="H844" s="86"/>
      <c r="I844" s="86"/>
      <c r="J844" s="86"/>
      <c r="K844" s="86"/>
      <c r="L844" s="5535" t="s">
        <v>910</v>
      </c>
      <c r="M844" s="5535"/>
      <c r="N844" s="5535"/>
      <c r="O844" s="5535"/>
      <c r="P844" s="5535"/>
      <c r="Q844" s="5535"/>
      <c r="R844" s="5535"/>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0</v>
      </c>
      <c r="AB844" s="857">
        <f>HE_final-PDs!$X$24+MIN(PDs!$X$24+I$906-I844,50)</f>
        <v>15</v>
      </c>
      <c r="AC844" s="1430">
        <f>HP_final-PDs!$X$23+MIN(PDs!$X$23+J$906-J844,50)</f>
        <v>0</v>
      </c>
      <c r="AE844" s="1429" t="s">
        <v>7392</v>
      </c>
    </row>
    <row r="845" spans="1:64" ht="12.75" customHeight="1" x14ac:dyDescent="0.2">
      <c r="A845" s="242">
        <v>845</v>
      </c>
      <c r="B845" s="5664"/>
      <c r="C845" s="542"/>
      <c r="D845" s="226" t="s">
        <v>911</v>
      </c>
      <c r="E845" s="86">
        <f>30+Bono_Fue</f>
        <v>30</v>
      </c>
      <c r="F845" s="86"/>
      <c r="G845" s="86">
        <v>10</v>
      </c>
      <c r="H845" s="86"/>
      <c r="I845" s="86"/>
      <c r="J845" s="86">
        <v>10</v>
      </c>
      <c r="K845" s="86"/>
      <c r="L845" s="5535" t="s">
        <v>912</v>
      </c>
      <c r="M845" s="5535"/>
      <c r="N845" s="5535"/>
      <c r="O845" s="5535"/>
      <c r="P845" s="5535"/>
      <c r="Q845" s="5535"/>
      <c r="R845" s="5535"/>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0</v>
      </c>
      <c r="AB845" s="857">
        <f>HE_final-PDs!$X$24+MIN(PDs!$X$24+I$906-I845,50)</f>
        <v>15</v>
      </c>
      <c r="AC845" s="1430">
        <f>HP_final-PDs!$X$23+MIN(PDs!$X$23+J$906-J845,50)</f>
        <v>-10</v>
      </c>
      <c r="AE845" s="1429" t="s">
        <v>7393</v>
      </c>
    </row>
    <row r="846" spans="1:64" ht="12.75" customHeight="1" x14ac:dyDescent="0.2">
      <c r="A846" s="242">
        <v>846</v>
      </c>
      <c r="B846" s="5664"/>
      <c r="C846" s="542"/>
      <c r="D846" s="226" t="s">
        <v>913</v>
      </c>
      <c r="E846" s="86">
        <f>40+Bono_Fue</f>
        <v>40</v>
      </c>
      <c r="F846" s="86"/>
      <c r="G846" s="86">
        <v>20</v>
      </c>
      <c r="H846" s="86"/>
      <c r="I846" s="86"/>
      <c r="J846" s="86">
        <v>20</v>
      </c>
      <c r="K846" s="86"/>
      <c r="L846" s="5535" t="s">
        <v>914</v>
      </c>
      <c r="M846" s="5535"/>
      <c r="N846" s="5535"/>
      <c r="O846" s="5535"/>
      <c r="P846" s="5535"/>
      <c r="Q846" s="5535"/>
      <c r="R846" s="5535"/>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0</v>
      </c>
      <c r="AB846" s="857">
        <f>HE_final-PDs!$X$24+MIN(PDs!$X$24+I$906-I846,50)</f>
        <v>15</v>
      </c>
      <c r="AC846" s="1430">
        <f>HP_final-PDs!$X$23+MIN(PDs!$X$23+J$906-J846,50)</f>
        <v>-20</v>
      </c>
      <c r="AE846" s="1429" t="s">
        <v>7394</v>
      </c>
    </row>
    <row r="847" spans="1:64" ht="12.75" customHeight="1" x14ac:dyDescent="0.2">
      <c r="A847" s="242">
        <v>847</v>
      </c>
      <c r="B847" s="5664"/>
      <c r="C847" s="542"/>
      <c r="D847" s="226" t="s">
        <v>915</v>
      </c>
      <c r="E847" s="86">
        <f>20+2*Bono_Fue</f>
        <v>20</v>
      </c>
      <c r="F847" s="86"/>
      <c r="G847" s="86">
        <v>0</v>
      </c>
      <c r="H847" s="86"/>
      <c r="I847" s="86"/>
      <c r="J847" s="86"/>
      <c r="K847" s="86"/>
      <c r="L847" s="5535" t="s">
        <v>1464</v>
      </c>
      <c r="M847" s="5535"/>
      <c r="N847" s="5535"/>
      <c r="O847" s="5535"/>
      <c r="P847" s="5535"/>
      <c r="Q847" s="5535"/>
      <c r="R847" s="5535"/>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0</v>
      </c>
      <c r="AB847" s="857">
        <f>HE_final-PDs!$X$24+MIN(PDs!$X$24+I$906-I847,50)</f>
        <v>15</v>
      </c>
      <c r="AC847" s="1430">
        <f>HP_final-PDs!$X$23+MIN(PDs!$X$23+J$906-J847,50)</f>
        <v>0</v>
      </c>
      <c r="AE847" s="1429" t="s">
        <v>7395</v>
      </c>
    </row>
    <row r="848" spans="1:64" ht="12.75" customHeight="1" x14ac:dyDescent="0.2">
      <c r="A848" s="242">
        <v>848</v>
      </c>
      <c r="B848" s="5664"/>
      <c r="C848" s="542"/>
      <c r="D848" s="226" t="s">
        <v>916</v>
      </c>
      <c r="E848" s="86">
        <f>20+3*Bono_Fue</f>
        <v>20</v>
      </c>
      <c r="F848" s="86"/>
      <c r="G848" s="86">
        <v>10</v>
      </c>
      <c r="H848" s="86"/>
      <c r="I848" s="86"/>
      <c r="J848" s="86"/>
      <c r="K848" s="86"/>
      <c r="L848" s="5535" t="s">
        <v>1464</v>
      </c>
      <c r="M848" s="5535"/>
      <c r="N848" s="5535"/>
      <c r="O848" s="5535"/>
      <c r="P848" s="5535"/>
      <c r="Q848" s="5535"/>
      <c r="R848" s="5535"/>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0</v>
      </c>
      <c r="AB848" s="857">
        <f>HE_final-PDs!$X$24+MIN(PDs!$X$24+I$906-I848,50)</f>
        <v>15</v>
      </c>
      <c r="AC848" s="1430">
        <f>HP_final-PDs!$X$23+MIN(PDs!$X$23+J$906-J848,50)</f>
        <v>0</v>
      </c>
      <c r="AE848" s="1429" t="s">
        <v>7396</v>
      </c>
    </row>
    <row r="849" spans="1:31" ht="12.75" customHeight="1" x14ac:dyDescent="0.2">
      <c r="A849" s="242">
        <v>849</v>
      </c>
      <c r="B849" s="5664"/>
      <c r="C849" s="542"/>
      <c r="D849" s="226" t="s">
        <v>917</v>
      </c>
      <c r="E849" s="86">
        <f>20+4*Bono_Fue</f>
        <v>20</v>
      </c>
      <c r="F849" s="86"/>
      <c r="G849" s="86">
        <v>20</v>
      </c>
      <c r="H849" s="86"/>
      <c r="I849" s="86"/>
      <c r="J849" s="86"/>
      <c r="K849" s="86"/>
      <c r="L849" s="5535" t="s">
        <v>918</v>
      </c>
      <c r="M849" s="5535"/>
      <c r="N849" s="5535"/>
      <c r="O849" s="5535"/>
      <c r="P849" s="5535"/>
      <c r="Q849" s="5535"/>
      <c r="R849" s="5535"/>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0</v>
      </c>
      <c r="AB849" s="857">
        <f>HE_final-PDs!$X$24+MIN(PDs!$X$24+I$906-I849,50)</f>
        <v>15</v>
      </c>
      <c r="AC849" s="1430">
        <f>HP_final-PDs!$X$23+MIN(PDs!$X$23+J$906-J849,50)</f>
        <v>0</v>
      </c>
      <c r="AE849" s="1429" t="s">
        <v>7397</v>
      </c>
    </row>
    <row r="850" spans="1:31" ht="12.75" customHeight="1" x14ac:dyDescent="0.2">
      <c r="A850" s="242">
        <v>850</v>
      </c>
      <c r="B850" s="5664"/>
      <c r="C850" s="542"/>
      <c r="D850" s="226" t="s">
        <v>919</v>
      </c>
      <c r="E850" s="86">
        <f>20+Bono_Fue</f>
        <v>20</v>
      </c>
      <c r="F850" s="86"/>
      <c r="G850" s="86">
        <v>0</v>
      </c>
      <c r="H850" s="86"/>
      <c r="I850" s="86"/>
      <c r="J850" s="86"/>
      <c r="K850" s="86"/>
      <c r="L850" s="5535" t="s">
        <v>920</v>
      </c>
      <c r="M850" s="5535"/>
      <c r="N850" s="5535"/>
      <c r="O850" s="5535"/>
      <c r="P850" s="5535"/>
      <c r="Q850" s="5535"/>
      <c r="R850" s="5535"/>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0</v>
      </c>
      <c r="AB850" s="857">
        <f>HE_final-PDs!$X$24+MIN(PDs!$X$24+I$906-I850,50)</f>
        <v>15</v>
      </c>
      <c r="AC850" s="1430">
        <f>HP_final-PDs!$X$23+MIN(PDs!$X$23+J$906-J850,50)</f>
        <v>0</v>
      </c>
      <c r="AE850" s="1429" t="s">
        <v>7398</v>
      </c>
    </row>
    <row r="851" spans="1:31" ht="12.75" customHeight="1" x14ac:dyDescent="0.2">
      <c r="A851" s="242">
        <v>851</v>
      </c>
      <c r="B851" s="5664"/>
      <c r="C851" s="542"/>
      <c r="D851" s="226" t="s">
        <v>921</v>
      </c>
      <c r="E851" s="86">
        <f>20+Bono_Fue</f>
        <v>20</v>
      </c>
      <c r="F851" s="86"/>
      <c r="G851" s="86">
        <v>10</v>
      </c>
      <c r="H851" s="86"/>
      <c r="I851" s="86"/>
      <c r="J851" s="86"/>
      <c r="K851" s="86"/>
      <c r="L851" s="5535" t="s">
        <v>9059</v>
      </c>
      <c r="M851" s="5535"/>
      <c r="N851" s="5535"/>
      <c r="O851" s="5535"/>
      <c r="P851" s="5535"/>
      <c r="Q851" s="5535"/>
      <c r="R851" s="5535"/>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0</v>
      </c>
      <c r="AB851" s="857">
        <f>HE_final-PDs!$X$24+MIN(PDs!$X$24+I$906-I851,50)</f>
        <v>15</v>
      </c>
      <c r="AC851" s="1430">
        <f>HP_final-PDs!$X$23+MIN(PDs!$X$23+J$906-J851,50)</f>
        <v>0</v>
      </c>
      <c r="AE851" s="1429" t="s">
        <v>7399</v>
      </c>
    </row>
    <row r="852" spans="1:31" ht="12.75" customHeight="1" x14ac:dyDescent="0.2">
      <c r="A852" s="242">
        <v>852</v>
      </c>
      <c r="B852" s="5664"/>
      <c r="C852" s="542"/>
      <c r="D852" s="226" t="s">
        <v>922</v>
      </c>
      <c r="E852" s="86">
        <f>20+Bono_Fue</f>
        <v>20</v>
      </c>
      <c r="F852" s="86"/>
      <c r="G852" s="86">
        <v>20</v>
      </c>
      <c r="H852" s="86"/>
      <c r="I852" s="86">
        <v>10</v>
      </c>
      <c r="J852" s="86">
        <v>10</v>
      </c>
      <c r="K852" s="86"/>
      <c r="L852" s="5535" t="s">
        <v>9061</v>
      </c>
      <c r="M852" s="5535"/>
      <c r="N852" s="5535"/>
      <c r="O852" s="5535"/>
      <c r="P852" s="5535"/>
      <c r="Q852" s="5535"/>
      <c r="R852" s="5535"/>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0</v>
      </c>
      <c r="AB852" s="857">
        <f>HE_final-PDs!$X$24+MIN(PDs!$X$24+I$906-I852,50)</f>
        <v>5</v>
      </c>
      <c r="AC852" s="1430">
        <f>HP_final-PDs!$X$23+MIN(PDs!$X$23+J$906-J852,50)</f>
        <v>-10</v>
      </c>
      <c r="AE852" s="1429" t="s">
        <v>7400</v>
      </c>
    </row>
    <row r="853" spans="1:31" ht="12.75" customHeight="1" x14ac:dyDescent="0.2">
      <c r="A853" s="242">
        <v>853</v>
      </c>
      <c r="B853" s="5664"/>
      <c r="C853" s="542"/>
      <c r="D853" s="226" t="s">
        <v>923</v>
      </c>
      <c r="E853" s="86">
        <f>10+Bono_Fue</f>
        <v>10</v>
      </c>
      <c r="F853" s="86"/>
      <c r="G853" s="86">
        <v>0</v>
      </c>
      <c r="H853" s="86"/>
      <c r="I853" s="86"/>
      <c r="J853" s="86"/>
      <c r="K853" s="86"/>
      <c r="L853" s="5535" t="s">
        <v>924</v>
      </c>
      <c r="M853" s="5535"/>
      <c r="N853" s="5535"/>
      <c r="O853" s="5535"/>
      <c r="P853" s="5535"/>
      <c r="Q853" s="5535"/>
      <c r="R853" s="5535"/>
      <c r="S853" s="81">
        <f t="shared" si="188"/>
        <v>40</v>
      </c>
      <c r="T853" s="86"/>
      <c r="U853" s="86"/>
      <c r="V853" s="86"/>
      <c r="W853" s="86"/>
      <c r="X853" s="86">
        <f t="shared" si="210"/>
        <v>0</v>
      </c>
      <c r="Y853" s="86">
        <f>IF(OR(Y854&gt;0,COUNTIF(PDs!$AD$56:$AD$74,Tablas!D853)&gt;0),1,0)</f>
        <v>0</v>
      </c>
      <c r="Z853" s="32" t="s">
        <v>1464</v>
      </c>
      <c r="AA853" s="1158">
        <f>HA_final-PDs!$X$22+MIN(PDs!$X$22+H$906-H853,50)</f>
        <v>0</v>
      </c>
      <c r="AB853" s="857">
        <f>HE_final-PDs!$X$24+MIN(PDs!$X$24+I$906-I853,50)</f>
        <v>15</v>
      </c>
      <c r="AC853" s="1430">
        <f>HP_final-PDs!$X$23+MIN(PDs!$X$23+J$906-J853,50)</f>
        <v>0</v>
      </c>
      <c r="AE853" s="1429" t="s">
        <v>7401</v>
      </c>
    </row>
    <row r="854" spans="1:31" ht="12.75" customHeight="1" x14ac:dyDescent="0.2">
      <c r="A854" s="242">
        <v>854</v>
      </c>
      <c r="B854" s="5664"/>
      <c r="C854" s="542"/>
      <c r="D854" s="226" t="s">
        <v>925</v>
      </c>
      <c r="E854" s="86">
        <f>20+Bono_Fue</f>
        <v>20</v>
      </c>
      <c r="F854" s="86"/>
      <c r="G854" s="86">
        <v>10</v>
      </c>
      <c r="H854" s="86"/>
      <c r="I854" s="86"/>
      <c r="J854" s="86">
        <v>10</v>
      </c>
      <c r="K854" s="86"/>
      <c r="L854" s="5535" t="s">
        <v>9063</v>
      </c>
      <c r="M854" s="5535"/>
      <c r="N854" s="5535"/>
      <c r="O854" s="5535"/>
      <c r="P854" s="5535"/>
      <c r="Q854" s="5535"/>
      <c r="R854" s="5535"/>
      <c r="S854" s="81">
        <f t="shared" si="188"/>
        <v>63</v>
      </c>
      <c r="T854" s="86"/>
      <c r="U854" s="86"/>
      <c r="V854" s="86"/>
      <c r="W854" s="86"/>
      <c r="X854" s="86">
        <f t="shared" si="210"/>
        <v>0</v>
      </c>
      <c r="Y854" s="86">
        <f>IF(OR(Y855&gt;0,COUNTIF(PDs!$AD$56:$AD$74,Tablas!D854)&gt;0),1,0)</f>
        <v>0</v>
      </c>
      <c r="Z854" s="32" t="str">
        <f>IF(OR(AA854&lt;130),"NO","-")</f>
        <v>NO</v>
      </c>
      <c r="AA854" s="1158">
        <f>HA_final-PDs!$X$22+MIN(PDs!$X$22+H$906-H854,50)</f>
        <v>0</v>
      </c>
      <c r="AB854" s="857">
        <f>HE_final-PDs!$X$24+MIN(PDs!$X$24+I$906-I854,50)</f>
        <v>15</v>
      </c>
      <c r="AC854" s="1430">
        <f>HP_final-PDs!$X$23+MIN(PDs!$X$23+J$906-J854,50)</f>
        <v>-10</v>
      </c>
      <c r="AE854" s="1429" t="s">
        <v>7402</v>
      </c>
    </row>
    <row r="855" spans="1:31" ht="12.75" customHeight="1" x14ac:dyDescent="0.2">
      <c r="A855" s="242">
        <v>855</v>
      </c>
      <c r="B855" s="5664"/>
      <c r="C855" s="542"/>
      <c r="D855" s="226" t="s">
        <v>926</v>
      </c>
      <c r="E855" s="86">
        <f>30+Bono_Fue</f>
        <v>30</v>
      </c>
      <c r="F855" s="86"/>
      <c r="G855" s="86">
        <v>20</v>
      </c>
      <c r="H855" s="86"/>
      <c r="I855" s="86"/>
      <c r="J855" s="86">
        <v>10</v>
      </c>
      <c r="K855" s="86"/>
      <c r="L855" s="5535" t="s">
        <v>9062</v>
      </c>
      <c r="M855" s="5535"/>
      <c r="N855" s="5535"/>
      <c r="O855" s="5535"/>
      <c r="P855" s="5535"/>
      <c r="Q855" s="5535"/>
      <c r="R855" s="5535"/>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0</v>
      </c>
      <c r="AB855" s="857">
        <f>HE_final-PDs!$X$24+MIN(PDs!$X$24+I$906-I855,50)</f>
        <v>15</v>
      </c>
      <c r="AC855" s="1430">
        <f>HP_final-PDs!$X$23+MIN(PDs!$X$23+J$906-J855,50)</f>
        <v>-10</v>
      </c>
      <c r="AE855" s="1429" t="s">
        <v>7403</v>
      </c>
    </row>
    <row r="856" spans="1:31" ht="12.75" customHeight="1" x14ac:dyDescent="0.2">
      <c r="A856" s="242">
        <v>856</v>
      </c>
      <c r="B856" s="5664"/>
      <c r="C856" s="542"/>
      <c r="D856" s="226" t="s">
        <v>927</v>
      </c>
      <c r="E856" s="86">
        <f>20+Bono_Fue</f>
        <v>20</v>
      </c>
      <c r="F856" s="86"/>
      <c r="G856" s="86">
        <v>0</v>
      </c>
      <c r="H856" s="86">
        <v>5</v>
      </c>
      <c r="I856" s="86"/>
      <c r="J856" s="86"/>
      <c r="K856" s="86"/>
      <c r="L856" s="5535" t="s">
        <v>1464</v>
      </c>
      <c r="M856" s="5535"/>
      <c r="N856" s="5535"/>
      <c r="O856" s="5535"/>
      <c r="P856" s="5535"/>
      <c r="Q856" s="5535"/>
      <c r="R856" s="5535"/>
      <c r="S856" s="81">
        <f t="shared" si="188"/>
        <v>1</v>
      </c>
      <c r="T856" s="86"/>
      <c r="U856" s="86"/>
      <c r="V856" s="86"/>
      <c r="W856" s="86"/>
      <c r="X856" s="86">
        <f t="shared" si="210"/>
        <v>0</v>
      </c>
      <c r="Y856" s="86">
        <f>IF(OR(Y857&gt;0,COUNTIF(PDs!$AD$56:$AD$74,Tablas!D856)&gt;0),1,0)</f>
        <v>0</v>
      </c>
      <c r="Z856" s="32" t="s">
        <v>1464</v>
      </c>
      <c r="AA856" s="1158">
        <f>HA_final-PDs!$X$22+MIN(PDs!$X$22+H$906-H856,50)</f>
        <v>-5</v>
      </c>
      <c r="AB856" s="857">
        <f>HE_final-PDs!$X$24+MIN(PDs!$X$24+I$906-I856,50)</f>
        <v>15</v>
      </c>
      <c r="AC856" s="1430">
        <f>HP_final-PDs!$X$23+MIN(PDs!$X$23+J$906-J856,50)</f>
        <v>0</v>
      </c>
      <c r="AE856" s="1429" t="s">
        <v>7404</v>
      </c>
    </row>
    <row r="857" spans="1:31" ht="12.75" customHeight="1" thickBot="1" x14ac:dyDescent="0.25">
      <c r="A857" s="242">
        <v>857</v>
      </c>
      <c r="B857" s="5664"/>
      <c r="C857" s="542"/>
      <c r="D857" s="226" t="s">
        <v>928</v>
      </c>
      <c r="E857" s="86">
        <f>30+Bono_Fue</f>
        <v>30</v>
      </c>
      <c r="F857" s="86"/>
      <c r="G857" s="86">
        <v>10</v>
      </c>
      <c r="H857" s="86">
        <v>5</v>
      </c>
      <c r="I857" s="86"/>
      <c r="J857" s="86"/>
      <c r="K857" s="86"/>
      <c r="L857" s="5535" t="s">
        <v>1464</v>
      </c>
      <c r="M857" s="5535"/>
      <c r="N857" s="5535"/>
      <c r="O857" s="5535"/>
      <c r="P857" s="5535"/>
      <c r="Q857" s="5535"/>
      <c r="R857" s="5535"/>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-5</v>
      </c>
      <c r="AB857" s="857">
        <f>HE_final-PDs!$X$24+MIN(PDs!$X$24+I$906-I857,50)</f>
        <v>15</v>
      </c>
      <c r="AC857" s="1430">
        <f>HP_final-PDs!$X$23+MIN(PDs!$X$23+J$906-J857,50)</f>
        <v>0</v>
      </c>
      <c r="AE857" s="1431" t="s">
        <v>7405</v>
      </c>
    </row>
    <row r="858" spans="1:31" ht="12.75" customHeight="1" x14ac:dyDescent="0.2">
      <c r="A858" s="242">
        <v>858</v>
      </c>
      <c r="B858" s="5664"/>
      <c r="C858" s="542"/>
      <c r="D858" s="226" t="s">
        <v>929</v>
      </c>
      <c r="E858" s="86">
        <f>50+Bono_Fue</f>
        <v>50</v>
      </c>
      <c r="F858" s="86"/>
      <c r="G858" s="86">
        <v>20</v>
      </c>
      <c r="H858" s="86">
        <v>10</v>
      </c>
      <c r="I858" s="86"/>
      <c r="J858" s="86"/>
      <c r="K858" s="86"/>
      <c r="L858" s="5535" t="s">
        <v>1464</v>
      </c>
      <c r="M858" s="5535"/>
      <c r="N858" s="5535"/>
      <c r="O858" s="5535"/>
      <c r="P858" s="5535"/>
      <c r="Q858" s="5535"/>
      <c r="R858" s="5535"/>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-10</v>
      </c>
      <c r="AB858" s="857">
        <f>HE_final-PDs!$X$24+MIN(PDs!$X$24+I$906-I858,50)</f>
        <v>15</v>
      </c>
      <c r="AC858" s="1430">
        <f>HP_final-PDs!$X$23+MIN(PDs!$X$23+J$906-J858,50)</f>
        <v>0</v>
      </c>
    </row>
    <row r="859" spans="1:31" ht="12.75" customHeight="1" x14ac:dyDescent="0.2">
      <c r="A859" s="242">
        <v>859</v>
      </c>
      <c r="B859" s="5664"/>
      <c r="C859" s="542"/>
      <c r="D859" s="226" t="s">
        <v>930</v>
      </c>
      <c r="E859" s="86">
        <f>10+Bono_Fue</f>
        <v>10</v>
      </c>
      <c r="F859" s="86"/>
      <c r="G859" s="86">
        <v>0</v>
      </c>
      <c r="H859" s="86"/>
      <c r="I859" s="86"/>
      <c r="J859" s="86"/>
      <c r="K859" s="86"/>
      <c r="L859" s="5535" t="s">
        <v>931</v>
      </c>
      <c r="M859" s="5535"/>
      <c r="N859" s="5535"/>
      <c r="O859" s="5535"/>
      <c r="P859" s="5535"/>
      <c r="Q859" s="5535"/>
      <c r="R859" s="5535"/>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0</v>
      </c>
      <c r="AB859" s="857">
        <f>HE_final-PDs!$X$24+MIN(PDs!$X$24+I$906-I859,50)</f>
        <v>15</v>
      </c>
      <c r="AC859" s="1430">
        <f>HP_final-PDs!$X$23+MIN(PDs!$X$23+J$906-J859,50)</f>
        <v>0</v>
      </c>
    </row>
    <row r="860" spans="1:31" ht="12.75" customHeight="1" x14ac:dyDescent="0.2">
      <c r="A860" s="242">
        <v>860</v>
      </c>
      <c r="B860" s="5664"/>
      <c r="C860" s="542"/>
      <c r="D860" s="226" t="s">
        <v>932</v>
      </c>
      <c r="E860" s="86">
        <f>20+Bono_Fue</f>
        <v>20</v>
      </c>
      <c r="F860" s="86"/>
      <c r="G860" s="86">
        <v>10</v>
      </c>
      <c r="H860" s="86"/>
      <c r="I860" s="86">
        <v>10</v>
      </c>
      <c r="J860" s="86">
        <v>10</v>
      </c>
      <c r="K860" s="86"/>
      <c r="L860" s="5535" t="s">
        <v>933</v>
      </c>
      <c r="M860" s="5535"/>
      <c r="N860" s="5535"/>
      <c r="O860" s="5535"/>
      <c r="P860" s="5535"/>
      <c r="Q860" s="5535"/>
      <c r="R860" s="5535"/>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0</v>
      </c>
      <c r="AB860" s="857">
        <f>HE_final-PDs!$X$24+MIN(PDs!$X$24+I$906-I860,50)</f>
        <v>5</v>
      </c>
      <c r="AC860" s="1430">
        <f>HP_final-PDs!$X$23+MIN(PDs!$X$23+J$906-J860,50)</f>
        <v>-10</v>
      </c>
    </row>
    <row r="861" spans="1:31" ht="12.75" customHeight="1" x14ac:dyDescent="0.2">
      <c r="A861" s="242">
        <v>861</v>
      </c>
      <c r="B861" s="5664"/>
      <c r="C861" s="542"/>
      <c r="D861" s="226" t="s">
        <v>934</v>
      </c>
      <c r="E861" s="86">
        <f>30+Bono_Fue</f>
        <v>30</v>
      </c>
      <c r="F861" s="86"/>
      <c r="G861" s="86">
        <v>20</v>
      </c>
      <c r="H861" s="86"/>
      <c r="I861" s="86">
        <v>10</v>
      </c>
      <c r="J861" s="86">
        <v>10</v>
      </c>
      <c r="K861" s="86"/>
      <c r="L861" s="5535" t="s">
        <v>9064</v>
      </c>
      <c r="M861" s="5535"/>
      <c r="N861" s="5535"/>
      <c r="O861" s="5535"/>
      <c r="P861" s="5535"/>
      <c r="Q861" s="5535"/>
      <c r="R861" s="5535"/>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0</v>
      </c>
      <c r="AB861" s="857">
        <f>HE_final-PDs!$X$24+MIN(PDs!$X$24+I$906-I861,50)</f>
        <v>5</v>
      </c>
      <c r="AC861" s="1430">
        <f>HP_final-PDs!$X$23+MIN(PDs!$X$23+J$906-J861,50)</f>
        <v>-10</v>
      </c>
    </row>
    <row r="862" spans="1:31" ht="12.75" customHeight="1" x14ac:dyDescent="0.2">
      <c r="A862" s="242">
        <v>862</v>
      </c>
      <c r="B862" s="5664"/>
      <c r="C862" s="542"/>
      <c r="D862" s="226" t="s">
        <v>935</v>
      </c>
      <c r="E862" s="86">
        <f>10+Bono_Fue</f>
        <v>10</v>
      </c>
      <c r="F862" s="86"/>
      <c r="G862" s="86">
        <v>0</v>
      </c>
      <c r="H862" s="86"/>
      <c r="I862" s="86"/>
      <c r="J862" s="86"/>
      <c r="K862" s="86"/>
      <c r="L862" s="5535" t="s">
        <v>936</v>
      </c>
      <c r="M862" s="5535"/>
      <c r="N862" s="5535"/>
      <c r="O862" s="5535"/>
      <c r="P862" s="5535"/>
      <c r="Q862" s="5535"/>
      <c r="R862" s="5535"/>
      <c r="S862" s="81">
        <f t="shared" si="188"/>
        <v>54</v>
      </c>
      <c r="T862" s="86"/>
      <c r="U862" s="86"/>
      <c r="V862" s="86"/>
      <c r="W862" s="86"/>
      <c r="X862" s="86">
        <f t="shared" si="210"/>
        <v>0</v>
      </c>
      <c r="Y862" s="86">
        <f>IF(OR(Y863&gt;0,COUNTIF(PDs!$AD$56:$AD$74,Tablas!D862)&gt;0),1,0)</f>
        <v>0</v>
      </c>
      <c r="Z862" s="86" t="s">
        <v>1464</v>
      </c>
      <c r="AA862" s="1158">
        <f>HA_final-PDs!$X$22+MIN(PDs!$X$22+H$906-H862,50)</f>
        <v>0</v>
      </c>
      <c r="AB862" s="857">
        <f>HE_final-PDs!$X$24+MIN(PDs!$X$24+I$906-I862,50)</f>
        <v>15</v>
      </c>
      <c r="AC862" s="1430">
        <f>HP_final-PDs!$X$23+MIN(PDs!$X$23+J$906-J862,50)</f>
        <v>0</v>
      </c>
    </row>
    <row r="863" spans="1:31" ht="12.75" customHeight="1" x14ac:dyDescent="0.2">
      <c r="A863" s="242">
        <v>863</v>
      </c>
      <c r="B863" s="5664"/>
      <c r="C863" s="542"/>
      <c r="D863" s="226" t="s">
        <v>937</v>
      </c>
      <c r="E863" s="86">
        <f>20+Bono_Fue</f>
        <v>20</v>
      </c>
      <c r="F863" s="86"/>
      <c r="G863" s="86">
        <v>10</v>
      </c>
      <c r="H863" s="86"/>
      <c r="I863" s="86"/>
      <c r="J863" s="86"/>
      <c r="K863" s="86"/>
      <c r="L863" s="5535" t="s">
        <v>938</v>
      </c>
      <c r="M863" s="5535"/>
      <c r="N863" s="5535"/>
      <c r="O863" s="5535"/>
      <c r="P863" s="5535"/>
      <c r="Q863" s="5535"/>
      <c r="R863" s="5535"/>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0</v>
      </c>
      <c r="AB863" s="857">
        <f>HE_final-PDs!$X$24+MIN(PDs!$X$24+I$906-I863,50)</f>
        <v>15</v>
      </c>
      <c r="AC863" s="1430">
        <f>HP_final-PDs!$X$23+MIN(PDs!$X$23+J$906-J863,50)</f>
        <v>0</v>
      </c>
    </row>
    <row r="864" spans="1:31" ht="12.75" customHeight="1" x14ac:dyDescent="0.2">
      <c r="A864" s="242">
        <v>864</v>
      </c>
      <c r="B864" s="5664"/>
      <c r="C864" s="542"/>
      <c r="D864" s="226" t="s">
        <v>939</v>
      </c>
      <c r="E864" s="86">
        <f>20+Bono_Fue</f>
        <v>20</v>
      </c>
      <c r="F864" s="86"/>
      <c r="G864" s="86">
        <v>20</v>
      </c>
      <c r="H864" s="86"/>
      <c r="I864" s="86"/>
      <c r="J864" s="86"/>
      <c r="K864" s="86"/>
      <c r="L864" s="5535" t="s">
        <v>940</v>
      </c>
      <c r="M864" s="5535"/>
      <c r="N864" s="5535"/>
      <c r="O864" s="5535"/>
      <c r="P864" s="5535"/>
      <c r="Q864" s="5535"/>
      <c r="R864" s="5535"/>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0</v>
      </c>
      <c r="AB864" s="857">
        <f>HE_final-PDs!$X$24+MIN(PDs!$X$24+I$906-I864,50)</f>
        <v>15</v>
      </c>
      <c r="AC864" s="1430">
        <f>HP_final-PDs!$X$23+MIN(PDs!$X$23+J$906-J864,50)</f>
        <v>0</v>
      </c>
    </row>
    <row r="865" spans="1:29" ht="12.75" customHeight="1" x14ac:dyDescent="0.2">
      <c r="A865" s="242">
        <v>865</v>
      </c>
      <c r="B865" s="5664"/>
      <c r="C865" s="542"/>
      <c r="D865" s="226" t="s">
        <v>941</v>
      </c>
      <c r="E865" s="86">
        <f>20+Bono_Pod</f>
        <v>35</v>
      </c>
      <c r="F865" s="86"/>
      <c r="G865" s="86">
        <v>10</v>
      </c>
      <c r="H865" s="86"/>
      <c r="I865" s="86"/>
      <c r="J865" s="86"/>
      <c r="K865" s="86"/>
      <c r="L865" s="5535" t="s">
        <v>1464</v>
      </c>
      <c r="M865" s="5535"/>
      <c r="N865" s="5535"/>
      <c r="O865" s="5535"/>
      <c r="P865" s="5535"/>
      <c r="Q865" s="5535"/>
      <c r="R865" s="5535"/>
      <c r="S865" s="81">
        <f t="shared" si="188"/>
        <v>1</v>
      </c>
      <c r="T865" s="86"/>
      <c r="U865" s="86"/>
      <c r="V865" s="86"/>
      <c r="W865" s="86"/>
      <c r="X865" s="86">
        <f t="shared" si="210"/>
        <v>0</v>
      </c>
      <c r="Y865" s="86">
        <f>IF(OR(Y866&gt;0,COUNTIF(PDs!$AD$56:$AD$74,Tablas!D865)&gt;0),1,0)</f>
        <v>0</v>
      </c>
      <c r="Z865" s="86" t="s">
        <v>1464</v>
      </c>
      <c r="AA865" s="1158">
        <f>HA_final-PDs!$X$22+MIN(PDs!$X$22+H$906-H865,50)</f>
        <v>0</v>
      </c>
      <c r="AB865" s="857">
        <f>HE_final-PDs!$X$24+MIN(PDs!$X$24+I$906-I865,50)</f>
        <v>15</v>
      </c>
      <c r="AC865" s="1430">
        <f>HP_final-PDs!$X$23+MIN(PDs!$X$23+J$906-J865,50)</f>
        <v>0</v>
      </c>
    </row>
    <row r="866" spans="1:29" ht="12.75" customHeight="1" x14ac:dyDescent="0.2">
      <c r="A866" s="242">
        <v>866</v>
      </c>
      <c r="B866" s="5664"/>
      <c r="C866" s="542"/>
      <c r="D866" s="226" t="s">
        <v>942</v>
      </c>
      <c r="E866" s="86">
        <f>20+2*Bono_Pod</f>
        <v>50</v>
      </c>
      <c r="F866" s="86"/>
      <c r="G866" s="86">
        <v>30</v>
      </c>
      <c r="H866" s="86"/>
      <c r="I866" s="86"/>
      <c r="J866" s="86"/>
      <c r="K866" s="86"/>
      <c r="L866" s="5535" t="s">
        <v>1464</v>
      </c>
      <c r="M866" s="5535"/>
      <c r="N866" s="5535"/>
      <c r="O866" s="5535"/>
      <c r="P866" s="5535"/>
      <c r="Q866" s="5535"/>
      <c r="R866" s="5535"/>
      <c r="S866" s="81">
        <f t="shared" si="188"/>
        <v>1</v>
      </c>
      <c r="T866" s="86"/>
      <c r="U866" s="86"/>
      <c r="V866" s="86"/>
      <c r="W866" s="86"/>
      <c r="X866" s="86">
        <f t="shared" si="210"/>
        <v>0</v>
      </c>
      <c r="Y866" s="86">
        <f>IF(OR(Y867&gt;0,COUNTIF(PDs!$AD$56:$AD$74,Tablas!D866)&gt;0),1,0)</f>
        <v>0</v>
      </c>
      <c r="Z866" s="86" t="str">
        <f>IF(OR(NOT(UsodelKi)),"NO","-")</f>
        <v>NO</v>
      </c>
      <c r="AA866" s="1158">
        <f>HA_final-PDs!$X$22+MIN(PDs!$X$22+H$906-H866,50)</f>
        <v>0</v>
      </c>
      <c r="AB866" s="857">
        <f>HE_final-PDs!$X$24+MIN(PDs!$X$24+I$906-I866,50)</f>
        <v>15</v>
      </c>
      <c r="AC866" s="1430">
        <f>HP_final-PDs!$X$23+MIN(PDs!$X$23+J$906-J866,50)</f>
        <v>0</v>
      </c>
    </row>
    <row r="867" spans="1:29" ht="12.75" customHeight="1" x14ac:dyDescent="0.2">
      <c r="A867" s="242">
        <v>867</v>
      </c>
      <c r="B867" s="5664"/>
      <c r="C867" s="542"/>
      <c r="D867" s="226" t="s">
        <v>943</v>
      </c>
      <c r="E867" s="86">
        <f>20+2*Bono_Pod</f>
        <v>50</v>
      </c>
      <c r="F867" s="86">
        <f>Bono_Pod</f>
        <v>15</v>
      </c>
      <c r="G867" s="86">
        <v>60</v>
      </c>
      <c r="H867" s="86"/>
      <c r="I867" s="86"/>
      <c r="J867" s="86"/>
      <c r="K867" s="86"/>
      <c r="L867" s="5535" t="s">
        <v>1464</v>
      </c>
      <c r="M867" s="5535"/>
      <c r="N867" s="5535"/>
      <c r="O867" s="5535"/>
      <c r="P867" s="5535"/>
      <c r="Q867" s="5535"/>
      <c r="R867" s="5535"/>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0</v>
      </c>
      <c r="AB867" s="857">
        <f>HE_final-PDs!$X$24+MIN(PDs!$X$24+I$906-I867,50)</f>
        <v>15</v>
      </c>
      <c r="AC867" s="1430">
        <f>HP_final-PDs!$X$23+MIN(PDs!$X$23+J$906-J867,50)</f>
        <v>0</v>
      </c>
    </row>
    <row r="868" spans="1:29" ht="12.75" customHeight="1" x14ac:dyDescent="0.2">
      <c r="A868" s="242">
        <v>868</v>
      </c>
      <c r="B868" s="5664"/>
      <c r="C868" s="542"/>
      <c r="D868" s="226" t="s">
        <v>944</v>
      </c>
      <c r="E868" s="86">
        <f>10+Bono_Fue</f>
        <v>10</v>
      </c>
      <c r="F868" s="86"/>
      <c r="G868" s="86">
        <v>0</v>
      </c>
      <c r="H868" s="86"/>
      <c r="I868" s="86"/>
      <c r="J868" s="86"/>
      <c r="K868" s="86"/>
      <c r="L868" s="5535" t="s">
        <v>945</v>
      </c>
      <c r="M868" s="5535"/>
      <c r="N868" s="5535"/>
      <c r="O868" s="5535"/>
      <c r="P868" s="5535"/>
      <c r="Q868" s="5535"/>
      <c r="R868" s="5535"/>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0</v>
      </c>
      <c r="AB868" s="857">
        <f>HE_final-PDs!$X$24+MIN(PDs!$X$24+I$906-I868,50)</f>
        <v>15</v>
      </c>
      <c r="AC868" s="1430">
        <f>HP_final-PDs!$X$23+MIN(PDs!$X$23+J$906-J868,50)</f>
        <v>0</v>
      </c>
    </row>
    <row r="869" spans="1:29" ht="12.75" customHeight="1" x14ac:dyDescent="0.2">
      <c r="A869" s="242">
        <v>869</v>
      </c>
      <c r="B869" s="5664"/>
      <c r="C869" s="542"/>
      <c r="D869" s="226" t="s">
        <v>946</v>
      </c>
      <c r="E869" s="86">
        <f>20+Bono_Fue</f>
        <v>20</v>
      </c>
      <c r="F869" s="86"/>
      <c r="G869" s="86">
        <v>10</v>
      </c>
      <c r="H869" s="86"/>
      <c r="I869" s="86"/>
      <c r="J869" s="86"/>
      <c r="K869" s="86"/>
      <c r="L869" s="5535" t="s">
        <v>947</v>
      </c>
      <c r="M869" s="5535"/>
      <c r="N869" s="5535"/>
      <c r="O869" s="5535"/>
      <c r="P869" s="5535"/>
      <c r="Q869" s="5535"/>
      <c r="R869" s="5535"/>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0</v>
      </c>
      <c r="AB869" s="857">
        <f>HE_final-PDs!$X$24+MIN(PDs!$X$24+I$906-I869,50)</f>
        <v>15</v>
      </c>
      <c r="AC869" s="1430">
        <f>HP_final-PDs!$X$23+MIN(PDs!$X$23+J$906-J869,50)</f>
        <v>0</v>
      </c>
    </row>
    <row r="870" spans="1:29" ht="12.75" customHeight="1" x14ac:dyDescent="0.2">
      <c r="A870" s="242">
        <v>870</v>
      </c>
      <c r="B870" s="5664"/>
      <c r="C870" s="542"/>
      <c r="D870" s="226" t="s">
        <v>948</v>
      </c>
      <c r="E870" s="86">
        <f>30+Bono_Fue</f>
        <v>30</v>
      </c>
      <c r="F870" s="86"/>
      <c r="G870" s="86">
        <v>20</v>
      </c>
      <c r="H870" s="86"/>
      <c r="I870" s="86"/>
      <c r="J870" s="86"/>
      <c r="K870" s="86"/>
      <c r="L870" s="5535" t="s">
        <v>949</v>
      </c>
      <c r="M870" s="5535"/>
      <c r="N870" s="5535"/>
      <c r="O870" s="5535"/>
      <c r="P870" s="5535"/>
      <c r="Q870" s="5535"/>
      <c r="R870" s="5535"/>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0</v>
      </c>
      <c r="AB870" s="857">
        <f>HE_final-PDs!$X$24+MIN(PDs!$X$24+I$906-I870,50)</f>
        <v>15</v>
      </c>
      <c r="AC870" s="1430">
        <f>HP_final-PDs!$X$23+MIN(PDs!$X$23+J$906-J870,50)</f>
        <v>0</v>
      </c>
    </row>
    <row r="871" spans="1:29" ht="12.75" customHeight="1" x14ac:dyDescent="0.2">
      <c r="A871" s="242">
        <v>871</v>
      </c>
      <c r="B871" s="5664"/>
      <c r="C871" s="542"/>
      <c r="D871" s="89" t="s">
        <v>950</v>
      </c>
      <c r="E871" s="86"/>
      <c r="F871" s="86"/>
      <c r="G871" s="86"/>
      <c r="H871" s="86"/>
      <c r="I871" s="86"/>
      <c r="J871" s="86"/>
      <c r="K871" s="86"/>
      <c r="L871" s="5535" t="s">
        <v>1464</v>
      </c>
      <c r="M871" s="5535"/>
      <c r="N871" s="5535"/>
      <c r="O871" s="5535"/>
      <c r="P871" s="5535"/>
      <c r="Q871" s="5535"/>
      <c r="R871" s="5535"/>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664"/>
      <c r="C872" s="542"/>
      <c r="D872" s="226" t="s">
        <v>951</v>
      </c>
      <c r="E872" s="86">
        <v>0</v>
      </c>
      <c r="F872" s="86">
        <v>10</v>
      </c>
      <c r="G872" s="86">
        <v>10</v>
      </c>
      <c r="H872" s="86">
        <v>10</v>
      </c>
      <c r="I872" s="86">
        <v>10</v>
      </c>
      <c r="J872" s="86">
        <v>10</v>
      </c>
      <c r="K872" s="86">
        <v>10</v>
      </c>
      <c r="L872" s="5535" t="s">
        <v>1464</v>
      </c>
      <c r="M872" s="5535"/>
      <c r="N872" s="5535"/>
      <c r="O872" s="5535"/>
      <c r="P872" s="5535"/>
      <c r="Q872" s="5535"/>
      <c r="R872" s="5535"/>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-10</v>
      </c>
      <c r="AB872" s="857">
        <f t="array" ref="AB872">HE_final-PDs!$X$24+MIN(PDs!$X$24+I$906-I872,50)+MAX(W$816:W871*$Y$816:$Y871,W873:W$905*$Y873:$Y$905)</f>
        <v>5</v>
      </c>
      <c r="AC872" s="1430">
        <f t="array" ref="AC872">HP_final-PDs!$X$23+MIN(PDs!$X$23+J$906-J872,50)+MAX(W$816:W871*$Y$816:$Y871,W873:W$905*$Y873:$Y$905)</f>
        <v>-10</v>
      </c>
    </row>
    <row r="873" spans="1:29" ht="12.75" customHeight="1" x14ac:dyDescent="0.2">
      <c r="A873" s="242">
        <v>873</v>
      </c>
      <c r="B873" s="5664"/>
      <c r="C873" s="542"/>
      <c r="D873" s="226" t="s">
        <v>952</v>
      </c>
      <c r="E873" s="86">
        <v>0</v>
      </c>
      <c r="F873" s="86"/>
      <c r="G873" s="86">
        <v>20</v>
      </c>
      <c r="H873" s="86"/>
      <c r="I873" s="86"/>
      <c r="J873" s="86"/>
      <c r="K873" s="86"/>
      <c r="L873" s="5535" t="s">
        <v>953</v>
      </c>
      <c r="M873" s="5535"/>
      <c r="N873" s="5535"/>
      <c r="O873" s="5535"/>
      <c r="P873" s="5535"/>
      <c r="Q873" s="5535"/>
      <c r="R873" s="5535"/>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0</v>
      </c>
      <c r="AB873" s="857">
        <f t="array" ref="AB873">HE_final-PDs!$X$24+MIN(PDs!$X$24+I$906-I873,50)+MAX(W$816:W872*$Y$816:$Y872,W874:W$905*$Y874:$Y$905)</f>
        <v>15</v>
      </c>
      <c r="AC873" s="1430">
        <f t="array" ref="AC873">HP_final-PDs!$X$23+MIN(PDs!$X$23+J$906-J873,50)+MAX(W$816:W872*$Y$816:$Y872,W874:W$905*$Y874:$Y$905)</f>
        <v>0</v>
      </c>
    </row>
    <row r="874" spans="1:29" ht="12.75" customHeight="1" x14ac:dyDescent="0.2">
      <c r="A874" s="242">
        <v>874</v>
      </c>
      <c r="B874" s="5664"/>
      <c r="C874" s="542"/>
      <c r="D874" s="226" t="s">
        <v>954</v>
      </c>
      <c r="E874" s="86">
        <v>0</v>
      </c>
      <c r="F874" s="86">
        <v>10</v>
      </c>
      <c r="G874" s="86">
        <v>10</v>
      </c>
      <c r="H874" s="86">
        <v>20</v>
      </c>
      <c r="I874" s="86"/>
      <c r="J874" s="86"/>
      <c r="K874" s="86"/>
      <c r="L874" s="5535" t="s">
        <v>955</v>
      </c>
      <c r="M874" s="5535"/>
      <c r="N874" s="5535"/>
      <c r="O874" s="5535"/>
      <c r="P874" s="5535"/>
      <c r="Q874" s="5535"/>
      <c r="R874" s="5535"/>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-20</v>
      </c>
      <c r="AB874" s="857">
        <f t="array" ref="AB874">HE_final-PDs!$X$24+MIN(PDs!$X$24+I$906-I874,50)+MAX(W$816:W873*$Y$816:$Y873,W875:W$905*$Y875:$Y$905)</f>
        <v>15</v>
      </c>
      <c r="AC874" s="1430">
        <f t="array" ref="AC874">HP_final-PDs!$X$23+MIN(PDs!$X$23+J$906-J874,50)+MAX(W$816:W873*$Y$816:$Y873,W875:W$905*$Y875:$Y$905)</f>
        <v>0</v>
      </c>
    </row>
    <row r="875" spans="1:29" ht="12.75" customHeight="1" x14ac:dyDescent="0.2">
      <c r="A875" s="242">
        <v>875</v>
      </c>
      <c r="B875" s="5664"/>
      <c r="C875" s="542"/>
      <c r="D875" s="226" t="s">
        <v>956</v>
      </c>
      <c r="E875" s="86">
        <v>0</v>
      </c>
      <c r="F875" s="86">
        <v>10</v>
      </c>
      <c r="G875" s="86">
        <v>20</v>
      </c>
      <c r="H875" s="86"/>
      <c r="I875" s="86"/>
      <c r="J875" s="86"/>
      <c r="K875" s="86"/>
      <c r="L875" s="5535" t="s">
        <v>957</v>
      </c>
      <c r="M875" s="5535"/>
      <c r="N875" s="5535"/>
      <c r="O875" s="5535"/>
      <c r="P875" s="5535"/>
      <c r="Q875" s="5535"/>
      <c r="R875" s="5535"/>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0</v>
      </c>
      <c r="AB875" s="857">
        <f t="array" ref="AB875">HE_final-PDs!$X$24+MIN(PDs!$X$24+I$906-I875,50)+MAX(W$816:W874*$Y$816:$Y874,W876:W$905*$Y876:$Y$905)</f>
        <v>15</v>
      </c>
      <c r="AC875" s="1430">
        <f t="array" ref="AC875">HP_final-PDs!$X$23+MIN(PDs!$X$23+J$906-J875,50)+MAX(W$816:W874*$Y$816:$Y874,W876:W$905*$Y876:$Y$905)</f>
        <v>0</v>
      </c>
    </row>
    <row r="876" spans="1:29" ht="12.75" customHeight="1" x14ac:dyDescent="0.2">
      <c r="A876" s="242">
        <v>876</v>
      </c>
      <c r="B876" s="5664"/>
      <c r="C876" s="542"/>
      <c r="D876" s="226" t="s">
        <v>958</v>
      </c>
      <c r="E876" s="86">
        <v>0</v>
      </c>
      <c r="F876" s="86"/>
      <c r="G876" s="86">
        <v>10</v>
      </c>
      <c r="H876" s="86">
        <v>20</v>
      </c>
      <c r="I876" s="86"/>
      <c r="J876" s="86"/>
      <c r="K876" s="86">
        <v>10</v>
      </c>
      <c r="L876" s="5535" t="str">
        <f>IF($Y$846=0,"Desarmar sin penalizador y con +3 a los controles enfrentados","Desarmar sin penalizador y con +4 a los controles enfrentados")</f>
        <v>Desarmar sin penalizador y con +3 a los controles enfrentados</v>
      </c>
      <c r="M876" s="5535"/>
      <c r="N876" s="5535"/>
      <c r="O876" s="5535"/>
      <c r="P876" s="5535"/>
      <c r="Q876" s="5535"/>
      <c r="R876" s="5535"/>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-20</v>
      </c>
      <c r="AB876" s="857">
        <f t="array" ref="AB876">HE_final-PDs!$X$24+MIN(PDs!$X$24+I$906-I876,50)+MAX(W$816:W875*$Y$816:$Y875,W877:W$905*$Y877:$Y$905)</f>
        <v>15</v>
      </c>
      <c r="AC876" s="1430">
        <f t="array" ref="AC876">HP_final-PDs!$X$23+MIN(PDs!$X$23+J$906-J876,50)+MAX(W$816:W875*$Y$816:$Y875,W877:W$905*$Y877:$Y$905)</f>
        <v>0</v>
      </c>
    </row>
    <row r="877" spans="1:29" ht="12.75" customHeight="1" x14ac:dyDescent="0.2">
      <c r="A877" s="242">
        <v>877</v>
      </c>
      <c r="B877" s="5664"/>
      <c r="C877" s="542"/>
      <c r="D877" s="226" t="s">
        <v>959</v>
      </c>
      <c r="E877" s="86">
        <v>0</v>
      </c>
      <c r="F877" s="86"/>
      <c r="G877" s="86">
        <v>20</v>
      </c>
      <c r="H877" s="86"/>
      <c r="I877" s="86"/>
      <c r="J877" s="86"/>
      <c r="K877" s="86">
        <v>10</v>
      </c>
      <c r="L877" s="5535" t="str">
        <f>IF($Y$846=0,"Desarmar bono +3 y sin penalizador","Desarmar bono +4 y sin penalizador")&amp;". Chequeo de Desarmar en cada Parada con éxito"</f>
        <v>Desarmar bono +3 y sin penalizador. Chequeo de Desarmar en cada Parada con éxito</v>
      </c>
      <c r="M877" s="5535"/>
      <c r="N877" s="5535"/>
      <c r="O877" s="5535"/>
      <c r="P877" s="5535"/>
      <c r="Q877" s="5535"/>
      <c r="R877" s="5535"/>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0</v>
      </c>
      <c r="AB877" s="857">
        <f t="array" ref="AB877">HE_final-PDs!$X$24+MIN(PDs!$X$24+I$906-I877,50)+MAX(W$816:W876*$Y$816:$Y876,W878:W$905*$Y878:$Y$905)</f>
        <v>15</v>
      </c>
      <c r="AC877" s="1430">
        <f t="array" ref="AC877">HP_final-PDs!$X$23+MIN(PDs!$X$23+J$906-J877,50)+MAX(W$816:W876*$Y$816:$Y876,W878:W$905*$Y878:$Y$905)</f>
        <v>0</v>
      </c>
    </row>
    <row r="878" spans="1:29" ht="12.75" customHeight="1" x14ac:dyDescent="0.2">
      <c r="A878" s="242">
        <v>878</v>
      </c>
      <c r="B878" s="5664"/>
      <c r="C878" s="542"/>
      <c r="D878" s="226" t="s">
        <v>960</v>
      </c>
      <c r="E878" s="86">
        <v>0</v>
      </c>
      <c r="F878" s="86"/>
      <c r="G878" s="86">
        <v>10</v>
      </c>
      <c r="H878" s="86"/>
      <c r="I878" s="86">
        <v>20</v>
      </c>
      <c r="J878" s="86">
        <v>20</v>
      </c>
      <c r="K878" s="86"/>
      <c r="L878" s="5535" t="s">
        <v>961</v>
      </c>
      <c r="M878" s="5535"/>
      <c r="N878" s="5535"/>
      <c r="O878" s="5535"/>
      <c r="P878" s="5535"/>
      <c r="Q878" s="5535"/>
      <c r="R878" s="5535"/>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0</v>
      </c>
      <c r="AB878" s="857">
        <f t="array" ref="AB878">HE_final-PDs!$X$24+MIN(PDs!$X$24+I$906-I878,50)+MAX(W$816:W877*$Y$816:$Y877,W879:W$905*$Y879:$Y$905)</f>
        <v>-5</v>
      </c>
      <c r="AC878" s="1430">
        <f t="array" ref="AC878">HP_final-PDs!$X$23+MIN(PDs!$X$23+J$906-J878,50)+MAX(W$816:W877*$Y$816:$Y877,W879:W$905*$Y879:$Y$905)</f>
        <v>-20</v>
      </c>
    </row>
    <row r="879" spans="1:29" ht="12.75" customHeight="1" x14ac:dyDescent="0.2">
      <c r="A879" s="242">
        <v>879</v>
      </c>
      <c r="B879" s="5664"/>
      <c r="C879" s="542"/>
      <c r="D879" s="226" t="s">
        <v>962</v>
      </c>
      <c r="E879" s="86">
        <v>0</v>
      </c>
      <c r="F879" s="86"/>
      <c r="G879" s="86">
        <v>20</v>
      </c>
      <c r="H879" s="86"/>
      <c r="I879" s="86"/>
      <c r="J879" s="86"/>
      <c r="K879" s="86"/>
      <c r="L879" s="5535" t="s">
        <v>9065</v>
      </c>
      <c r="M879" s="5535"/>
      <c r="N879" s="5535"/>
      <c r="O879" s="5535"/>
      <c r="P879" s="5535"/>
      <c r="Q879" s="5535"/>
      <c r="R879" s="5535"/>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0</v>
      </c>
      <c r="AB879" s="857">
        <f t="array" ref="AB879">HE_final-PDs!$X$24+MIN(PDs!$X$24+I$906-I879,50)+MAX(W$816:W878*$Y$816:$Y878,W880:W$905*$Y880:$Y$905)</f>
        <v>15</v>
      </c>
      <c r="AC879" s="1430">
        <f t="array" ref="AC879">HP_final-PDs!$X$23+MIN(PDs!$X$23+J$906-J879,50)+MAX(W$816:W878*$Y$816:$Y878,W880:W$905*$Y880:$Y$905)</f>
        <v>0</v>
      </c>
    </row>
    <row r="880" spans="1:29" ht="12.75" customHeight="1" x14ac:dyDescent="0.2">
      <c r="A880" s="242">
        <v>880</v>
      </c>
      <c r="B880" s="5664"/>
      <c r="C880" s="542"/>
      <c r="D880" s="226" t="s">
        <v>963</v>
      </c>
      <c r="E880" s="86">
        <f>2*Presencia_final+Bono_Pod-Combate!$L$24</f>
        <v>75</v>
      </c>
      <c r="F880" s="86"/>
      <c r="G880" s="86">
        <v>15</v>
      </c>
      <c r="H880" s="86">
        <v>10</v>
      </c>
      <c r="I880" s="86"/>
      <c r="J880" s="86"/>
      <c r="K880" s="86"/>
      <c r="L880" s="5535" t="s">
        <v>964</v>
      </c>
      <c r="M880" s="5535"/>
      <c r="N880" s="5535"/>
      <c r="O880" s="5535"/>
      <c r="P880" s="5535"/>
      <c r="Q880" s="5535"/>
      <c r="R880" s="5535"/>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-10</v>
      </c>
      <c r="AB880" s="857">
        <f t="array" ref="AB880">HE_final-PDs!$X$24+MIN(PDs!$X$24+I$906-I880,50)+MAX(W$816:W879*$Y$816:$Y879,W881:W$905*$Y881:$Y$905)</f>
        <v>15</v>
      </c>
      <c r="AC880" s="1430">
        <f t="array" ref="AC880">HP_final-PDs!$X$23+MIN(PDs!$X$23+J$906-J880,50)+MAX(W$816:W879*$Y$816:$Y879,W881:W$905*$Y881:$Y$905)</f>
        <v>0</v>
      </c>
    </row>
    <row r="881" spans="1:29" ht="12.75" customHeight="1" x14ac:dyDescent="0.2">
      <c r="A881" s="242">
        <v>881</v>
      </c>
      <c r="B881" s="5664"/>
      <c r="C881" s="542"/>
      <c r="D881" s="226" t="s">
        <v>965</v>
      </c>
      <c r="E881" s="86">
        <f>2*Presencia_final+Bono_Pod-Combate!$L$24</f>
        <v>75</v>
      </c>
      <c r="F881" s="86"/>
      <c r="G881" s="86">
        <v>35</v>
      </c>
      <c r="H881" s="86"/>
      <c r="I881" s="86"/>
      <c r="J881" s="86"/>
      <c r="K881" s="86"/>
      <c r="L881" s="5535" t="s">
        <v>964</v>
      </c>
      <c r="M881" s="5535"/>
      <c r="N881" s="5535"/>
      <c r="O881" s="5535"/>
      <c r="P881" s="5535"/>
      <c r="Q881" s="5535"/>
      <c r="R881" s="5535"/>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0</v>
      </c>
      <c r="AB881" s="857">
        <f t="array" ref="AB881">HE_final-PDs!$X$24+MIN(PDs!$X$24+I$906-I881,50)+MAX(W$816:W880*$Y$816:$Y880,W882:W$905*$Y882:$Y$905)</f>
        <v>15</v>
      </c>
      <c r="AC881" s="1430">
        <f t="array" ref="AC881">HP_final-PDs!$X$23+MIN(PDs!$X$23+J$906-J881,50)+MAX(W$816:W880*$Y$816:$Y880,W882:W$905*$Y882:$Y$905)</f>
        <v>0</v>
      </c>
    </row>
    <row r="882" spans="1:29" ht="12.75" customHeight="1" x14ac:dyDescent="0.2">
      <c r="A882" s="242">
        <v>882</v>
      </c>
      <c r="B882" s="5664"/>
      <c r="C882" s="542"/>
      <c r="D882" s="226" t="s">
        <v>966</v>
      </c>
      <c r="E882" s="86">
        <v>0</v>
      </c>
      <c r="F882" s="86"/>
      <c r="G882" s="86">
        <v>10</v>
      </c>
      <c r="H882" s="86">
        <v>10</v>
      </c>
      <c r="I882" s="86"/>
      <c r="J882" s="86"/>
      <c r="K882" s="86"/>
      <c r="L882" s="5535" t="s">
        <v>967</v>
      </c>
      <c r="M882" s="5535"/>
      <c r="N882" s="5535"/>
      <c r="O882" s="5535"/>
      <c r="P882" s="5535"/>
      <c r="Q882" s="5535"/>
      <c r="R882" s="5535"/>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-10</v>
      </c>
      <c r="AB882" s="857">
        <f t="array" ref="AB882">HE_final-PDs!$X$24+MIN(PDs!$X$24+I$906-I882,50)+MAX(W$816:W881*$Y$816:$Y881,W883:W$905*$Y883:$Y$905)</f>
        <v>15</v>
      </c>
      <c r="AC882" s="1430">
        <f t="array" ref="AC882">HP_final-PDs!$X$23+MIN(PDs!$X$23+J$906-J882,50)+MAX(W$816:W881*$Y$816:$Y881,W883:W$905*$Y883:$Y$905)</f>
        <v>0</v>
      </c>
    </row>
    <row r="883" spans="1:29" ht="12.75" customHeight="1" x14ac:dyDescent="0.2">
      <c r="A883" s="242">
        <v>883</v>
      </c>
      <c r="B883" s="5664"/>
      <c r="C883" s="542"/>
      <c r="D883" s="226" t="s">
        <v>968</v>
      </c>
      <c r="E883" s="86">
        <v>0</v>
      </c>
      <c r="F883" s="86"/>
      <c r="G883" s="86">
        <v>20</v>
      </c>
      <c r="H883" s="86"/>
      <c r="I883" s="86"/>
      <c r="J883" s="86"/>
      <c r="K883" s="86"/>
      <c r="L883" s="5535" t="s">
        <v>9066</v>
      </c>
      <c r="M883" s="5535"/>
      <c r="N883" s="5535"/>
      <c r="O883" s="5535"/>
      <c r="P883" s="5535"/>
      <c r="Q883" s="5535"/>
      <c r="R883" s="5535"/>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0</v>
      </c>
      <c r="AB883" s="857">
        <f t="array" ref="AB883">HE_final-PDs!$X$24+MIN(PDs!$X$24+I$906-I883,50)+MAX(W$816:W882*$Y$816:$Y882,W884:W$905*$Y884:$Y$905)</f>
        <v>15</v>
      </c>
      <c r="AC883" s="1430">
        <f t="array" ref="AC883">HP_final-PDs!$X$23+MIN(PDs!$X$23+J$906-J883,50)+MAX(W$816:W882*$Y$816:$Y882,W884:W$905*$Y884:$Y$905)</f>
        <v>0</v>
      </c>
    </row>
    <row r="884" spans="1:29" ht="12.75" customHeight="1" x14ac:dyDescent="0.2">
      <c r="A884" s="242">
        <v>884</v>
      </c>
      <c r="B884" s="5664"/>
      <c r="C884" s="542"/>
      <c r="D884" s="226" t="s">
        <v>969</v>
      </c>
      <c r="E884" s="86">
        <v>0</v>
      </c>
      <c r="F884" s="86">
        <v>20</v>
      </c>
      <c r="G884" s="86">
        <v>10</v>
      </c>
      <c r="H884" s="86">
        <v>10</v>
      </c>
      <c r="I884" s="86"/>
      <c r="J884" s="86"/>
      <c r="K884" s="86">
        <v>20</v>
      </c>
      <c r="L884" s="5535" t="s">
        <v>970</v>
      </c>
      <c r="M884" s="5535"/>
      <c r="N884" s="5535"/>
      <c r="O884" s="5535"/>
      <c r="P884" s="5535"/>
      <c r="Q884" s="5535"/>
      <c r="R884" s="5535"/>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-10</v>
      </c>
      <c r="AB884" s="857">
        <f t="array" ref="AB884">HE_final-PDs!$X$24+MIN(PDs!$X$24+I$906-I884,50)+MAX(W$816:W883*$Y$816:$Y883,W885:W$905*$Y885:$Y$905)</f>
        <v>15</v>
      </c>
      <c r="AC884" s="1430">
        <f t="array" ref="AC884">HP_final-PDs!$X$23+MIN(PDs!$X$23+J$906-J884,50)+MAX(W$816:W883*$Y$816:$Y883,W885:W$905*$Y885:$Y$905)</f>
        <v>0</v>
      </c>
    </row>
    <row r="885" spans="1:29" ht="12.75" customHeight="1" x14ac:dyDescent="0.2">
      <c r="A885" s="242">
        <v>885</v>
      </c>
      <c r="B885" s="5664"/>
      <c r="C885" s="542"/>
      <c r="D885" s="226" t="s">
        <v>971</v>
      </c>
      <c r="E885" s="86">
        <v>0</v>
      </c>
      <c r="F885" s="86">
        <v>10</v>
      </c>
      <c r="G885" s="86">
        <v>20</v>
      </c>
      <c r="H885" s="86"/>
      <c r="I885" s="86"/>
      <c r="J885" s="86"/>
      <c r="K885" s="86">
        <v>20</v>
      </c>
      <c r="L885" s="5535" t="s">
        <v>972</v>
      </c>
      <c r="M885" s="5535"/>
      <c r="N885" s="5535"/>
      <c r="O885" s="5535"/>
      <c r="P885" s="5535"/>
      <c r="Q885" s="5535"/>
      <c r="R885" s="5535"/>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0</v>
      </c>
      <c r="AB885" s="857">
        <f t="array" ref="AB885">HE_final-PDs!$X$24+MIN(PDs!$X$24+I$906-I885,50)+MAX(W$816:W884*$Y$816:$Y884,W886:W$905*$Y886:$Y$905)</f>
        <v>15</v>
      </c>
      <c r="AC885" s="1430">
        <f t="array" ref="AC885">HP_final-PDs!$X$23+MIN(PDs!$X$23+J$906-J885,50)+MAX(W$816:W884*$Y$816:$Y884,W886:W$905*$Y886:$Y$905)</f>
        <v>0</v>
      </c>
    </row>
    <row r="886" spans="1:29" ht="12.75" customHeight="1" x14ac:dyDescent="0.2">
      <c r="A886" s="242">
        <v>886</v>
      </c>
      <c r="B886" s="5664"/>
      <c r="C886" s="542"/>
      <c r="D886" s="226" t="s">
        <v>973</v>
      </c>
      <c r="E886" s="86">
        <v>0</v>
      </c>
      <c r="F886" s="86"/>
      <c r="G886" s="86">
        <v>10</v>
      </c>
      <c r="H886" s="86"/>
      <c r="I886" s="86">
        <v>10</v>
      </c>
      <c r="J886" s="86">
        <v>10</v>
      </c>
      <c r="K886" s="86"/>
      <c r="L886" s="5535" t="s">
        <v>9067</v>
      </c>
      <c r="M886" s="5535"/>
      <c r="N886" s="5535"/>
      <c r="O886" s="5535"/>
      <c r="P886" s="5535"/>
      <c r="Q886" s="5535"/>
      <c r="R886" s="5535"/>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0</v>
      </c>
      <c r="AB886" s="857">
        <f t="array" ref="AB886">HE_final-PDs!$X$24+MIN(PDs!$X$24+I$906-I886,50)+MAX(W$816:W885*$Y$816:$Y885,W887:W$905*$Y887:$Y$905)</f>
        <v>5</v>
      </c>
      <c r="AC886" s="1430">
        <f t="array" ref="AC886">HP_final-PDs!$X$23+MIN(PDs!$X$23+J$906-J886,50)+MAX(W$816:W885*$Y$816:$Y885,W887:W$905*$Y887:$Y$905)</f>
        <v>-10</v>
      </c>
    </row>
    <row r="887" spans="1:29" ht="12.75" customHeight="1" x14ac:dyDescent="0.2">
      <c r="A887" s="242">
        <v>887</v>
      </c>
      <c r="B887" s="5664"/>
      <c r="C887" s="542"/>
      <c r="D887" s="226" t="s">
        <v>974</v>
      </c>
      <c r="E887" s="86">
        <v>0</v>
      </c>
      <c r="F887" s="86"/>
      <c r="G887" s="86">
        <v>20</v>
      </c>
      <c r="H887" s="86"/>
      <c r="I887" s="86"/>
      <c r="J887" s="86"/>
      <c r="K887" s="86"/>
      <c r="L887" s="5535" t="s">
        <v>9068</v>
      </c>
      <c r="M887" s="5535"/>
      <c r="N887" s="5535"/>
      <c r="O887" s="5535"/>
      <c r="P887" s="5535"/>
      <c r="Q887" s="5535"/>
      <c r="R887" s="5535"/>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0</v>
      </c>
      <c r="AB887" s="857">
        <f t="array" ref="AB887">HE_final-PDs!$X$24+MIN(PDs!$X$24+I$906-I887,50)+MAX(W$816:W886*$Y$816:$Y886,W888:W$905*$Y888:$Y$905)</f>
        <v>15</v>
      </c>
      <c r="AC887" s="1430">
        <f t="array" ref="AC887">HP_final-PDs!$X$23+MIN(PDs!$X$23+J$906-J887,50)+MAX(W$816:W886*$Y$816:$Y886,W888:W$905*$Y888:$Y$905)</f>
        <v>0</v>
      </c>
    </row>
    <row r="888" spans="1:29" ht="12.75" customHeight="1" x14ac:dyDescent="0.2">
      <c r="A888" s="242">
        <v>888</v>
      </c>
      <c r="B888" s="5664"/>
      <c r="C888" s="542"/>
      <c r="D888" s="226" t="s">
        <v>975</v>
      </c>
      <c r="E888" s="86">
        <v>0</v>
      </c>
      <c r="F888" s="86"/>
      <c r="G888" s="86">
        <v>10</v>
      </c>
      <c r="H888" s="86"/>
      <c r="I888" s="86">
        <v>20</v>
      </c>
      <c r="J888" s="86">
        <v>20</v>
      </c>
      <c r="K888" s="86"/>
      <c r="L888" s="5535" t="s">
        <v>976</v>
      </c>
      <c r="M888" s="5535"/>
      <c r="N888" s="5535"/>
      <c r="O888" s="5535"/>
      <c r="P888" s="5535"/>
      <c r="Q888" s="5535"/>
      <c r="R888" s="5535"/>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0</v>
      </c>
      <c r="AB888" s="857">
        <f t="array" ref="AB888">HE_final-PDs!$X$24+MIN(PDs!$X$24+I$906-I888,50)+MAX(W$816:W887*$Y$816:$Y887,W889:W$905*$Y889:$Y$905)</f>
        <v>-5</v>
      </c>
      <c r="AC888" s="1430">
        <f t="array" ref="AC888">HP_final-PDs!$X$23+MIN(PDs!$X$23+J$906-J888,50)+MAX(W$816:W887*$Y$816:$Y887,W889:W$905*$Y889:$Y$905)</f>
        <v>-20</v>
      </c>
    </row>
    <row r="889" spans="1:29" ht="12.75" customHeight="1" x14ac:dyDescent="0.2">
      <c r="A889" s="242">
        <v>889</v>
      </c>
      <c r="B889" s="5664"/>
      <c r="C889" s="542"/>
      <c r="D889" s="226" t="s">
        <v>977</v>
      </c>
      <c r="E889" s="86">
        <v>0</v>
      </c>
      <c r="F889" s="86"/>
      <c r="G889" s="86">
        <v>20</v>
      </c>
      <c r="H889" s="86"/>
      <c r="I889" s="86"/>
      <c r="J889" s="86"/>
      <c r="K889" s="86"/>
      <c r="L889" s="5535" t="s">
        <v>978</v>
      </c>
      <c r="M889" s="5535"/>
      <c r="N889" s="5535"/>
      <c r="O889" s="5535"/>
      <c r="P889" s="5535"/>
      <c r="Q889" s="5535"/>
      <c r="R889" s="5535"/>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0</v>
      </c>
      <c r="AB889" s="857">
        <f t="array" ref="AB889">HE_final-PDs!$X$24+MIN(PDs!$X$24+I$906-I889,50)+MAX(W$816:W888*$Y$816:$Y888,W890:W$905*$Y890:$Y$905)</f>
        <v>15</v>
      </c>
      <c r="AC889" s="1430">
        <f t="array" ref="AC889">HP_final-PDs!$X$23+MIN(PDs!$X$23+J$906-J889,50)+MAX(W$816:W888*$Y$816:$Y888,W890:W$905*$Y890:$Y$905)</f>
        <v>0</v>
      </c>
    </row>
    <row r="890" spans="1:29" ht="12.75" customHeight="1" x14ac:dyDescent="0.2">
      <c r="A890" s="242">
        <v>890</v>
      </c>
      <c r="B890" s="5664"/>
      <c r="C890" s="542"/>
      <c r="D890" s="226" t="s">
        <v>979</v>
      </c>
      <c r="E890" s="86">
        <v>0</v>
      </c>
      <c r="F890" s="86"/>
      <c r="G890" s="86">
        <v>10</v>
      </c>
      <c r="H890" s="86">
        <v>10</v>
      </c>
      <c r="I890" s="86"/>
      <c r="J890" s="86"/>
      <c r="K890" s="86"/>
      <c r="L890" s="5535" t="s">
        <v>980</v>
      </c>
      <c r="M890" s="5535"/>
      <c r="N890" s="5535"/>
      <c r="O890" s="5535"/>
      <c r="P890" s="5535"/>
      <c r="Q890" s="5535"/>
      <c r="R890" s="5535"/>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-10</v>
      </c>
      <c r="AB890" s="857">
        <f t="array" ref="AB890">HE_final-PDs!$X$24+MIN(PDs!$X$24+I$906-I890,50)+MAX(W$816:W889*$Y$816:$Y889,W891:W$905*$Y891:$Y$905)</f>
        <v>15</v>
      </c>
      <c r="AC890" s="1430">
        <f t="array" ref="AC890">HP_final-PDs!$X$23+MIN(PDs!$X$23+J$906-J890,50)+MAX(W$816:W889*$Y$816:$Y889,W891:W$905*$Y891:$Y$905)</f>
        <v>0</v>
      </c>
    </row>
    <row r="891" spans="1:29" ht="12.75" customHeight="1" x14ac:dyDescent="0.2">
      <c r="A891" s="242">
        <v>891</v>
      </c>
      <c r="B891" s="5664"/>
      <c r="C891" s="542"/>
      <c r="D891" s="226" t="s">
        <v>981</v>
      </c>
      <c r="E891" s="86">
        <v>0</v>
      </c>
      <c r="F891" s="86"/>
      <c r="G891" s="86">
        <v>20</v>
      </c>
      <c r="H891" s="86"/>
      <c r="I891" s="86"/>
      <c r="J891" s="86"/>
      <c r="K891" s="86"/>
      <c r="L891" s="5535" t="s">
        <v>9069</v>
      </c>
      <c r="M891" s="5535"/>
      <c r="N891" s="5535"/>
      <c r="O891" s="5535"/>
      <c r="P891" s="5535"/>
      <c r="Q891" s="5535"/>
      <c r="R891" s="5535"/>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0</v>
      </c>
      <c r="AB891" s="857">
        <f t="array" ref="AB891">HE_final-PDs!$X$24+MIN(PDs!$X$24+I$906-I891,50)+MAX(W$816:W890*$Y$816:$Y890,W892:W$905*$Y892:$Y$905)</f>
        <v>15</v>
      </c>
      <c r="AC891" s="1430">
        <f t="array" ref="AC891">HP_final-PDs!$X$23+MIN(PDs!$X$23+J$906-J891,50)+MAX(W$816:W890*$Y$816:$Y890,W892:W$905*$Y892:$Y$905)</f>
        <v>0</v>
      </c>
    </row>
    <row r="892" spans="1:29" ht="12.75" customHeight="1" x14ac:dyDescent="0.2">
      <c r="A892" s="242">
        <v>892</v>
      </c>
      <c r="B892" s="5664"/>
      <c r="C892" s="542"/>
      <c r="D892" s="226" t="s">
        <v>982</v>
      </c>
      <c r="E892" s="86">
        <v>0</v>
      </c>
      <c r="F892" s="86"/>
      <c r="G892" s="86">
        <v>15</v>
      </c>
      <c r="H892" s="86">
        <v>10</v>
      </c>
      <c r="I892" s="86"/>
      <c r="J892" s="86"/>
      <c r="K892" s="86"/>
      <c r="L892" s="5535" t="s">
        <v>9070</v>
      </c>
      <c r="M892" s="5535"/>
      <c r="N892" s="5535"/>
      <c r="O892" s="5535"/>
      <c r="P892" s="5535"/>
      <c r="Q892" s="5535"/>
      <c r="R892" s="5535"/>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-10</v>
      </c>
      <c r="AB892" s="857">
        <f t="array" ref="AB892">HE_final-PDs!$X$24+MIN(PDs!$X$24+I$906-I892,50)+MAX(W$816:W891*$Y$816:$Y891,W893:W$905*$Y893:$Y$905)</f>
        <v>15</v>
      </c>
      <c r="AC892" s="1430">
        <f t="array" ref="AC892">HP_final-PDs!$X$23+MIN(PDs!$X$23+J$906-J892,50)+MAX(W$816:W891*$Y$816:$Y891,W893:W$905*$Y893:$Y$905)</f>
        <v>0</v>
      </c>
    </row>
    <row r="893" spans="1:29" ht="12.75" customHeight="1" x14ac:dyDescent="0.2">
      <c r="A893" s="242">
        <v>893</v>
      </c>
      <c r="B893" s="5664"/>
      <c r="C893" s="542"/>
      <c r="D893" s="226" t="s">
        <v>983</v>
      </c>
      <c r="E893" s="86">
        <v>0</v>
      </c>
      <c r="F893" s="86"/>
      <c r="G893" s="86">
        <v>30</v>
      </c>
      <c r="H893" s="86"/>
      <c r="I893" s="86"/>
      <c r="J893" s="86"/>
      <c r="K893" s="86"/>
      <c r="L893" s="5535" t="s">
        <v>9071</v>
      </c>
      <c r="M893" s="5535"/>
      <c r="N893" s="5535"/>
      <c r="O893" s="5535"/>
      <c r="P893" s="5535"/>
      <c r="Q893" s="5535"/>
      <c r="R893" s="5535"/>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0</v>
      </c>
      <c r="AB893" s="857">
        <f t="array" ref="AB893">HE_final-PDs!$X$24+MIN(PDs!$X$24+I$906-I893,50)+MAX(W$816:W892*$Y$816:$Y892,W894:W$905*$Y894:$Y$905)</f>
        <v>15</v>
      </c>
      <c r="AC893" s="1430">
        <f t="array" ref="AC893">HP_final-PDs!$X$23+MIN(PDs!$X$23+J$906-J893,50)+MAX(W$816:W892*$Y$816:$Y892,W894:W$905*$Y894:$Y$905)</f>
        <v>0</v>
      </c>
    </row>
    <row r="894" spans="1:29" ht="12.75" customHeight="1" x14ac:dyDescent="0.2">
      <c r="A894" s="242">
        <v>894</v>
      </c>
      <c r="B894" s="5664"/>
      <c r="C894" s="542"/>
      <c r="D894" s="226" t="s">
        <v>984</v>
      </c>
      <c r="E894" s="86">
        <v>0</v>
      </c>
      <c r="F894" s="86"/>
      <c r="G894" s="86">
        <v>10</v>
      </c>
      <c r="H894" s="86"/>
      <c r="I894" s="86">
        <v>10</v>
      </c>
      <c r="J894" s="86">
        <v>10</v>
      </c>
      <c r="K894" s="86"/>
      <c r="L894" s="5535" t="s">
        <v>985</v>
      </c>
      <c r="M894" s="5535"/>
      <c r="N894" s="5535"/>
      <c r="O894" s="5535"/>
      <c r="P894" s="5535"/>
      <c r="Q894" s="5535"/>
      <c r="R894" s="5535"/>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0</v>
      </c>
      <c r="AB894" s="857">
        <f t="array" ref="AB894">HE_final-PDs!$X$24+MIN(PDs!$X$24+I$906-I894,50)+MAX(W$816:W893*$Y$816:$Y893,W895:W$905*$Y895:$Y$905)</f>
        <v>5</v>
      </c>
      <c r="AC894" s="1430">
        <f t="array" ref="AC894">HP_final-PDs!$X$23+MIN(PDs!$X$23+J$906-J894,50)+MAX(W$816:W893*$Y$816:$Y893,W895:W$905*$Y895:$Y$905)</f>
        <v>-10</v>
      </c>
    </row>
    <row r="895" spans="1:29" ht="12.75" customHeight="1" x14ac:dyDescent="0.2">
      <c r="A895" s="242">
        <v>895</v>
      </c>
      <c r="B895" s="5664"/>
      <c r="C895" s="542"/>
      <c r="D895" s="226" t="s">
        <v>986</v>
      </c>
      <c r="E895" s="86">
        <v>0</v>
      </c>
      <c r="F895" s="86"/>
      <c r="G895" s="86">
        <v>30</v>
      </c>
      <c r="H895" s="86"/>
      <c r="I895" s="86"/>
      <c r="J895" s="86"/>
      <c r="K895" s="86"/>
      <c r="L895" s="5535" t="s">
        <v>987</v>
      </c>
      <c r="M895" s="5535"/>
      <c r="N895" s="5535"/>
      <c r="O895" s="5535"/>
      <c r="P895" s="5535"/>
      <c r="Q895" s="5535"/>
      <c r="R895" s="5535"/>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0</v>
      </c>
      <c r="AB895" s="857">
        <f t="array" ref="AB895">HE_final-PDs!$X$24+MIN(PDs!$X$24+I$906-I895,50)+MAX(W$816:W894*$Y$816:$Y894,W896:W$905*$Y896:$Y$905)</f>
        <v>15</v>
      </c>
      <c r="AC895" s="1430">
        <f t="array" ref="AC895">HP_final-PDs!$X$23+MIN(PDs!$X$23+J$906-J895,50)+MAX(W$816:W894*$Y$816:$Y894,W896:W$905*$Y896:$Y$905)</f>
        <v>0</v>
      </c>
    </row>
    <row r="896" spans="1:29" ht="12.75" customHeight="1" x14ac:dyDescent="0.2">
      <c r="A896" s="242">
        <v>896</v>
      </c>
      <c r="B896" s="5664"/>
      <c r="C896" s="542"/>
      <c r="D896" s="226" t="s">
        <v>988</v>
      </c>
      <c r="E896" s="86">
        <v>0</v>
      </c>
      <c r="F896" s="86"/>
      <c r="G896" s="86">
        <v>10</v>
      </c>
      <c r="H896" s="86"/>
      <c r="I896" s="86">
        <v>20</v>
      </c>
      <c r="J896" s="86">
        <v>20</v>
      </c>
      <c r="K896" s="86"/>
      <c r="L896" s="5535" t="s">
        <v>9072</v>
      </c>
      <c r="M896" s="5535"/>
      <c r="N896" s="5535"/>
      <c r="O896" s="5535"/>
      <c r="P896" s="5535"/>
      <c r="Q896" s="5535"/>
      <c r="R896" s="5535"/>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0</v>
      </c>
      <c r="AB896" s="857">
        <f t="array" ref="AB896">HE_final-PDs!$X$24+MIN(PDs!$X$24+I$906-I896,50)+MAX(W$816:W895*$Y$816:$Y895,W897:W$905*$Y897:$Y$905)</f>
        <v>-5</v>
      </c>
      <c r="AC896" s="1430">
        <f t="array" ref="AC896">HP_final-PDs!$X$23+MIN(PDs!$X$23+J$906-J896,50)+MAX(W$816:W895*$Y$816:$Y895,W897:W$905*$Y897:$Y$905)</f>
        <v>-20</v>
      </c>
    </row>
    <row r="897" spans="1:29" ht="12.75" customHeight="1" x14ac:dyDescent="0.2">
      <c r="A897" s="242">
        <v>897</v>
      </c>
      <c r="B897" s="5664"/>
      <c r="C897" s="542"/>
      <c r="D897" s="226" t="s">
        <v>989</v>
      </c>
      <c r="E897" s="86">
        <v>0</v>
      </c>
      <c r="F897" s="86"/>
      <c r="G897" s="86">
        <v>20</v>
      </c>
      <c r="H897" s="86"/>
      <c r="I897" s="86"/>
      <c r="J897" s="86"/>
      <c r="K897" s="86"/>
      <c r="L897" s="5535" t="s">
        <v>9073</v>
      </c>
      <c r="M897" s="5535"/>
      <c r="N897" s="5535"/>
      <c r="O897" s="5535"/>
      <c r="P897" s="5535"/>
      <c r="Q897" s="5535"/>
      <c r="R897" s="5535"/>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0</v>
      </c>
      <c r="AB897" s="857">
        <f t="array" ref="AB897">HE_final-PDs!$X$24+MIN(PDs!$X$24+I$906-I897,50)+MAX(W$816:W896*$Y$816:$Y896,W898:W$905*$Y898:$Y$905)</f>
        <v>15</v>
      </c>
      <c r="AC897" s="1430">
        <f t="array" ref="AC897">HP_final-PDs!$X$23+MIN(PDs!$X$23+J$906-J897,50)+MAX(W$816:W896*$Y$816:$Y896,W898:W$905*$Y898:$Y$905)</f>
        <v>0</v>
      </c>
    </row>
    <row r="898" spans="1:29" ht="12.75" customHeight="1" x14ac:dyDescent="0.2">
      <c r="A898" s="242">
        <v>898</v>
      </c>
      <c r="B898" s="5664"/>
      <c r="C898" s="542"/>
      <c r="D898" s="226" t="s">
        <v>990</v>
      </c>
      <c r="E898" s="86">
        <v>0</v>
      </c>
      <c r="F898" s="86">
        <v>10</v>
      </c>
      <c r="G898" s="86">
        <v>10</v>
      </c>
      <c r="H898" s="86">
        <v>20</v>
      </c>
      <c r="I898" s="86"/>
      <c r="J898" s="86"/>
      <c r="K898" s="86"/>
      <c r="L898" s="5535" t="s">
        <v>9074</v>
      </c>
      <c r="M898" s="5535"/>
      <c r="N898" s="5535"/>
      <c r="O898" s="5535"/>
      <c r="P898" s="5535"/>
      <c r="Q898" s="5535"/>
      <c r="R898" s="5535"/>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-20</v>
      </c>
      <c r="AB898" s="857">
        <f t="array" ref="AB898">HE_final-PDs!$X$24+MIN(PDs!$X$24+I$906-I898,50)+MAX(W$816:W897*$Y$816:$Y897,W899:W$905*$Y899:$Y$905)</f>
        <v>15</v>
      </c>
      <c r="AC898" s="1430">
        <f t="array" ref="AC898">HP_final-PDs!$X$23+MIN(PDs!$X$23+J$906-J898,50)+MAX(W$816:W897*$Y$816:$Y897,W899:W$905*$Y899:$Y$905)</f>
        <v>0</v>
      </c>
    </row>
    <row r="899" spans="1:29" ht="12.75" customHeight="1" x14ac:dyDescent="0.2">
      <c r="A899" s="242">
        <v>899</v>
      </c>
      <c r="B899" s="5664"/>
      <c r="C899" s="542"/>
      <c r="D899" s="226" t="s">
        <v>991</v>
      </c>
      <c r="E899" s="86">
        <v>0</v>
      </c>
      <c r="F899" s="86"/>
      <c r="G899" s="86">
        <v>20</v>
      </c>
      <c r="H899" s="86"/>
      <c r="I899" s="86"/>
      <c r="J899" s="86"/>
      <c r="K899" s="86"/>
      <c r="L899" s="5535" t="s">
        <v>992</v>
      </c>
      <c r="M899" s="5535"/>
      <c r="N899" s="5535"/>
      <c r="O899" s="5535"/>
      <c r="P899" s="5535"/>
      <c r="Q899" s="5535"/>
      <c r="R899" s="5535"/>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0</v>
      </c>
      <c r="AB899" s="857">
        <f t="array" ref="AB899">HE_final-PDs!$X$24+MIN(PDs!$X$24+I$906-I899,50)+MAX(W$816:W898*$Y$816:$Y898,W900:W$905*$Y900:$Y$905)</f>
        <v>15</v>
      </c>
      <c r="AC899" s="1430">
        <f t="array" ref="AC899">HP_final-PDs!$X$23+MIN(PDs!$X$23+J$906-J899,50)+MAX(W$816:W898*$Y$816:$Y898,W900:W$905*$Y900:$Y$905)</f>
        <v>0</v>
      </c>
    </row>
    <row r="900" spans="1:29" ht="12.75" customHeight="1" x14ac:dyDescent="0.2">
      <c r="A900" s="242">
        <v>900</v>
      </c>
      <c r="B900" s="5664"/>
      <c r="C900" s="542"/>
      <c r="D900" s="226" t="s">
        <v>993</v>
      </c>
      <c r="E900" s="86">
        <v>0</v>
      </c>
      <c r="F900" s="86"/>
      <c r="G900" s="86">
        <v>10</v>
      </c>
      <c r="H900" s="86"/>
      <c r="I900" s="86">
        <v>20</v>
      </c>
      <c r="J900" s="86">
        <v>20</v>
      </c>
      <c r="K900" s="86"/>
      <c r="L900" s="5535" t="s">
        <v>994</v>
      </c>
      <c r="M900" s="5535"/>
      <c r="N900" s="5535"/>
      <c r="O900" s="5535"/>
      <c r="P900" s="5535"/>
      <c r="Q900" s="5535"/>
      <c r="R900" s="5535"/>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0</v>
      </c>
      <c r="AB900" s="857">
        <f t="array" ref="AB900">HE_final-PDs!$X$24+MIN(PDs!$X$24+I$906-I900,50)+MAX(W$816:W899*$Y$816:$Y899,W901:W$905*$Y901:$Y$905)</f>
        <v>-5</v>
      </c>
      <c r="AC900" s="1430">
        <f t="array" ref="AC900">HP_final-PDs!$X$23+MIN(PDs!$X$23+J$906-J900,50)+MAX(W$816:W899*$Y$816:$Y899,W901:W$905*$Y901:$Y$905)</f>
        <v>-20</v>
      </c>
    </row>
    <row r="901" spans="1:29" ht="12.75" customHeight="1" x14ac:dyDescent="0.2">
      <c r="A901" s="242">
        <v>901</v>
      </c>
      <c r="B901" s="5664"/>
      <c r="C901" s="542"/>
      <c r="D901" s="226" t="s">
        <v>995</v>
      </c>
      <c r="E901" s="86">
        <v>0</v>
      </c>
      <c r="F901" s="86"/>
      <c r="G901" s="86">
        <v>20</v>
      </c>
      <c r="H901" s="86"/>
      <c r="I901" s="86"/>
      <c r="J901" s="86"/>
      <c r="K901" s="86"/>
      <c r="L901" s="5535" t="s">
        <v>996</v>
      </c>
      <c r="M901" s="5535"/>
      <c r="N901" s="5535"/>
      <c r="O901" s="5535"/>
      <c r="P901" s="5535"/>
      <c r="Q901" s="5535"/>
      <c r="R901" s="5535"/>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0</v>
      </c>
      <c r="AB901" s="857">
        <f t="array" ref="AB901">HE_final-PDs!$X$24+MIN(PDs!$X$24+I$906-I901,50)+MAX(W$816:W900*$Y$816:$Y900,W902:W$905*$Y902:$Y$905)</f>
        <v>15</v>
      </c>
      <c r="AC901" s="1430">
        <f t="array" ref="AC901">HP_final-PDs!$X$23+MIN(PDs!$X$23+J$906-J901,50)+MAX(W$816:W900*$Y$816:$Y900,W902:W$905*$Y902:$Y$905)</f>
        <v>0</v>
      </c>
    </row>
    <row r="902" spans="1:29" ht="12.75" customHeight="1" x14ac:dyDescent="0.2">
      <c r="A902" s="242">
        <v>902</v>
      </c>
      <c r="B902" s="5664"/>
      <c r="C902" s="542"/>
      <c r="D902" s="226" t="s">
        <v>997</v>
      </c>
      <c r="E902" s="86">
        <v>0</v>
      </c>
      <c r="F902" s="86"/>
      <c r="G902" s="86">
        <v>15</v>
      </c>
      <c r="H902" s="86">
        <v>10</v>
      </c>
      <c r="I902" s="86"/>
      <c r="J902" s="86"/>
      <c r="K902" s="86"/>
      <c r="L902" s="5535" t="s">
        <v>998</v>
      </c>
      <c r="M902" s="5535"/>
      <c r="N902" s="5535"/>
      <c r="O902" s="5535"/>
      <c r="P902" s="5535"/>
      <c r="Q902" s="5535"/>
      <c r="R902" s="5535"/>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-10</v>
      </c>
      <c r="AB902" s="857">
        <f t="array" ref="AB902">HE_final-PDs!$X$24+MIN(PDs!$X$24+I$906-I902,50)+MAX(W$816:W901*$Y$816:$Y901,W903:W$905*$Y903:$Y$905)</f>
        <v>15</v>
      </c>
      <c r="AC902" s="1430">
        <f t="array" ref="AC902">HP_final-PDs!$X$23+MIN(PDs!$X$23+J$906-J902,50)+MAX(W$816:W901*$Y$816:$Y901,W903:W$905*$Y903:$Y$905)</f>
        <v>0</v>
      </c>
    </row>
    <row r="903" spans="1:29" ht="12.75" customHeight="1" x14ac:dyDescent="0.2">
      <c r="A903" s="242">
        <v>903</v>
      </c>
      <c r="B903" s="5664"/>
      <c r="C903" s="542"/>
      <c r="D903" s="226" t="s">
        <v>999</v>
      </c>
      <c r="E903" s="86">
        <v>0</v>
      </c>
      <c r="F903" s="86">
        <f>Bono_Pod</f>
        <v>15</v>
      </c>
      <c r="G903" s="86">
        <v>35</v>
      </c>
      <c r="H903" s="86"/>
      <c r="I903" s="86"/>
      <c r="J903" s="86"/>
      <c r="K903" s="86"/>
      <c r="L903" s="5535" t="s">
        <v>1000</v>
      </c>
      <c r="M903" s="5535"/>
      <c r="N903" s="5535"/>
      <c r="O903" s="5535"/>
      <c r="P903" s="5535"/>
      <c r="Q903" s="5535"/>
      <c r="R903" s="5535"/>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0</v>
      </c>
      <c r="AB903" s="857">
        <f t="array" ref="AB903">HE_final-PDs!$X$24+MIN(PDs!$X$24+I$906-I903,50)+MAX(W$816:W902*$Y$816:$Y902,W904:W$905*$Y904:$Y$905)</f>
        <v>15</v>
      </c>
      <c r="AC903" s="1430">
        <f t="array" ref="AC903">HP_final-PDs!$X$23+MIN(PDs!$X$23+J$906-J903,50)+MAX(W$816:W902*$Y$816:$Y902,W904:W$905*$Y904:$Y$905)</f>
        <v>0</v>
      </c>
    </row>
    <row r="904" spans="1:29" ht="12.75" customHeight="1" x14ac:dyDescent="0.2">
      <c r="A904" s="242">
        <v>904</v>
      </c>
      <c r="B904" s="5664"/>
      <c r="C904" s="542"/>
      <c r="D904" s="226" t="s">
        <v>1001</v>
      </c>
      <c r="E904" s="86">
        <v>0</v>
      </c>
      <c r="F904" s="86"/>
      <c r="G904" s="86">
        <v>20</v>
      </c>
      <c r="H904" s="86"/>
      <c r="I904" s="86">
        <v>20</v>
      </c>
      <c r="J904" s="86">
        <v>20</v>
      </c>
      <c r="K904" s="86"/>
      <c r="L904" s="5535" t="s">
        <v>1464</v>
      </c>
      <c r="M904" s="5535"/>
      <c r="N904" s="5535"/>
      <c r="O904" s="5535"/>
      <c r="P904" s="5535"/>
      <c r="Q904" s="5535"/>
      <c r="R904" s="5535"/>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0</v>
      </c>
      <c r="AB904" s="857">
        <f t="array" ref="AB904">HE_final-PDs!$X$24+MIN(PDs!$X$24+I$906-I904,50)+MAX(W$816:W903*$Y$816:$Y903,W905:W$905*$Y905:$Y$905)</f>
        <v>-5</v>
      </c>
      <c r="AC904" s="1430">
        <f t="array" ref="AC904">HP_final-PDs!$X$23+MIN(PDs!$X$23+J$906-J904,50)+MAX(W$816:W903*$Y$816:$Y903,W905:W$905*$Y905:$Y$905)</f>
        <v>-20</v>
      </c>
    </row>
    <row r="905" spans="1:29" ht="12.75" customHeight="1" thickBot="1" x14ac:dyDescent="0.25">
      <c r="A905" s="242">
        <v>905</v>
      </c>
      <c r="B905" s="5664"/>
      <c r="C905" s="544"/>
      <c r="D905" s="1117" t="s">
        <v>1002</v>
      </c>
      <c r="E905" s="1118">
        <v>0</v>
      </c>
      <c r="F905" s="1118"/>
      <c r="G905" s="1118">
        <v>40</v>
      </c>
      <c r="H905" s="1118"/>
      <c r="I905" s="1193"/>
      <c r="J905" s="1118"/>
      <c r="K905" s="1118"/>
      <c r="L905" s="5800" t="s">
        <v>1003</v>
      </c>
      <c r="M905" s="5800"/>
      <c r="N905" s="5800"/>
      <c r="O905" s="5800"/>
      <c r="P905" s="5800"/>
      <c r="Q905" s="5800"/>
      <c r="R905" s="5800"/>
      <c r="S905" s="2094">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0</v>
      </c>
      <c r="AB905" s="1396">
        <f t="array" ref="AB905">HE_final-PDs!$X$24+MIN(PDs!$X$24+I$906-I905,50)+MAX(W$816:W904*$Y$816:$Y904)</f>
        <v>15</v>
      </c>
      <c r="AC905" s="1435">
        <f t="array" ref="AC905">HP_final-PDs!$X$23+MIN(PDs!$X$23+J$906-J905,50)+MAX(W$816:W904*$Y$816:$Y904)</f>
        <v>0</v>
      </c>
    </row>
    <row r="906" spans="1:29" ht="12.75" customHeight="1" thickBot="1" x14ac:dyDescent="0.25">
      <c r="A906" s="242">
        <v>906</v>
      </c>
      <c r="B906" s="5664"/>
      <c r="F906" s="5717">
        <f>SUMPRODUCT($F$817:$F$905,$Y$817:$Y$905)</f>
        <v>0</v>
      </c>
      <c r="G906" s="5698" t="s">
        <v>1004</v>
      </c>
      <c r="H906" s="5566">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66">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66">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15">
        <f>Tablas!$K$872*Tablas!$Y$872+Tablas!K821*Tablas!$Y$821+Tablas!K820*Tablas!$Y$820+Tablas!K822*Tablas!$Y$822+Tablas!K877*Tablas!$Y$877+Tablas!K876*Tablas!$Y$876+Tablas!K885*Tablas!$Y$885+Tablas!K884*Tablas!$Y$884</f>
        <v>0</v>
      </c>
      <c r="L906" s="5719" t="s">
        <v>1005</v>
      </c>
      <c r="M906" s="5721">
        <f>+MAX(Tablas!V873*Tablas!Y873,Tablas!V875*Tablas!Y875,Tablas!V877*Tablas!Y877,Tablas!V879*Tablas!Y879,Tablas!V881*Tablas!Y881,Tablas!V883*Tablas!Y883,Tablas!V885*Tablas!Y885,Tablas!V887*Tablas!Y887,Tablas!V891*Tablas!Y891,Tablas!V893*Tablas!Y893,Tablas!V899*Tablas!Y899,Tablas!V903*Tablas!Y903)</f>
        <v>0</v>
      </c>
      <c r="N906" s="5696">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664"/>
      <c r="F907" s="5718"/>
      <c r="G907" s="5699"/>
      <c r="H907" s="5567"/>
      <c r="I907" s="5567"/>
      <c r="J907" s="5567"/>
      <c r="K907" s="5716"/>
      <c r="L907" s="5720"/>
      <c r="M907" s="5722"/>
      <c r="N907" s="5697"/>
      <c r="O907" s="1010">
        <f>MAX(Tablas!$X$816:$X$905)</f>
        <v>0</v>
      </c>
    </row>
    <row r="908" spans="1:29" ht="12.75" customHeight="1" x14ac:dyDescent="0.2">
      <c r="A908" s="242">
        <v>908</v>
      </c>
      <c r="B908" s="5664"/>
      <c r="H908"/>
      <c r="I908" s="624"/>
      <c r="N908"/>
      <c r="O908" s="624"/>
    </row>
    <row r="909" spans="1:29" ht="12.75" customHeight="1" thickBot="1" x14ac:dyDescent="0.25">
      <c r="A909" s="242">
        <v>909</v>
      </c>
      <c r="B909" s="5664"/>
      <c r="H909"/>
      <c r="I909" s="624"/>
      <c r="N909"/>
      <c r="O909" s="624"/>
    </row>
    <row r="910" spans="1:29" ht="12.75" customHeight="1" x14ac:dyDescent="0.2">
      <c r="A910" s="242">
        <v>910</v>
      </c>
      <c r="B910" s="5664"/>
      <c r="C910" s="5743" t="s">
        <v>7482</v>
      </c>
      <c r="D910" s="5753"/>
      <c r="E910" s="5753"/>
      <c r="F910" s="5753"/>
      <c r="G910" s="5753"/>
      <c r="H910" s="5753"/>
      <c r="I910" s="5753"/>
      <c r="J910" s="5753"/>
      <c r="K910" s="5753"/>
      <c r="L910" s="5753"/>
      <c r="M910" s="5753"/>
      <c r="N910" s="5744"/>
      <c r="P910" s="5743" t="s">
        <v>2629</v>
      </c>
      <c r="Q910" s="5753"/>
      <c r="R910" s="5753"/>
      <c r="S910" s="5753"/>
      <c r="T910" s="5753"/>
      <c r="U910" s="5753"/>
      <c r="V910" s="5753"/>
      <c r="W910" s="5753"/>
      <c r="X910" s="5753"/>
      <c r="Y910" s="5753"/>
      <c r="Z910" s="5753"/>
      <c r="AA910" s="5753"/>
      <c r="AB910" s="5744"/>
    </row>
    <row r="911" spans="1:29" ht="12.75" customHeight="1" x14ac:dyDescent="0.2">
      <c r="A911" s="242">
        <v>911</v>
      </c>
      <c r="B911" s="5664"/>
      <c r="C911" s="1074"/>
      <c r="D911" s="1032"/>
      <c r="E911" s="1032">
        <v>1</v>
      </c>
      <c r="F911" s="1032">
        <v>2</v>
      </c>
      <c r="G911" s="1032">
        <v>3</v>
      </c>
      <c r="H911" s="1032">
        <v>4</v>
      </c>
      <c r="I911" s="1032">
        <v>5</v>
      </c>
      <c r="J911" s="1032">
        <v>6</v>
      </c>
      <c r="K911" s="1032">
        <v>7</v>
      </c>
      <c r="L911" s="1032">
        <v>8</v>
      </c>
      <c r="M911" s="1032">
        <v>9</v>
      </c>
      <c r="N911" s="1075">
        <v>10</v>
      </c>
      <c r="P911" s="5745"/>
      <c r="Q911" s="5754"/>
      <c r="R911" s="5754"/>
      <c r="S911" s="5754"/>
      <c r="T911" s="5754"/>
      <c r="U911" s="5754"/>
      <c r="V911" s="5754"/>
      <c r="W911" s="5754"/>
      <c r="X911" s="5754"/>
      <c r="Y911" s="5754"/>
      <c r="Z911" s="5754"/>
      <c r="AA911" s="5754"/>
      <c r="AB911" s="5746"/>
    </row>
    <row r="912" spans="1:29" ht="12.75" customHeight="1" thickBot="1" x14ac:dyDescent="0.25">
      <c r="A912" s="242">
        <v>912</v>
      </c>
      <c r="B912" s="5664"/>
      <c r="C912" s="1074"/>
      <c r="D912" s="1032"/>
      <c r="E912" s="1040" t="s">
        <v>2597</v>
      </c>
      <c r="F912" s="222" t="s">
        <v>1498</v>
      </c>
      <c r="G912" s="222" t="s">
        <v>2289</v>
      </c>
      <c r="H912" s="222" t="s">
        <v>863</v>
      </c>
      <c r="I912" s="250" t="s">
        <v>1558</v>
      </c>
      <c r="J912" s="250"/>
      <c r="K912" s="1032" t="s">
        <v>7483</v>
      </c>
      <c r="L912" s="1032" t="s">
        <v>7484</v>
      </c>
      <c r="M912" s="1032" t="s">
        <v>7485</v>
      </c>
      <c r="N912" s="1043" t="s">
        <v>7486</v>
      </c>
      <c r="P912" s="1345"/>
      <c r="Q912" s="1526"/>
      <c r="R912" s="1526" t="s">
        <v>1449</v>
      </c>
      <c r="S912" s="1526" t="s">
        <v>1498</v>
      </c>
      <c r="T912" s="1526" t="s">
        <v>8820</v>
      </c>
      <c r="U912" s="1527" t="s">
        <v>1558</v>
      </c>
      <c r="V912" s="1374"/>
      <c r="W912" s="1374"/>
      <c r="X912" s="1374"/>
      <c r="Y912" s="1374" t="s">
        <v>8826</v>
      </c>
      <c r="Z912" s="1374"/>
      <c r="AA912" s="1374"/>
      <c r="AB912" s="1528"/>
    </row>
    <row r="913" spans="1:28" ht="12.75" customHeight="1" x14ac:dyDescent="0.2">
      <c r="A913" s="242">
        <v>913</v>
      </c>
      <c r="B913" s="5664"/>
      <c r="C913" s="542"/>
      <c r="D913" s="23"/>
      <c r="E913" s="226" t="s">
        <v>868</v>
      </c>
      <c r="F913" s="95">
        <v>0</v>
      </c>
      <c r="G913" s="86"/>
      <c r="H913" s="86" t="s">
        <v>1464</v>
      </c>
      <c r="I913" s="86" t="s">
        <v>1464</v>
      </c>
      <c r="J913" s="23"/>
      <c r="K913" s="56"/>
      <c r="L913" s="23"/>
      <c r="M913" s="23"/>
      <c r="N913" s="652"/>
      <c r="P913" s="542"/>
      <c r="Q913" s="23"/>
      <c r="R913" s="235" t="s">
        <v>2630</v>
      </c>
      <c r="S913" s="95">
        <v>30</v>
      </c>
      <c r="T913" s="95">
        <v>0</v>
      </c>
      <c r="U913" s="15" t="s">
        <v>2631</v>
      </c>
      <c r="V913" s="56"/>
      <c r="W913" s="56"/>
      <c r="X913" s="56"/>
      <c r="Y913" s="15" t="s">
        <v>2631</v>
      </c>
      <c r="Z913" s="23"/>
      <c r="AA913" s="23"/>
      <c r="AB913" s="652"/>
    </row>
    <row r="914" spans="1:28" ht="12.75" customHeight="1" x14ac:dyDescent="0.2">
      <c r="A914" s="242">
        <v>914</v>
      </c>
      <c r="B914" s="5664"/>
      <c r="C914" s="1114"/>
      <c r="D914" s="23"/>
      <c r="E914" s="226" t="s">
        <v>1006</v>
      </c>
      <c r="F914" s="86">
        <v>40</v>
      </c>
      <c r="G914" s="86">
        <f>IF(COUNTIF(PDs!$E$75:$E$77,Tablas!E914)&gt;0,1,0)</f>
        <v>0</v>
      </c>
      <c r="H914" s="86" t="str">
        <f>IF(Tablas!Y817=0,"NO","-")</f>
        <v>NO</v>
      </c>
      <c r="I914" s="23" t="s">
        <v>7488</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7371</v>
      </c>
      <c r="P914" s="542"/>
      <c r="Q914" s="23"/>
      <c r="R914" s="235" t="s">
        <v>2632</v>
      </c>
      <c r="S914" s="95">
        <v>50</v>
      </c>
      <c r="T914" s="95">
        <v>0</v>
      </c>
      <c r="U914" s="15" t="s">
        <v>2633</v>
      </c>
      <c r="V914" s="56"/>
      <c r="W914" s="56"/>
      <c r="X914" s="56"/>
      <c r="Y914" s="15" t="s">
        <v>2633</v>
      </c>
      <c r="Z914" s="23"/>
      <c r="AA914" s="23"/>
      <c r="AB914" s="652"/>
    </row>
    <row r="915" spans="1:28" ht="12.75" customHeight="1" x14ac:dyDescent="0.2">
      <c r="A915" s="242">
        <v>915</v>
      </c>
      <c r="B915" s="5664"/>
      <c r="C915" s="1114"/>
      <c r="D915" s="23"/>
      <c r="E915" s="226" t="s">
        <v>1007</v>
      </c>
      <c r="F915" s="86">
        <v>10</v>
      </c>
      <c r="G915" s="86">
        <f>IF(COUNTIF(PDs!$E$75:$E$77,Tablas!E915)&gt;0,1,0)</f>
        <v>0</v>
      </c>
      <c r="H915" s="86" t="str">
        <f>IF(Tablas!Y820=0,"NO","-")</f>
        <v>NO</v>
      </c>
      <c r="I915" s="23" t="s">
        <v>7489</v>
      </c>
      <c r="J915" s="23"/>
      <c r="K915" s="86">
        <f t="shared" si="213"/>
        <v>0</v>
      </c>
      <c r="L915" s="86">
        <f t="shared" si="214"/>
        <v>0</v>
      </c>
      <c r="M915" s="86">
        <f t="shared" si="215"/>
        <v>0</v>
      </c>
      <c r="N915" s="1115" t="s">
        <v>7372</v>
      </c>
      <c r="P915" s="542"/>
      <c r="Q915" s="23"/>
      <c r="R915" s="235" t="s">
        <v>2634</v>
      </c>
      <c r="S915" s="95">
        <v>50</v>
      </c>
      <c r="T915" s="95">
        <v>0</v>
      </c>
      <c r="U915" s="15" t="s">
        <v>2635</v>
      </c>
      <c r="V915" s="56"/>
      <c r="W915" s="56"/>
      <c r="X915" s="56"/>
      <c r="Y915" s="15" t="s">
        <v>2635</v>
      </c>
      <c r="Z915" s="23"/>
      <c r="AA915" s="23"/>
      <c r="AB915" s="652"/>
    </row>
    <row r="916" spans="1:28" ht="12.75" customHeight="1" x14ac:dyDescent="0.2">
      <c r="A916" s="242">
        <v>916</v>
      </c>
      <c r="B916" s="5664"/>
      <c r="C916" s="1114"/>
      <c r="D916" s="23"/>
      <c r="E916" s="226" t="s">
        <v>1008</v>
      </c>
      <c r="F916" s="86">
        <v>30</v>
      </c>
      <c r="G916" s="86">
        <f>IF(COUNTIF(PDs!$E$75:$E$77,Tablas!E916)&gt;0,1,0)</f>
        <v>0</v>
      </c>
      <c r="H916" s="86" t="str">
        <f>IF(Tablas!Y823=0,"NO","-")</f>
        <v>NO</v>
      </c>
      <c r="I916" s="23" t="s">
        <v>7490</v>
      </c>
      <c r="J916" s="23"/>
      <c r="K916" s="86">
        <f t="shared" si="213"/>
        <v>0</v>
      </c>
      <c r="L916" s="86">
        <f t="shared" si="214"/>
        <v>0</v>
      </c>
      <c r="M916" s="86">
        <f t="shared" si="215"/>
        <v>0</v>
      </c>
      <c r="N916" s="1115" t="s">
        <v>7373</v>
      </c>
      <c r="P916" s="542"/>
      <c r="Q916" s="23"/>
      <c r="R916" s="235" t="s">
        <v>2636</v>
      </c>
      <c r="S916" s="95">
        <v>40</v>
      </c>
      <c r="T916" s="95">
        <v>0</v>
      </c>
      <c r="U916" s="15" t="s">
        <v>2637</v>
      </c>
      <c r="V916" s="56"/>
      <c r="W916" s="56"/>
      <c r="X916" s="56"/>
      <c r="Y916" s="15" t="s">
        <v>2637</v>
      </c>
      <c r="Z916" s="23"/>
      <c r="AA916" s="23"/>
      <c r="AB916" s="652"/>
    </row>
    <row r="917" spans="1:28" ht="12.75" customHeight="1" x14ac:dyDescent="0.2">
      <c r="A917" s="242">
        <v>917</v>
      </c>
      <c r="B917" s="5664"/>
      <c r="C917" s="1114"/>
      <c r="D917" s="23"/>
      <c r="E917" s="226" t="s">
        <v>1009</v>
      </c>
      <c r="F917" s="86">
        <v>10</v>
      </c>
      <c r="G917" s="86">
        <f>IF(COUNTIF(PDs!$E$75:$E$77,Tablas!E917)&gt;0,1,0)</f>
        <v>0</v>
      </c>
      <c r="H917" s="86" t="str">
        <f>IF(Tablas!Y826=0,"NO","-")</f>
        <v>NO</v>
      </c>
      <c r="I917" s="23" t="s">
        <v>7491</v>
      </c>
      <c r="J917" s="23"/>
      <c r="K917" s="86">
        <f t="shared" si="213"/>
        <v>0</v>
      </c>
      <c r="L917" s="86">
        <f t="shared" si="214"/>
        <v>0</v>
      </c>
      <c r="M917" s="86">
        <f t="shared" si="215"/>
        <v>0</v>
      </c>
      <c r="N917" s="1115" t="s">
        <v>7374</v>
      </c>
      <c r="P917" s="542"/>
      <c r="Q917" s="23"/>
      <c r="R917" s="235" t="s">
        <v>2638</v>
      </c>
      <c r="S917" s="95">
        <v>50</v>
      </c>
      <c r="T917" s="95">
        <v>0</v>
      </c>
      <c r="U917" s="15" t="s">
        <v>823</v>
      </c>
      <c r="V917" s="56"/>
      <c r="W917" s="56"/>
      <c r="X917" s="56"/>
      <c r="Y917" s="15" t="s">
        <v>823</v>
      </c>
      <c r="Z917" s="23"/>
      <c r="AA917" s="23"/>
      <c r="AB917" s="652"/>
    </row>
    <row r="918" spans="1:28" ht="12.75" customHeight="1" x14ac:dyDescent="0.2">
      <c r="A918" s="242">
        <v>918</v>
      </c>
      <c r="B918" s="5664"/>
      <c r="C918" s="1114"/>
      <c r="D918" s="23"/>
      <c r="E918" s="226" t="s">
        <v>1010</v>
      </c>
      <c r="F918" s="86">
        <v>40</v>
      </c>
      <c r="G918" s="86">
        <f>IF(COUNTIF(PDs!$E$75:$E$77,Tablas!E918)&gt;0,1,0)</f>
        <v>0</v>
      </c>
      <c r="H918" s="86" t="str">
        <f>IF(Tablas!Y829=0,"NO","-")</f>
        <v>NO</v>
      </c>
      <c r="I918" s="23" t="s">
        <v>7492</v>
      </c>
      <c r="J918" s="23"/>
      <c r="K918" s="86">
        <f t="shared" si="213"/>
        <v>0</v>
      </c>
      <c r="L918" s="86">
        <f t="shared" si="214"/>
        <v>0</v>
      </c>
      <c r="M918" s="86">
        <f t="shared" si="215"/>
        <v>0</v>
      </c>
      <c r="N918" s="1115" t="s">
        <v>7375</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664"/>
      <c r="C919" s="1114"/>
      <c r="D919" s="23"/>
      <c r="E919" s="226" t="s">
        <v>1011</v>
      </c>
      <c r="F919" s="86">
        <v>10</v>
      </c>
      <c r="G919" s="86">
        <f>IF(COUNTIF(PDs!$E$75:$E$77,Tablas!E919)&gt;0,1,0)</f>
        <v>0</v>
      </c>
      <c r="H919" s="86" t="str">
        <f>IF(Tablas!Y832=0,"NO","-")</f>
        <v>NO</v>
      </c>
      <c r="I919" s="23" t="s">
        <v>7493</v>
      </c>
      <c r="J919" s="23"/>
      <c r="K919" s="86">
        <f t="shared" si="213"/>
        <v>0</v>
      </c>
      <c r="L919" s="86">
        <f t="shared" si="214"/>
        <v>0</v>
      </c>
      <c r="M919" s="86">
        <f t="shared" si="215"/>
        <v>0</v>
      </c>
      <c r="N919" s="1115" t="s">
        <v>7376</v>
      </c>
      <c r="P919" s="542"/>
      <c r="Q919" s="23"/>
      <c r="R919" s="235" t="s">
        <v>826</v>
      </c>
      <c r="S919" s="95">
        <v>40</v>
      </c>
      <c r="T919" s="95">
        <v>1</v>
      </c>
      <c r="U919" s="15" t="s">
        <v>827</v>
      </c>
      <c r="V919" s="56"/>
      <c r="W919" s="56"/>
      <c r="X919" s="56"/>
      <c r="Y919" s="15" t="s">
        <v>8827</v>
      </c>
      <c r="Z919" s="23"/>
      <c r="AA919" s="23"/>
      <c r="AB919" s="652"/>
    </row>
    <row r="920" spans="1:28" ht="12.75" customHeight="1" x14ac:dyDescent="0.2">
      <c r="A920" s="242">
        <v>920</v>
      </c>
      <c r="B920" s="5664"/>
      <c r="C920" s="1114"/>
      <c r="D920" s="23"/>
      <c r="E920" s="226" t="s">
        <v>1012</v>
      </c>
      <c r="F920" s="86">
        <v>30</v>
      </c>
      <c r="G920" s="86">
        <f>IF(COUNTIF(PDs!$E$75:$E$77,Tablas!E920)&gt;0,1,0)</f>
        <v>0</v>
      </c>
      <c r="H920" s="86" t="str">
        <f>IF(Tablas!Y835=0,"NO","-")</f>
        <v>NO</v>
      </c>
      <c r="I920" s="23" t="s">
        <v>7494</v>
      </c>
      <c r="J920" s="23"/>
      <c r="K920" s="86">
        <f t="shared" si="213"/>
        <v>0</v>
      </c>
      <c r="L920" s="86">
        <f t="shared" si="214"/>
        <v>0</v>
      </c>
      <c r="M920" s="86">
        <f t="shared" si="215"/>
        <v>0</v>
      </c>
      <c r="N920" s="1115" t="s">
        <v>7377</v>
      </c>
      <c r="P920" s="542"/>
      <c r="Q920" s="23"/>
      <c r="R920" s="235" t="s">
        <v>828</v>
      </c>
      <c r="S920" s="95">
        <v>40</v>
      </c>
      <c r="T920" s="95">
        <v>0</v>
      </c>
      <c r="U920" s="15" t="s">
        <v>8830</v>
      </c>
      <c r="V920" s="56"/>
      <c r="W920" s="56"/>
      <c r="X920" s="56"/>
      <c r="Y920" s="15" t="s">
        <v>8830</v>
      </c>
      <c r="Z920" s="23"/>
      <c r="AA920" s="23"/>
      <c r="AB920" s="652"/>
    </row>
    <row r="921" spans="1:28" ht="12.75" customHeight="1" x14ac:dyDescent="0.2">
      <c r="A921" s="242">
        <v>921</v>
      </c>
      <c r="B921" s="5664"/>
      <c r="C921" s="1114"/>
      <c r="D921" s="23"/>
      <c r="E921" s="226" t="s">
        <v>1013</v>
      </c>
      <c r="F921" s="86">
        <v>60</v>
      </c>
      <c r="G921" s="86">
        <f>IF(COUNTIF(PDs!$E$75:$E$77,Tablas!E921)&gt;0,1,0)</f>
        <v>0</v>
      </c>
      <c r="H921" s="86" t="str">
        <f>IF(Tablas!Y838=0,"NO","-")</f>
        <v>NO</v>
      </c>
      <c r="I921" s="23" t="s">
        <v>7495</v>
      </c>
      <c r="J921" s="23"/>
      <c r="K921" s="86">
        <f t="shared" si="213"/>
        <v>0</v>
      </c>
      <c r="L921" s="86">
        <f t="shared" si="214"/>
        <v>0</v>
      </c>
      <c r="M921" s="86">
        <f t="shared" si="215"/>
        <v>0</v>
      </c>
      <c r="N921" s="1115" t="s">
        <v>7378</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664"/>
      <c r="C922" s="1114"/>
      <c r="D922" s="23"/>
      <c r="E922" s="226" t="s">
        <v>1014</v>
      </c>
      <c r="F922" s="86">
        <v>10</v>
      </c>
      <c r="G922" s="86">
        <f>IF(COUNTIF(PDs!$E$75:$E$77,Tablas!E922)&gt;0,1,0)</f>
        <v>0</v>
      </c>
      <c r="H922" s="86" t="str">
        <f>IF(Tablas!Y841=0,"NO","-")</f>
        <v>NO</v>
      </c>
      <c r="I922" s="23" t="s">
        <v>7496</v>
      </c>
      <c r="J922" s="23"/>
      <c r="K922" s="86">
        <f t="shared" si="213"/>
        <v>0</v>
      </c>
      <c r="L922" s="86">
        <f t="shared" si="214"/>
        <v>0</v>
      </c>
      <c r="M922" s="86">
        <f t="shared" si="215"/>
        <v>0</v>
      </c>
      <c r="N922" s="1115" t="s">
        <v>7379</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664"/>
      <c r="C923" s="1114"/>
      <c r="D923" s="23"/>
      <c r="E923" s="226" t="s">
        <v>1015</v>
      </c>
      <c r="F923" s="86">
        <v>20</v>
      </c>
      <c r="G923" s="86">
        <f>IF(COUNTIF(PDs!$E$75:$E$77,Tablas!E923)&gt;0,1,0)</f>
        <v>0</v>
      </c>
      <c r="H923" s="86" t="str">
        <f>IF(Tablas!Y844=0,"NO","-")</f>
        <v>NO</v>
      </c>
      <c r="I923" s="23" t="s">
        <v>7497</v>
      </c>
      <c r="J923" s="23"/>
      <c r="K923" s="86">
        <f t="shared" si="213"/>
        <v>0</v>
      </c>
      <c r="L923" s="86">
        <f t="shared" si="214"/>
        <v>0</v>
      </c>
      <c r="M923" s="86">
        <f t="shared" si="215"/>
        <v>0</v>
      </c>
      <c r="N923" s="1115" t="s">
        <v>7380</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664"/>
      <c r="C924" s="1114"/>
      <c r="D924" s="23"/>
      <c r="E924" s="226" t="s">
        <v>1016</v>
      </c>
      <c r="F924" s="86">
        <v>20</v>
      </c>
      <c r="G924" s="86">
        <f>IF(COUNTIF(PDs!$E$75:$E$77,Tablas!E924)&gt;0,1,0)</f>
        <v>0</v>
      </c>
      <c r="H924" s="86" t="str">
        <f>IF(Tablas!Y847=0,"NO","-")</f>
        <v>NO</v>
      </c>
      <c r="I924" s="23" t="s">
        <v>7498</v>
      </c>
      <c r="J924" s="23"/>
      <c r="K924" s="86">
        <f t="shared" si="213"/>
        <v>0</v>
      </c>
      <c r="L924" s="86">
        <f t="shared" si="214"/>
        <v>0</v>
      </c>
      <c r="M924" s="86">
        <f t="shared" si="215"/>
        <v>0</v>
      </c>
      <c r="N924" s="1115" t="s">
        <v>7381</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664"/>
      <c r="C925" s="1114"/>
      <c r="D925" s="23"/>
      <c r="E925" s="226" t="s">
        <v>1017</v>
      </c>
      <c r="F925" s="86">
        <v>20</v>
      </c>
      <c r="G925" s="86">
        <f>IF(COUNTIF(PDs!$E$75:$E$77,Tablas!E925)&gt;0,1,0)</f>
        <v>0</v>
      </c>
      <c r="H925" s="86" t="str">
        <f>IF(Tablas!Y850=0,"NO","-")</f>
        <v>NO</v>
      </c>
      <c r="I925" s="23" t="s">
        <v>7499</v>
      </c>
      <c r="J925" s="23"/>
      <c r="K925" s="86">
        <f t="shared" si="213"/>
        <v>0</v>
      </c>
      <c r="L925" s="86">
        <f t="shared" si="214"/>
        <v>0</v>
      </c>
      <c r="M925" s="86">
        <f t="shared" si="215"/>
        <v>0</v>
      </c>
      <c r="N925" s="1115" t="s">
        <v>7382</v>
      </c>
      <c r="P925" s="542"/>
      <c r="Q925" s="23"/>
      <c r="R925" s="235" t="s">
        <v>837</v>
      </c>
      <c r="S925" s="95">
        <v>40</v>
      </c>
      <c r="T925" s="95">
        <v>1</v>
      </c>
      <c r="U925" s="15" t="s">
        <v>838</v>
      </c>
      <c r="V925" s="56"/>
      <c r="W925" s="56"/>
      <c r="X925" s="56"/>
      <c r="Y925" s="15" t="s">
        <v>8828</v>
      </c>
      <c r="Z925" s="23"/>
      <c r="AA925" s="23"/>
      <c r="AB925" s="652"/>
    </row>
    <row r="926" spans="1:28" ht="12.75" customHeight="1" x14ac:dyDescent="0.2">
      <c r="A926" s="242">
        <v>926</v>
      </c>
      <c r="B926" s="5664"/>
      <c r="C926" s="1114"/>
      <c r="D926" s="23"/>
      <c r="E926" s="226" t="s">
        <v>1018</v>
      </c>
      <c r="F926" s="86">
        <v>30</v>
      </c>
      <c r="G926" s="86">
        <f>IF(COUNTIF(PDs!$E$75:$E$77,Tablas!E926)&gt;0,1,0)</f>
        <v>0</v>
      </c>
      <c r="H926" s="86" t="str">
        <f>IF(Tablas!Y853=0,"NO","-")</f>
        <v>NO</v>
      </c>
      <c r="I926" s="23" t="s">
        <v>7500</v>
      </c>
      <c r="J926" s="23"/>
      <c r="K926" s="86">
        <f t="shared" si="213"/>
        <v>0</v>
      </c>
      <c r="L926" s="86">
        <f t="shared" si="214"/>
        <v>0</v>
      </c>
      <c r="M926" s="86">
        <f t="shared" si="215"/>
        <v>0</v>
      </c>
      <c r="N926" s="1115" t="s">
        <v>7383</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664"/>
      <c r="C927" s="1114"/>
      <c r="D927" s="23"/>
      <c r="E927" s="226" t="s">
        <v>1019</v>
      </c>
      <c r="F927" s="86">
        <v>20</v>
      </c>
      <c r="G927" s="86">
        <f>IF(COUNTIF(PDs!$E$75:$E$77,Tablas!E927)&gt;0,1,0)</f>
        <v>0</v>
      </c>
      <c r="H927" s="86" t="str">
        <f>IF(Tablas!Y856=0,"NO","-")</f>
        <v>NO</v>
      </c>
      <c r="I927" s="23" t="s">
        <v>8901</v>
      </c>
      <c r="J927" s="23"/>
      <c r="K927" s="86">
        <f t="shared" si="213"/>
        <v>0</v>
      </c>
      <c r="L927" s="86">
        <f t="shared" si="214"/>
        <v>0</v>
      </c>
      <c r="M927" s="86">
        <f t="shared" si="215"/>
        <v>0</v>
      </c>
      <c r="N927" s="1115" t="s">
        <v>7384</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664"/>
      <c r="C928" s="1114"/>
      <c r="D928" s="23"/>
      <c r="E928" s="226" t="s">
        <v>1020</v>
      </c>
      <c r="F928" s="86">
        <v>10</v>
      </c>
      <c r="G928" s="86">
        <f>IF(COUNTIF(PDs!$E$75:$E$77,Tablas!E928)&gt;0,1,0)</f>
        <v>0</v>
      </c>
      <c r="H928" s="86" t="str">
        <f>IF(Tablas!Y859=0,"NO","-")</f>
        <v>NO</v>
      </c>
      <c r="I928" s="23" t="s">
        <v>7501</v>
      </c>
      <c r="J928" s="23"/>
      <c r="K928" s="86">
        <f t="shared" si="213"/>
        <v>0</v>
      </c>
      <c r="L928" s="86">
        <f t="shared" si="214"/>
        <v>0</v>
      </c>
      <c r="M928" s="86">
        <f t="shared" si="215"/>
        <v>0</v>
      </c>
      <c r="N928" s="1115" t="s">
        <v>7385</v>
      </c>
      <c r="P928" s="542"/>
      <c r="Q928" s="23"/>
      <c r="R928" s="235" t="s">
        <v>843</v>
      </c>
      <c r="S928" s="95">
        <v>20</v>
      </c>
      <c r="T928" s="95">
        <v>1</v>
      </c>
      <c r="U928" s="15" t="s">
        <v>844</v>
      </c>
      <c r="V928" s="56"/>
      <c r="W928" s="56"/>
      <c r="X928" s="56"/>
      <c r="Y928" s="15" t="s">
        <v>8829</v>
      </c>
      <c r="Z928" s="23"/>
      <c r="AA928" s="23"/>
      <c r="AB928" s="652"/>
    </row>
    <row r="929" spans="1:28" ht="12.75" customHeight="1" x14ac:dyDescent="0.2">
      <c r="A929" s="242">
        <v>929</v>
      </c>
      <c r="B929" s="5664"/>
      <c r="C929" s="1114"/>
      <c r="D929" s="23"/>
      <c r="E929" s="226" t="s">
        <v>1021</v>
      </c>
      <c r="F929" s="86">
        <v>40</v>
      </c>
      <c r="G929" s="86">
        <f>IF(COUNTIF(PDs!$E$75:$E$77,Tablas!E929)&gt;0,1,0)</f>
        <v>0</v>
      </c>
      <c r="H929" s="86" t="str">
        <f>IF(Tablas!Y862=0,"NO","-")</f>
        <v>NO</v>
      </c>
      <c r="I929" s="23" t="s">
        <v>7502</v>
      </c>
      <c r="J929" s="23"/>
      <c r="K929" s="86">
        <f t="shared" si="213"/>
        <v>0</v>
      </c>
      <c r="L929" s="86">
        <f t="shared" si="214"/>
        <v>0</v>
      </c>
      <c r="M929" s="86">
        <f t="shared" si="215"/>
        <v>0</v>
      </c>
      <c r="N929" s="1115" t="s">
        <v>7386</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664"/>
      <c r="C930" s="1114"/>
      <c r="D930" s="23"/>
      <c r="E930" s="226" t="s">
        <v>1022</v>
      </c>
      <c r="F930" s="86">
        <v>30</v>
      </c>
      <c r="G930" s="86">
        <f>IF(COUNTIF(PDs!$E$75:$E$77,Tablas!E930)&gt;0,1,0)</f>
        <v>0</v>
      </c>
      <c r="H930" s="86" t="str">
        <f>IF(Tablas!Y865=0,"NO","-")</f>
        <v>NO</v>
      </c>
      <c r="I930" s="23" t="s">
        <v>7503</v>
      </c>
      <c r="J930" s="23"/>
      <c r="K930" s="86">
        <f t="shared" si="213"/>
        <v>0</v>
      </c>
      <c r="L930" s="86">
        <f t="shared" si="214"/>
        <v>0</v>
      </c>
      <c r="M930" s="86">
        <f t="shared" si="215"/>
        <v>0</v>
      </c>
      <c r="N930" s="1115" t="s">
        <v>7387</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664"/>
      <c r="C931" s="1114"/>
      <c r="D931" s="23"/>
      <c r="E931" s="226" t="s">
        <v>1023</v>
      </c>
      <c r="F931" s="86">
        <v>40</v>
      </c>
      <c r="G931" s="86">
        <f>IF(COUNTIF(PDs!$E$75:$E$77,Tablas!E931)&gt;0,1,0)</f>
        <v>0</v>
      </c>
      <c r="H931" s="86" t="str">
        <f>IF(Tablas!Y868=0,"NO","-")</f>
        <v>NO</v>
      </c>
      <c r="I931" s="23" t="s">
        <v>7504</v>
      </c>
      <c r="J931" s="23"/>
      <c r="K931" s="86">
        <f t="shared" si="213"/>
        <v>0</v>
      </c>
      <c r="L931" s="86">
        <f t="shared" si="214"/>
        <v>0</v>
      </c>
      <c r="M931" s="86">
        <f t="shared" si="215"/>
        <v>0</v>
      </c>
      <c r="N931" s="1115" t="s">
        <v>7388</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664"/>
      <c r="C932" s="1114"/>
      <c r="D932" s="23"/>
      <c r="E932" s="226" t="s">
        <v>950</v>
      </c>
      <c r="F932" s="95">
        <v>0</v>
      </c>
      <c r="G932" s="86"/>
      <c r="H932" s="86" t="s">
        <v>1464</v>
      </c>
      <c r="I932" s="86" t="s">
        <v>7172</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664"/>
      <c r="C933" s="1114"/>
      <c r="D933" s="23"/>
      <c r="E933" s="226" t="s">
        <v>1024</v>
      </c>
      <c r="F933" s="86">
        <v>40</v>
      </c>
      <c r="G933" s="86">
        <f>IF(COUNTIF(PDs!$E$75:$E$77,Tablas!E933)&gt;0,1,0)</f>
        <v>0</v>
      </c>
      <c r="H933" s="86" t="str">
        <f>IF(Tablas!Y876=0,"NO","-")</f>
        <v>NO</v>
      </c>
      <c r="I933" s="23" t="s">
        <v>7505</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7391</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664"/>
      <c r="C934" s="1114"/>
      <c r="D934" s="23"/>
      <c r="E934" s="226" t="s">
        <v>1025</v>
      </c>
      <c r="F934" s="86">
        <v>10</v>
      </c>
      <c r="G934" s="86">
        <f>IF(COUNTIF(PDs!$E$75:$E$77,Tablas!E934)&gt;0,1,0)</f>
        <v>0</v>
      </c>
      <c r="H934" s="86" t="str">
        <f>IF(Tablas!Y878=0,"NO","-")</f>
        <v>NO</v>
      </c>
      <c r="I934" s="23" t="s">
        <v>7506</v>
      </c>
      <c r="J934" s="23"/>
      <c r="K934" s="86">
        <f t="shared" si="216"/>
        <v>0</v>
      </c>
      <c r="L934" s="86">
        <f t="shared" si="217"/>
        <v>0</v>
      </c>
      <c r="M934" s="86">
        <f t="shared" si="218"/>
        <v>0</v>
      </c>
      <c r="N934" s="1115" t="s">
        <v>7392</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664"/>
      <c r="C935" s="1114"/>
      <c r="D935" s="23"/>
      <c r="E935" s="226" t="s">
        <v>1026</v>
      </c>
      <c r="F935" s="86">
        <v>20</v>
      </c>
      <c r="G935" s="86">
        <f>IF(COUNTIF(PDs!$E$75:$E$77,Tablas!E935)&gt;0,1,0)</f>
        <v>0</v>
      </c>
      <c r="H935" s="86" t="str">
        <f>IF(Tablas!Y884=0,"NO","-")</f>
        <v>NO</v>
      </c>
      <c r="I935" s="23" t="s">
        <v>7507</v>
      </c>
      <c r="J935" s="23"/>
      <c r="K935" s="86">
        <f t="shared" si="216"/>
        <v>0</v>
      </c>
      <c r="L935" s="86">
        <f t="shared" si="217"/>
        <v>0</v>
      </c>
      <c r="M935" s="86">
        <f t="shared" si="218"/>
        <v>0</v>
      </c>
      <c r="N935" s="1115" t="s">
        <v>7395</v>
      </c>
    </row>
    <row r="936" spans="1:28" ht="12.75" customHeight="1" x14ac:dyDescent="0.2">
      <c r="A936" s="242">
        <v>936</v>
      </c>
      <c r="B936" s="5664"/>
      <c r="C936" s="1114"/>
      <c r="D936" s="23"/>
      <c r="E936" s="226" t="s">
        <v>1027</v>
      </c>
      <c r="F936" s="86">
        <v>20</v>
      </c>
      <c r="G936" s="86">
        <f>IF(COUNTIF(PDs!$E$75:$E$77,Tablas!E936)&gt;0,1,0)</f>
        <v>0</v>
      </c>
      <c r="H936" s="86" t="str">
        <f>IF(Tablas!Y886=0,"NO","-")</f>
        <v>NO</v>
      </c>
      <c r="I936" s="23" t="s">
        <v>7508</v>
      </c>
      <c r="J936" s="23"/>
      <c r="K936" s="86">
        <f t="shared" si="216"/>
        <v>0</v>
      </c>
      <c r="L936" s="86">
        <f t="shared" si="217"/>
        <v>0</v>
      </c>
      <c r="M936" s="86">
        <f t="shared" si="218"/>
        <v>0</v>
      </c>
      <c r="N936" s="1115" t="s">
        <v>7396</v>
      </c>
    </row>
    <row r="937" spans="1:28" ht="12.75" customHeight="1" x14ac:dyDescent="0.2">
      <c r="A937" s="242">
        <v>937</v>
      </c>
      <c r="B937" s="5664"/>
      <c r="C937" s="1114"/>
      <c r="D937" s="23"/>
      <c r="E937" s="226" t="s">
        <v>1028</v>
      </c>
      <c r="F937" s="86">
        <v>20</v>
      </c>
      <c r="G937" s="86">
        <f>IF(COUNTIF(PDs!$E$75:$E$77,Tablas!E937)&gt;0,1,0)</f>
        <v>0</v>
      </c>
      <c r="H937" s="86" t="str">
        <f>IF(Tablas!Y890=0,"NO","-")</f>
        <v>NO</v>
      </c>
      <c r="I937" s="23" t="s">
        <v>7509</v>
      </c>
      <c r="J937" s="23"/>
      <c r="K937" s="86">
        <f t="shared" si="216"/>
        <v>0</v>
      </c>
      <c r="L937" s="86">
        <f t="shared" si="217"/>
        <v>0</v>
      </c>
      <c r="M937" s="86">
        <f t="shared" si="218"/>
        <v>0</v>
      </c>
      <c r="N937" s="1115" t="s">
        <v>7398</v>
      </c>
    </row>
    <row r="938" spans="1:28" ht="12.75" customHeight="1" x14ac:dyDescent="0.2">
      <c r="A938" s="242">
        <v>938</v>
      </c>
      <c r="B938" s="5664"/>
      <c r="C938" s="1114"/>
      <c r="D938" s="23"/>
      <c r="E938" s="226" t="s">
        <v>1029</v>
      </c>
      <c r="F938" s="86">
        <v>10</v>
      </c>
      <c r="G938" s="86">
        <f>IF(COUNTIF(PDs!$E$75:$E$77,Tablas!E938)&gt;0,1,0)</f>
        <v>0</v>
      </c>
      <c r="H938" s="86" t="str">
        <f>IF(Tablas!Y892=0,"NO","-")</f>
        <v>NO</v>
      </c>
      <c r="I938" s="23" t="s">
        <v>7510</v>
      </c>
      <c r="J938" s="23"/>
      <c r="K938" s="86">
        <f t="shared" si="216"/>
        <v>0</v>
      </c>
      <c r="L938" s="86">
        <f t="shared" si="217"/>
        <v>0</v>
      </c>
      <c r="M938" s="86">
        <f t="shared" si="218"/>
        <v>0</v>
      </c>
      <c r="N938" s="1115" t="s">
        <v>7399</v>
      </c>
    </row>
    <row r="939" spans="1:28" ht="12.75" customHeight="1" x14ac:dyDescent="0.2">
      <c r="A939" s="242">
        <v>939</v>
      </c>
      <c r="B939" s="5664"/>
      <c r="C939" s="1114"/>
      <c r="D939" s="23"/>
      <c r="E939" s="226" t="s">
        <v>1030</v>
      </c>
      <c r="F939" s="86">
        <v>40</v>
      </c>
      <c r="G939" s="86">
        <f>IF(COUNTIF(PDs!$E$75:$E$77,Tablas!E939)&gt;0,1,0)</f>
        <v>0</v>
      </c>
      <c r="H939" s="86" t="str">
        <f>IF(Tablas!Y894=0,"NO","-")</f>
        <v>NO</v>
      </c>
      <c r="I939" s="23" t="s">
        <v>7511</v>
      </c>
      <c r="J939" s="23"/>
      <c r="K939" s="86">
        <f t="shared" si="216"/>
        <v>0</v>
      </c>
      <c r="L939" s="86">
        <f t="shared" si="217"/>
        <v>0</v>
      </c>
      <c r="M939" s="86">
        <f t="shared" si="218"/>
        <v>0</v>
      </c>
      <c r="N939" s="1115" t="s">
        <v>7400</v>
      </c>
    </row>
    <row r="940" spans="1:28" ht="12.75" customHeight="1" x14ac:dyDescent="0.2">
      <c r="A940" s="242">
        <v>940</v>
      </c>
      <c r="B940" s="5664"/>
      <c r="C940" s="1114"/>
      <c r="D940" s="23"/>
      <c r="E940" s="226" t="s">
        <v>1031</v>
      </c>
      <c r="F940" s="86">
        <v>40</v>
      </c>
      <c r="G940" s="86">
        <f>IF(COUNTIF(PDs!$E$75:$E$77,Tablas!E940)&gt;0,1,0)</f>
        <v>0</v>
      </c>
      <c r="H940" s="86" t="str">
        <f>IF(Tablas!Y896=0,"NO","-")</f>
        <v>NO</v>
      </c>
      <c r="I940" s="23" t="s">
        <v>7512</v>
      </c>
      <c r="J940" s="23"/>
      <c r="K940" s="86">
        <f t="shared" si="216"/>
        <v>0</v>
      </c>
      <c r="L940" s="86">
        <f t="shared" si="217"/>
        <v>0</v>
      </c>
      <c r="M940" s="86">
        <f t="shared" si="218"/>
        <v>0</v>
      </c>
      <c r="N940" s="1115" t="s">
        <v>7401</v>
      </c>
    </row>
    <row r="941" spans="1:28" ht="12.75" customHeight="1" x14ac:dyDescent="0.2">
      <c r="A941" s="242">
        <v>941</v>
      </c>
      <c r="B941" s="5664"/>
      <c r="C941" s="1114"/>
      <c r="D941" s="23"/>
      <c r="E941" s="226" t="s">
        <v>1032</v>
      </c>
      <c r="F941" s="86">
        <v>30</v>
      </c>
      <c r="G941" s="86">
        <f>IF(COUNTIF(PDs!$E$75:$E$77,Tablas!E941)&gt;0,1,0)</f>
        <v>0</v>
      </c>
      <c r="H941" s="86" t="str">
        <f>IF(Tablas!Y898=0,"NO","-")</f>
        <v>NO</v>
      </c>
      <c r="I941" s="23" t="s">
        <v>7513</v>
      </c>
      <c r="J941" s="23"/>
      <c r="K941" s="86">
        <f t="shared" si="216"/>
        <v>0</v>
      </c>
      <c r="L941" s="86">
        <f t="shared" si="217"/>
        <v>0</v>
      </c>
      <c r="M941" s="86">
        <f t="shared" si="218"/>
        <v>0</v>
      </c>
      <c r="N941" s="1115" t="s">
        <v>7402</v>
      </c>
    </row>
    <row r="942" spans="1:28" ht="12.75" customHeight="1" x14ac:dyDescent="0.2">
      <c r="A942" s="242">
        <v>942</v>
      </c>
      <c r="B942" s="5664"/>
      <c r="C942" s="1114"/>
      <c r="D942" s="23"/>
      <c r="E942" s="226" t="s">
        <v>1033</v>
      </c>
      <c r="F942" s="86">
        <v>20</v>
      </c>
      <c r="G942" s="86">
        <f>IF(COUNTIF(PDs!$E$75:$E$77,Tablas!E942)&gt;0,1,0)</f>
        <v>0</v>
      </c>
      <c r="H942" s="86" t="str">
        <f>IF(Tablas!Y900=0,"NO","-")</f>
        <v>NO</v>
      </c>
      <c r="I942" s="23" t="s">
        <v>7514</v>
      </c>
      <c r="J942" s="23"/>
      <c r="K942" s="86">
        <f t="shared" si="216"/>
        <v>0</v>
      </c>
      <c r="L942" s="86">
        <f t="shared" si="217"/>
        <v>0</v>
      </c>
      <c r="M942" s="86">
        <f t="shared" si="218"/>
        <v>0</v>
      </c>
      <c r="N942" s="1115" t="s">
        <v>7403</v>
      </c>
    </row>
    <row r="943" spans="1:28" ht="12.75" customHeight="1" thickBot="1" x14ac:dyDescent="0.25">
      <c r="A943" s="242">
        <v>943</v>
      </c>
      <c r="B943" s="5664"/>
      <c r="C943" s="1116"/>
      <c r="D943" s="648"/>
      <c r="E943" s="1117" t="s">
        <v>1034</v>
      </c>
      <c r="F943" s="1118">
        <v>20</v>
      </c>
      <c r="G943" s="1118">
        <f>IF(COUNTIF(PDs!$E$75:$E$77,Tablas!E943)&gt;0,1,0)</f>
        <v>0</v>
      </c>
      <c r="H943" s="1118" t="str">
        <f>IF(Tablas!Y902=0,"NO","-")</f>
        <v>NO</v>
      </c>
      <c r="I943" s="648" t="s">
        <v>7515</v>
      </c>
      <c r="J943" s="648"/>
      <c r="K943" s="1118">
        <f t="shared" si="216"/>
        <v>0</v>
      </c>
      <c r="L943" s="1118">
        <f t="shared" si="217"/>
        <v>0</v>
      </c>
      <c r="M943" s="1118">
        <f t="shared" si="218"/>
        <v>0</v>
      </c>
      <c r="N943" s="1119" t="s">
        <v>7404</v>
      </c>
    </row>
    <row r="944" spans="1:28" ht="12.75" customHeight="1" x14ac:dyDescent="0.2">
      <c r="A944" s="242">
        <v>944</v>
      </c>
      <c r="B944" s="5664"/>
      <c r="H944"/>
      <c r="N944"/>
    </row>
    <row r="945" spans="1:18" ht="12.75" customHeight="1" x14ac:dyDescent="0.2">
      <c r="A945" s="242">
        <v>945</v>
      </c>
      <c r="B945" s="5664"/>
      <c r="H945"/>
      <c r="N945"/>
    </row>
    <row r="946" spans="1:18" ht="12.75" customHeight="1" x14ac:dyDescent="0.2">
      <c r="A946" s="242">
        <v>946</v>
      </c>
      <c r="B946" s="5664"/>
      <c r="H946"/>
      <c r="N946"/>
    </row>
    <row r="947" spans="1:18" ht="12.75" customHeight="1" thickBot="1" x14ac:dyDescent="0.25">
      <c r="A947" s="242">
        <v>947</v>
      </c>
      <c r="B947" s="5664"/>
      <c r="H947"/>
      <c r="N947"/>
    </row>
    <row r="948" spans="1:18" ht="12.75" customHeight="1" thickBot="1" x14ac:dyDescent="0.25">
      <c r="A948" s="242">
        <v>948</v>
      </c>
      <c r="B948" s="5664"/>
      <c r="C948" s="5565" t="s">
        <v>1035</v>
      </c>
      <c r="D948" s="5565"/>
      <c r="E948" s="5565"/>
      <c r="F948" s="5565"/>
      <c r="G948" s="5565"/>
      <c r="H948" s="5565"/>
      <c r="I948" s="5565"/>
      <c r="J948" s="5565"/>
      <c r="K948" s="5565"/>
      <c r="L948" s="5565"/>
      <c r="M948" s="5565"/>
      <c r="N948" s="5565"/>
      <c r="O948" s="5565"/>
      <c r="P948" s="5565"/>
      <c r="Q948" s="5565"/>
      <c r="R948" s="5565"/>
    </row>
    <row r="949" spans="1:18" ht="12.75" customHeight="1" x14ac:dyDescent="0.2">
      <c r="A949" s="242">
        <v>949</v>
      </c>
      <c r="B949" s="5664"/>
      <c r="C949" s="5565"/>
      <c r="D949" s="5565"/>
      <c r="E949" s="5565"/>
      <c r="F949" s="5565"/>
      <c r="G949" s="5565"/>
      <c r="H949" s="5565"/>
      <c r="I949" s="5565"/>
      <c r="J949" s="5565"/>
      <c r="K949" s="5565"/>
      <c r="L949" s="5565"/>
      <c r="M949" s="5565"/>
      <c r="N949" s="5565"/>
      <c r="O949" s="5565"/>
      <c r="P949" s="5565"/>
      <c r="Q949" s="5565"/>
      <c r="R949" s="5565"/>
    </row>
    <row r="950" spans="1:18" ht="12.75" customHeight="1" thickBot="1" x14ac:dyDescent="0.25">
      <c r="A950" s="242">
        <v>950</v>
      </c>
      <c r="B950" s="5664"/>
      <c r="C950" s="249"/>
      <c r="D950" s="250"/>
      <c r="E950" s="222" t="s">
        <v>1449</v>
      </c>
      <c r="F950" s="181" t="s">
        <v>1036</v>
      </c>
      <c r="G950" s="181" t="s">
        <v>1508</v>
      </c>
      <c r="H950" s="183" t="s">
        <v>2289</v>
      </c>
      <c r="I950" s="687" t="s">
        <v>863</v>
      </c>
      <c r="J950" s="250" t="s">
        <v>1558</v>
      </c>
      <c r="K950" s="250"/>
      <c r="L950" s="250"/>
      <c r="M950" s="250"/>
      <c r="N950" s="250"/>
      <c r="O950" s="687"/>
      <c r="P950" s="250"/>
      <c r="Q950" s="250"/>
      <c r="R950" s="251"/>
    </row>
    <row r="951" spans="1:18" ht="12.75" customHeight="1" x14ac:dyDescent="0.2">
      <c r="A951" s="242">
        <v>951</v>
      </c>
      <c r="B951" s="5664"/>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664"/>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664"/>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664"/>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664"/>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664"/>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664"/>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664"/>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664"/>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664"/>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664"/>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664"/>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664"/>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664"/>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664"/>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664"/>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664"/>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664"/>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IF(OR(MAX(HA_final,HA_SinArmas)&lt;200,NOT(Inhumanidad),AGI&lt;10,DES&lt;11),"NO","-")</f>
        <v>NO</v>
      </c>
      <c r="J968" s="15" t="s">
        <v>1070</v>
      </c>
      <c r="K968" s="23"/>
      <c r="L968" s="23"/>
      <c r="M968" s="23"/>
      <c r="N968" s="23"/>
      <c r="O968" s="56"/>
      <c r="P968" s="23"/>
      <c r="Q968" s="23"/>
      <c r="R968" s="40"/>
    </row>
    <row r="969" spans="1:18" ht="12.75" customHeight="1" x14ac:dyDescent="0.2">
      <c r="A969" s="242">
        <v>969</v>
      </c>
      <c r="B969" s="5664"/>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664"/>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664"/>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664"/>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664"/>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664"/>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664"/>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664"/>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664"/>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664"/>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664"/>
      <c r="C979" s="629" t="str">
        <f t="shared" ref="C979:C994" si="223">VLOOKUP(A1,$D$979:$E$994,2,0)</f>
        <v>&gt; ARMAS IMPOSIBLES</v>
      </c>
      <c r="D979" s="988">
        <f t="shared" ref="D979:D994" si="224">COUNTIF($E$979:$E$994,"&lt;="&amp;E979)</f>
        <v>1</v>
      </c>
      <c r="E979" s="143" t="s">
        <v>2266</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664"/>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664"/>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664"/>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664"/>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664"/>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664"/>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664"/>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664"/>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664"/>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664"/>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664"/>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664"/>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664"/>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664"/>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664"/>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664"/>
      <c r="C995" s="629" t="str">
        <f>VLOOKUP(A1,$D$995:$E$998,2,0)</f>
        <v>&gt; ARS MAGNUS PERSONALIZADOS</v>
      </c>
      <c r="D995" s="988">
        <f>COUNTIF($E$995:$E$998,"&lt;="&amp;E995)</f>
        <v>1</v>
      </c>
      <c r="E995" s="143" t="s">
        <v>9879</v>
      </c>
      <c r="F995" s="86">
        <v>0</v>
      </c>
      <c r="G995" s="86">
        <v>0</v>
      </c>
      <c r="H995" s="95"/>
      <c r="I995" s="660" t="s">
        <v>1464</v>
      </c>
      <c r="J995" s="15"/>
      <c r="K995" s="23"/>
      <c r="L995" s="23"/>
      <c r="M995" s="23"/>
      <c r="N995" s="23"/>
      <c r="O995" s="56"/>
      <c r="P995" s="23"/>
      <c r="Q995" s="23"/>
      <c r="R995" s="40"/>
    </row>
    <row r="996" spans="1:18" ht="12.75" customHeight="1" x14ac:dyDescent="0.2">
      <c r="A996" s="242">
        <v>996</v>
      </c>
      <c r="B996" s="5664"/>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664"/>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664"/>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664"/>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664"/>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664"/>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664"/>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664"/>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664"/>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664"/>
      <c r="C1005" s="629" t="str">
        <f t="shared" si="227"/>
        <v>Movimiento acelerado</v>
      </c>
      <c r="D1005" s="988">
        <f t="shared" si="228"/>
        <v>5</v>
      </c>
      <c r="E1005" s="143" t="s">
        <v>1132</v>
      </c>
      <c r="F1005" s="86">
        <v>10</v>
      </c>
      <c r="G1005" s="86">
        <v>10</v>
      </c>
      <c r="H1005" s="95">
        <f>IF(COUNTIF(PDs!$E$78:$H$82,E1005)&gt;0,1,0)</f>
        <v>0</v>
      </c>
      <c r="I1005" s="660" t="str">
        <f>IF(NOT($L$708="Conocida"),"NO","-")</f>
        <v>-</v>
      </c>
      <c r="J1005" s="15" t="s">
        <v>1133</v>
      </c>
      <c r="K1005" s="23"/>
      <c r="L1005" s="23"/>
      <c r="M1005" s="23"/>
      <c r="N1005" s="23"/>
      <c r="O1005" s="56"/>
      <c r="P1005" s="23"/>
      <c r="Q1005" s="23"/>
      <c r="R1005" s="40"/>
    </row>
    <row r="1006" spans="1:18" ht="12.75" customHeight="1" x14ac:dyDescent="0.2">
      <c r="A1006" s="242">
        <v>1006</v>
      </c>
      <c r="B1006" s="5664"/>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664"/>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664"/>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664"/>
      <c r="H1009"/>
      <c r="N1009"/>
    </row>
    <row r="1010" spans="1:30" ht="12.75" customHeight="1" thickBot="1" x14ac:dyDescent="0.25">
      <c r="A1010" s="242">
        <v>1010</v>
      </c>
      <c r="B1010" s="5664"/>
      <c r="C1010" s="5676" t="s">
        <v>1140</v>
      </c>
      <c r="D1010" s="5676"/>
      <c r="E1010" s="5676"/>
      <c r="F1010" s="5676"/>
      <c r="G1010" s="5676"/>
      <c r="H1010" s="5676"/>
      <c r="I1010" s="5676"/>
      <c r="J1010" s="5676"/>
      <c r="K1010" s="5676"/>
      <c r="L1010" s="5676"/>
      <c r="N1010"/>
    </row>
    <row r="1011" spans="1:30" ht="12.75" customHeight="1" x14ac:dyDescent="0.2">
      <c r="A1011" s="242">
        <v>1011</v>
      </c>
      <c r="B1011" s="5664"/>
      <c r="C1011" s="5676"/>
      <c r="D1011" s="5676"/>
      <c r="E1011" s="5676"/>
      <c r="F1011" s="5676"/>
      <c r="G1011" s="5676"/>
      <c r="H1011" s="5676"/>
      <c r="I1011" s="5676"/>
      <c r="J1011" s="5676"/>
      <c r="K1011" s="5676"/>
      <c r="L1011" s="5676"/>
      <c r="N1011"/>
    </row>
    <row r="1012" spans="1:30" ht="12.75" customHeight="1" thickBot="1" x14ac:dyDescent="0.25">
      <c r="A1012" s="242">
        <v>1012</v>
      </c>
      <c r="B1012" s="5664"/>
      <c r="C1012" s="5713" t="s">
        <v>2597</v>
      </c>
      <c r="D1012" s="5713"/>
      <c r="E1012" s="5713"/>
      <c r="F1012" s="183" t="s">
        <v>1498</v>
      </c>
      <c r="G1012" s="5714" t="s">
        <v>1558</v>
      </c>
      <c r="H1012" s="5714"/>
      <c r="I1012" s="5714"/>
      <c r="J1012" s="5714"/>
      <c r="K1012" s="5714"/>
      <c r="L1012" s="5714"/>
      <c r="N1012"/>
    </row>
    <row r="1013" spans="1:30" ht="12.75" customHeight="1" x14ac:dyDescent="0.2">
      <c r="A1013" s="242">
        <v>1013</v>
      </c>
      <c r="B1013" s="5664"/>
      <c r="C1013" s="91"/>
      <c r="D1013" s="55"/>
      <c r="E1013" s="253" t="s">
        <v>1141</v>
      </c>
      <c r="F1013" s="201">
        <v>75</v>
      </c>
      <c r="G1013" s="254" t="s">
        <v>1142</v>
      </c>
      <c r="H1013" s="55"/>
      <c r="I1013" s="683"/>
      <c r="J1013" s="55"/>
      <c r="K1013" s="55"/>
      <c r="L1013" s="92"/>
      <c r="N1013"/>
    </row>
    <row r="1014" spans="1:30" ht="12.75" customHeight="1" x14ac:dyDescent="0.2">
      <c r="A1014" s="242">
        <v>1014</v>
      </c>
      <c r="B1014" s="5664"/>
      <c r="C1014" s="39"/>
      <c r="D1014" s="23"/>
      <c r="E1014" s="235" t="s">
        <v>1143</v>
      </c>
      <c r="F1014" s="95">
        <v>75</v>
      </c>
      <c r="G1014" s="45" t="s">
        <v>1144</v>
      </c>
      <c r="H1014" s="23"/>
      <c r="I1014" s="56"/>
      <c r="J1014" s="23"/>
      <c r="K1014" s="23"/>
      <c r="L1014" s="40"/>
      <c r="N1014"/>
    </row>
    <row r="1015" spans="1:30" ht="12.75" customHeight="1" thickBot="1" x14ac:dyDescent="0.25">
      <c r="A1015" s="242">
        <v>1015</v>
      </c>
      <c r="B1015" s="5664"/>
      <c r="C1015" s="76"/>
      <c r="D1015" s="77"/>
      <c r="E1015" s="236" t="s">
        <v>1145</v>
      </c>
      <c r="F1015" s="199">
        <v>100</v>
      </c>
      <c r="G1015" s="255" t="s">
        <v>1146</v>
      </c>
      <c r="H1015" s="243"/>
      <c r="I1015" s="243"/>
      <c r="J1015" s="243"/>
      <c r="K1015" s="243"/>
      <c r="L1015" s="78"/>
      <c r="N1015"/>
    </row>
    <row r="1016" spans="1:30" ht="12.75" customHeight="1" x14ac:dyDescent="0.2">
      <c r="A1016" s="242">
        <v>1016</v>
      </c>
      <c r="B1016" s="5664"/>
      <c r="H1016"/>
      <c r="I1016" s="624"/>
      <c r="N1016"/>
      <c r="O1016" s="624"/>
    </row>
    <row r="1017" spans="1:30" ht="12.75" customHeight="1" x14ac:dyDescent="0.2">
      <c r="A1017" s="242">
        <v>1017</v>
      </c>
      <c r="B1017" s="5664"/>
      <c r="H1017"/>
      <c r="I1017" s="624"/>
      <c r="N1017"/>
      <c r="O1017" s="624"/>
    </row>
    <row r="1018" spans="1:30" ht="12.75" customHeight="1" x14ac:dyDescent="0.2">
      <c r="A1018" s="242">
        <v>1018</v>
      </c>
      <c r="B1018" s="5664"/>
      <c r="H1018"/>
      <c r="I1018" s="624"/>
      <c r="N1018"/>
      <c r="O1018" s="624"/>
      <c r="AC1018" s="790"/>
    </row>
    <row r="1019" spans="1:30" ht="12.75" customHeight="1" x14ac:dyDescent="0.2">
      <c r="A1019" s="242">
        <v>1019</v>
      </c>
      <c r="B1019" s="5664"/>
      <c r="H1019"/>
      <c r="I1019" s="624"/>
      <c r="N1019"/>
      <c r="O1019" s="624"/>
      <c r="AC1019" s="790"/>
    </row>
    <row r="1020" spans="1:30" ht="12.75" customHeight="1" x14ac:dyDescent="0.2">
      <c r="A1020" s="242">
        <v>1020</v>
      </c>
      <c r="B1020" s="5660"/>
      <c r="C1020" s="5534" t="s">
        <v>7571</v>
      </c>
      <c r="D1020" s="5534"/>
      <c r="E1020" s="5534"/>
      <c r="F1020" s="5534"/>
      <c r="G1020" s="5534"/>
      <c r="H1020" s="5534"/>
      <c r="I1020" s="5534"/>
      <c r="J1020" s="5534"/>
      <c r="K1020" s="5534"/>
      <c r="L1020" s="5534"/>
      <c r="M1020" s="5534"/>
      <c r="N1020" s="5534"/>
      <c r="O1020" s="5534"/>
      <c r="P1020" s="5534"/>
      <c r="Q1020" s="5534"/>
      <c r="R1020" s="5534"/>
      <c r="S1020" s="5534"/>
      <c r="T1020" s="5534"/>
      <c r="U1020" s="5534"/>
      <c r="V1020" s="5534"/>
      <c r="W1020" s="5534"/>
      <c r="X1020" s="5534"/>
      <c r="Y1020" s="5534"/>
      <c r="Z1020" s="5534"/>
      <c r="AA1020" s="5534"/>
      <c r="AB1020" s="5534"/>
      <c r="AC1020" s="5534"/>
      <c r="AD1020" s="5534"/>
    </row>
    <row r="1021" spans="1:30" ht="12.75" customHeight="1" x14ac:dyDescent="0.2">
      <c r="A1021" s="242">
        <v>1021</v>
      </c>
      <c r="B1021" s="5660"/>
      <c r="C1021" s="5534"/>
      <c r="D1021" s="5534"/>
      <c r="E1021" s="5534"/>
      <c r="F1021" s="5534"/>
      <c r="G1021" s="5534"/>
      <c r="H1021" s="5534"/>
      <c r="I1021" s="5534"/>
      <c r="J1021" s="5534"/>
      <c r="K1021" s="5534"/>
      <c r="L1021" s="5534"/>
      <c r="M1021" s="5534"/>
      <c r="N1021" s="5534"/>
      <c r="O1021" s="5534"/>
      <c r="P1021" s="5534"/>
      <c r="Q1021" s="5534"/>
      <c r="R1021" s="5534"/>
      <c r="S1021" s="5534"/>
      <c r="T1021" s="5534"/>
      <c r="U1021" s="5534"/>
      <c r="V1021" s="5534"/>
      <c r="W1021" s="5534"/>
      <c r="X1021" s="5534"/>
      <c r="Y1021" s="5534"/>
      <c r="Z1021" s="5534"/>
      <c r="AA1021" s="5534"/>
      <c r="AB1021" s="5534"/>
      <c r="AC1021" s="5534"/>
      <c r="AD1021" s="5534"/>
    </row>
    <row r="1022" spans="1:30" ht="12.75" customHeight="1" x14ac:dyDescent="0.2">
      <c r="A1022" s="242">
        <v>1022</v>
      </c>
      <c r="B1022" s="5660"/>
      <c r="C1022" s="5534"/>
      <c r="D1022" s="5534"/>
      <c r="E1022" s="5534"/>
      <c r="F1022" s="5534"/>
      <c r="G1022" s="5534"/>
      <c r="H1022" s="5534"/>
      <c r="I1022" s="5534"/>
      <c r="J1022" s="5534"/>
      <c r="K1022" s="5534"/>
      <c r="L1022" s="5534"/>
      <c r="M1022" s="5534"/>
      <c r="N1022" s="5534"/>
      <c r="O1022" s="5534"/>
      <c r="P1022" s="5534"/>
      <c r="Q1022" s="5534"/>
      <c r="R1022" s="5534"/>
      <c r="S1022" s="5534"/>
      <c r="T1022" s="5534"/>
      <c r="U1022" s="5534"/>
      <c r="V1022" s="5534"/>
      <c r="W1022" s="5534"/>
      <c r="X1022" s="5534"/>
      <c r="Y1022" s="5534"/>
      <c r="Z1022" s="5534"/>
      <c r="AA1022" s="5534"/>
      <c r="AB1022" s="5534"/>
      <c r="AC1022" s="5534"/>
      <c r="AD1022" s="5534"/>
    </row>
    <row r="1023" spans="1:30" ht="12.75" customHeight="1" thickBot="1" x14ac:dyDescent="0.25">
      <c r="A1023" s="242">
        <v>1023</v>
      </c>
      <c r="B1023" s="5660"/>
      <c r="H1023"/>
      <c r="I1023" s="624"/>
      <c r="N1023"/>
      <c r="O1023" s="624"/>
      <c r="AC1023" s="790"/>
    </row>
    <row r="1024" spans="1:30" ht="12.75" customHeight="1" thickBot="1" x14ac:dyDescent="0.25">
      <c r="A1024" s="242">
        <v>1024</v>
      </c>
      <c r="B1024" s="5660"/>
      <c r="C1024" s="5676" t="s">
        <v>1220</v>
      </c>
      <c r="D1024" s="5676"/>
      <c r="E1024" s="5676"/>
      <c r="F1024" s="5676"/>
      <c r="G1024" s="5676"/>
      <c r="H1024" s="5676"/>
      <c r="I1024" s="5676"/>
      <c r="J1024" s="5676"/>
      <c r="K1024" s="5676"/>
      <c r="L1024" s="5676"/>
      <c r="M1024" s="5676"/>
      <c r="N1024"/>
      <c r="O1024" s="624"/>
      <c r="P1024" s="4466" t="s">
        <v>1147</v>
      </c>
      <c r="Q1024" s="4466"/>
      <c r="S1024" s="4466" t="s">
        <v>94</v>
      </c>
      <c r="T1024" s="4466"/>
      <c r="U1024" s="4466"/>
      <c r="W1024" s="5846" t="s">
        <v>1250</v>
      </c>
      <c r="X1024" s="5846"/>
      <c r="Z1024" s="5815" t="s">
        <v>650</v>
      </c>
      <c r="AA1024" s="5816"/>
      <c r="AB1024" s="5816"/>
      <c r="AC1024" s="5816"/>
      <c r="AD1024" s="5817"/>
    </row>
    <row r="1025" spans="1:30" ht="12.75" customHeight="1" thickBot="1" x14ac:dyDescent="0.25">
      <c r="A1025" s="242">
        <v>1025</v>
      </c>
      <c r="B1025" s="5660"/>
      <c r="C1025" s="5676"/>
      <c r="D1025" s="5676"/>
      <c r="E1025" s="5676"/>
      <c r="F1025" s="5676"/>
      <c r="G1025" s="5676"/>
      <c r="H1025" s="5676"/>
      <c r="I1025" s="5676"/>
      <c r="J1025" s="5676"/>
      <c r="K1025" s="5676"/>
      <c r="L1025" s="5676"/>
      <c r="M1025" s="5676"/>
      <c r="N1025"/>
      <c r="O1025" s="624"/>
      <c r="P1025" s="4466"/>
      <c r="Q1025" s="4466"/>
      <c r="S1025" s="4466"/>
      <c r="T1025" s="4466"/>
      <c r="U1025" s="4466"/>
      <c r="W1025" s="182" t="s">
        <v>1400</v>
      </c>
      <c r="X1025" s="184" t="s">
        <v>1251</v>
      </c>
      <c r="Z1025" s="5818"/>
      <c r="AA1025" s="4400"/>
      <c r="AB1025" s="4400"/>
      <c r="AC1025" s="4400"/>
      <c r="AD1025" s="5819"/>
    </row>
    <row r="1026" spans="1:30" ht="12.75" customHeight="1" thickBot="1" x14ac:dyDescent="0.25">
      <c r="A1026" s="242">
        <v>1026</v>
      </c>
      <c r="B1026" s="5660"/>
      <c r="C1026" s="5584" t="s">
        <v>1647</v>
      </c>
      <c r="D1026" s="5584"/>
      <c r="E1026" s="210" t="s">
        <v>1498</v>
      </c>
      <c r="F1026" s="5571" t="s">
        <v>1558</v>
      </c>
      <c r="G1026" s="5571"/>
      <c r="H1026" s="5571"/>
      <c r="I1026" s="5571"/>
      <c r="J1026" s="5571"/>
      <c r="K1026" s="5571"/>
      <c r="L1026" s="5571"/>
      <c r="M1026" s="5571"/>
      <c r="N1026"/>
      <c r="O1026" s="624"/>
      <c r="P1026" s="182" t="s">
        <v>1394</v>
      </c>
      <c r="Q1026" s="184" t="s">
        <v>1148</v>
      </c>
      <c r="S1026" s="283" t="s">
        <v>95</v>
      </c>
      <c r="T1026" s="183" t="s">
        <v>96</v>
      </c>
      <c r="U1026" s="184" t="s">
        <v>97</v>
      </c>
      <c r="W1026" s="203">
        <v>1</v>
      </c>
      <c r="X1026" s="59">
        <v>0</v>
      </c>
      <c r="Z1026" s="5814" t="s">
        <v>1449</v>
      </c>
      <c r="AA1026" s="5678"/>
      <c r="AB1026" s="5678"/>
      <c r="AC1026" s="671" t="s">
        <v>1364</v>
      </c>
      <c r="AD1026" s="1436" t="s">
        <v>1517</v>
      </c>
    </row>
    <row r="1027" spans="1:30" ht="12.75" customHeight="1" x14ac:dyDescent="0.2">
      <c r="A1027" s="242">
        <v>1027</v>
      </c>
      <c r="B1027" s="5660"/>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660"/>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660"/>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660"/>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660"/>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660"/>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660"/>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660"/>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660"/>
      <c r="C1035" s="5568" t="s">
        <v>1235</v>
      </c>
      <c r="E1035" s="5585" t="s">
        <v>7095</v>
      </c>
      <c r="G1035" s="5576" t="s">
        <v>7099</v>
      </c>
      <c r="H1035" s="5577"/>
      <c r="I1035" s="5569" t="s">
        <v>6436</v>
      </c>
      <c r="K1035" s="3156" t="s">
        <v>1239</v>
      </c>
      <c r="L1035" s="266"/>
      <c r="M1035" s="5707" t="s">
        <v>1154</v>
      </c>
      <c r="N1035" s="5707"/>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660"/>
      <c r="C1036" s="5568"/>
      <c r="E1036" s="5586"/>
      <c r="G1036" s="5789"/>
      <c r="H1036" s="5791"/>
      <c r="I1036" s="5570" t="s">
        <v>6436</v>
      </c>
      <c r="K1036" s="3156"/>
      <c r="M1036" s="5707"/>
      <c r="N1036" s="5707"/>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660"/>
      <c r="C1037" s="271" t="s">
        <v>1708</v>
      </c>
      <c r="E1037" s="798" t="s">
        <v>7101</v>
      </c>
      <c r="G1037" s="5576" t="s">
        <v>7133</v>
      </c>
      <c r="H1037" s="5577"/>
      <c r="I1037" s="1124" t="s">
        <v>7134</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660"/>
      <c r="C1038" s="271" t="s">
        <v>1709</v>
      </c>
      <c r="E1038" s="798" t="s">
        <v>7096</v>
      </c>
      <c r="G1038" s="5579"/>
      <c r="H1038" s="4400"/>
      <c r="I1038" s="1124" t="s">
        <v>6587</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660"/>
      <c r="C1039" s="271" t="s">
        <v>1612</v>
      </c>
      <c r="E1039" s="798" t="s">
        <v>7097</v>
      </c>
      <c r="G1039" s="810" t="s">
        <v>7103</v>
      </c>
      <c r="H1039" s="210" t="s">
        <v>7104</v>
      </c>
      <c r="I1039" s="1124" t="s">
        <v>7135</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660"/>
      <c r="C1040" s="271" t="s">
        <v>1615</v>
      </c>
      <c r="E1040" s="798" t="s">
        <v>7098</v>
      </c>
      <c r="G1040" s="694">
        <v>1</v>
      </c>
      <c r="H1040" s="95">
        <v>14</v>
      </c>
      <c r="I1040" s="1124" t="s">
        <v>7136</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660"/>
      <c r="C1041" s="271" t="s">
        <v>1619</v>
      </c>
      <c r="E1041" s="799" t="s">
        <v>7099</v>
      </c>
      <c r="G1041" s="694">
        <v>2</v>
      </c>
      <c r="H1041" s="95">
        <v>18</v>
      </c>
      <c r="I1041" s="1124" t="s">
        <v>7137</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660"/>
      <c r="C1042" s="271" t="s">
        <v>1713</v>
      </c>
      <c r="G1042" s="694">
        <v>3</v>
      </c>
      <c r="H1042" s="95">
        <v>24</v>
      </c>
      <c r="I1042" s="1124" t="s">
        <v>7138</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660"/>
      <c r="C1043" s="116" t="s">
        <v>1236</v>
      </c>
      <c r="G1043" s="694">
        <v>4</v>
      </c>
      <c r="H1043" s="95">
        <v>30</v>
      </c>
      <c r="I1043" s="1124" t="s">
        <v>2099</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660"/>
      <c r="G1044" s="809">
        <v>5</v>
      </c>
      <c r="H1044" s="547">
        <v>36</v>
      </c>
      <c r="I1044" s="1124" t="s">
        <v>7139</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660"/>
      <c r="C1045" s="5585" t="s">
        <v>7339</v>
      </c>
      <c r="H1045"/>
      <c r="I1045" s="1124" t="s">
        <v>7142</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660"/>
      <c r="C1046" s="5586"/>
      <c r="H1046"/>
      <c r="I1046" s="1124" t="s">
        <v>7143</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660"/>
      <c r="C1047" s="948" t="s">
        <v>1708</v>
      </c>
      <c r="H1047"/>
      <c r="I1047" s="1124" t="s">
        <v>7144</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660"/>
      <c r="C1048" s="948" t="s">
        <v>1709</v>
      </c>
      <c r="H1048"/>
      <c r="I1048" s="1125" t="s">
        <v>7145</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660"/>
      <c r="C1049" s="948" t="s">
        <v>1619</v>
      </c>
      <c r="E1049" s="5581" t="s">
        <v>1237</v>
      </c>
      <c r="G1049" s="238"/>
      <c r="H1049"/>
      <c r="O1049" s="624"/>
      <c r="U1049" s="5576" t="s">
        <v>8631</v>
      </c>
      <c r="V1049" s="5577"/>
      <c r="W1049" s="5578"/>
      <c r="Z1049" s="629" t="str">
        <f t="shared" si="229"/>
        <v>El Sumo Sacerdote invertido</v>
      </c>
      <c r="AA1049" s="988">
        <f t="shared" si="230"/>
        <v>18</v>
      </c>
      <c r="AB1049" s="1441" t="s">
        <v>673</v>
      </c>
      <c r="AC1049" s="56">
        <v>460</v>
      </c>
      <c r="AD1049" s="144">
        <v>1000</v>
      </c>
    </row>
    <row r="1050" spans="1:30" ht="12.75" customHeight="1" x14ac:dyDescent="0.2">
      <c r="A1050" s="242">
        <v>1050</v>
      </c>
      <c r="B1050" s="5660"/>
      <c r="C1050" s="948" t="s">
        <v>1615</v>
      </c>
      <c r="E1050" s="5582"/>
      <c r="F1050" s="1517" t="s">
        <v>1407</v>
      </c>
      <c r="G1050" s="1252" t="s">
        <v>7541</v>
      </c>
      <c r="H1050" s="1120"/>
      <c r="I1050" s="1478" t="s">
        <v>8758</v>
      </c>
      <c r="J1050" s="1476" t="s">
        <v>6552</v>
      </c>
      <c r="K1050" s="1476" t="s">
        <v>7543</v>
      </c>
      <c r="L1050" s="1476" t="s">
        <v>1518</v>
      </c>
      <c r="M1050" s="1476" t="s">
        <v>8818</v>
      </c>
      <c r="N1050" s="1476" t="s">
        <v>8817</v>
      </c>
      <c r="O1050" s="1476" t="s">
        <v>8819</v>
      </c>
      <c r="P1050" s="1476" t="s">
        <v>8815</v>
      </c>
      <c r="Q1050" s="1121" t="s">
        <v>8816</v>
      </c>
      <c r="U1050" s="5579"/>
      <c r="V1050" s="4400"/>
      <c r="W1050" s="5580"/>
      <c r="Z1050" s="629" t="str">
        <f t="shared" si="229"/>
        <v>La Emperatriz</v>
      </c>
      <c r="AA1050" s="988">
        <f t="shared" si="230"/>
        <v>17</v>
      </c>
      <c r="AB1050" s="1440" t="s">
        <v>674</v>
      </c>
      <c r="AC1050" s="56">
        <v>120</v>
      </c>
      <c r="AD1050" s="144">
        <v>100</v>
      </c>
    </row>
    <row r="1051" spans="1:30" ht="12.75" customHeight="1" x14ac:dyDescent="0.2">
      <c r="A1051" s="242">
        <v>1051</v>
      </c>
      <c r="B1051" s="5660"/>
      <c r="C1051" s="948" t="s">
        <v>1612</v>
      </c>
      <c r="E1051" s="918" t="s">
        <v>1708</v>
      </c>
      <c r="F1051" s="1006" t="s">
        <v>8632</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8632</v>
      </c>
      <c r="V1051" s="1484" t="s">
        <v>8633</v>
      </c>
      <c r="W1051" s="1485" t="s">
        <v>8634</v>
      </c>
      <c r="Z1051" s="629" t="str">
        <f t="shared" si="229"/>
        <v>La Emperatriz invertida</v>
      </c>
      <c r="AA1051" s="988">
        <f t="shared" si="230"/>
        <v>13</v>
      </c>
      <c r="AB1051" s="1441" t="s">
        <v>675</v>
      </c>
      <c r="AC1051" s="56">
        <v>130</v>
      </c>
      <c r="AD1051" s="144">
        <v>100</v>
      </c>
    </row>
    <row r="1052" spans="1:30" ht="12.75" customHeight="1" x14ac:dyDescent="0.2">
      <c r="A1052" s="242">
        <v>1052</v>
      </c>
      <c r="B1052" s="5660"/>
      <c r="C1052" s="948" t="s">
        <v>1713</v>
      </c>
      <c r="E1052" s="918" t="s">
        <v>1709</v>
      </c>
      <c r="F1052" s="1006" t="s">
        <v>8632</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660"/>
      <c r="C1053" s="948" t="s">
        <v>1715</v>
      </c>
      <c r="E1053" s="918" t="s">
        <v>1619</v>
      </c>
      <c r="F1053" s="1006" t="s">
        <v>8633</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660"/>
      <c r="C1054" s="948" t="s">
        <v>1716</v>
      </c>
      <c r="E1054" s="918" t="s">
        <v>1615</v>
      </c>
      <c r="F1054" s="1006" t="s">
        <v>8633</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660"/>
      <c r="C1055" s="948" t="s">
        <v>1718</v>
      </c>
      <c r="E1055" s="918" t="s">
        <v>1612</v>
      </c>
      <c r="F1055" s="1006" t="s">
        <v>8633</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7547</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660"/>
      <c r="C1056" s="948" t="s">
        <v>1720</v>
      </c>
      <c r="E1056" s="918" t="s">
        <v>1713</v>
      </c>
      <c r="F1056" s="1006" t="s">
        <v>8633</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7546</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660"/>
      <c r="C1057" s="948" t="s">
        <v>1722</v>
      </c>
      <c r="E1057" s="918" t="s">
        <v>1715</v>
      </c>
      <c r="F1057" s="1006" t="s">
        <v>8632</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660"/>
      <c r="C1058" s="949" t="s">
        <v>8811</v>
      </c>
      <c r="E1058" s="918" t="s">
        <v>1716</v>
      </c>
      <c r="F1058" s="1006" t="s">
        <v>8632</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7545</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660"/>
      <c r="C1059" s="950" t="s">
        <v>81</v>
      </c>
      <c r="E1059" s="918" t="s">
        <v>1718</v>
      </c>
      <c r="F1059" s="1006" t="s">
        <v>8633</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660"/>
      <c r="C1060" s="951" t="s">
        <v>82</v>
      </c>
      <c r="E1060" s="918" t="s">
        <v>1720</v>
      </c>
      <c r="F1060" s="1006" t="s">
        <v>8633</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7544</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660"/>
      <c r="C1061" s="951" t="s">
        <v>83</v>
      </c>
      <c r="E1061" s="918" t="s">
        <v>1722</v>
      </c>
      <c r="F1061" s="1007" t="s">
        <v>8632</v>
      </c>
      <c r="G1061" s="1479" t="s">
        <v>7542</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660"/>
      <c r="C1062" s="951" t="s">
        <v>84</v>
      </c>
      <c r="E1062" s="1123" t="s">
        <v>1238</v>
      </c>
      <c r="G1062" s="1515" t="s">
        <v>8813</v>
      </c>
      <c r="H1062" s="5583">
        <f>IF(AND(P1062="",Q1062=""),Místicos!L12,P1062&amp;Q1062&amp;", "&amp;IF(AND(I1074=0,I1077=0),Místicos!L12,Místicos!L12-20)&amp;" Otros")</f>
        <v>10</v>
      </c>
      <c r="I1062" s="5583"/>
      <c r="J1062" s="5583"/>
      <c r="K1062" s="5583"/>
      <c r="L1062" s="5583"/>
      <c r="M1062" s="5583"/>
      <c r="N1062" s="5583"/>
      <c r="O1062" s="5583"/>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660"/>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660"/>
      <c r="C1064" s="951" t="s">
        <v>86</v>
      </c>
      <c r="E1064" s="5846" t="s">
        <v>1245</v>
      </c>
      <c r="F1064" s="5846"/>
      <c r="H1064" s="5572" t="s">
        <v>1247</v>
      </c>
      <c r="I1064" s="5573"/>
      <c r="J1064" s="5574"/>
      <c r="L1064" s="5820" t="s">
        <v>1252</v>
      </c>
      <c r="M1064" s="5821"/>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660"/>
      <c r="C1065" s="951" t="s">
        <v>87</v>
      </c>
      <c r="E1065" s="182" t="s">
        <v>1518</v>
      </c>
      <c r="F1065" s="184" t="s">
        <v>1246</v>
      </c>
      <c r="H1065" s="1110" t="s">
        <v>1704</v>
      </c>
      <c r="I1065" s="222" t="s">
        <v>1248</v>
      </c>
      <c r="J1065" s="1043" t="s">
        <v>8814</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660"/>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660"/>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660"/>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660"/>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660"/>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660"/>
      <c r="C1071" s="951" t="s">
        <v>2108</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8783</v>
      </c>
      <c r="P1071" s="1488" t="s">
        <v>8784</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660"/>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660"/>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660"/>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660"/>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660"/>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660"/>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660"/>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660"/>
      <c r="C1079" s="5827" t="s">
        <v>80</v>
      </c>
      <c r="D1079" s="5828"/>
      <c r="E1079" s="5828"/>
      <c r="F1079" s="5828"/>
      <c r="G1079" s="5828"/>
      <c r="H1079" s="5828"/>
      <c r="I1079" s="5828"/>
      <c r="J1079" s="5829"/>
      <c r="K1079" s="5575" t="s">
        <v>7207</v>
      </c>
      <c r="M1079" s="2847" t="s">
        <v>7208</v>
      </c>
      <c r="N1079" s="2848"/>
      <c r="O1079" s="2848"/>
      <c r="P1079" s="2848"/>
      <c r="Q1079" s="2848"/>
      <c r="R1079" s="2848"/>
      <c r="S1079" s="2848"/>
      <c r="T1079" s="2848"/>
      <c r="U1079" s="2848"/>
      <c r="V1079" s="2848"/>
      <c r="W1079" s="2849"/>
      <c r="Z1079" s="629" t="str">
        <f t="shared" si="237"/>
        <v>Byakko: Protección</v>
      </c>
      <c r="AA1079" s="988">
        <f t="shared" si="238"/>
        <v>35</v>
      </c>
      <c r="AB1079" s="1441" t="s">
        <v>703</v>
      </c>
      <c r="AC1079" s="56">
        <v>140</v>
      </c>
      <c r="AD1079" s="144">
        <v>120</v>
      </c>
    </row>
    <row r="1080" spans="1:30" ht="12.75" customHeight="1" thickBot="1" x14ac:dyDescent="0.25">
      <c r="A1080" s="242">
        <v>1080</v>
      </c>
      <c r="B1080" s="5660"/>
      <c r="C1080" s="5855" t="s">
        <v>7209</v>
      </c>
      <c r="D1080" s="5856"/>
      <c r="E1080" s="5856"/>
      <c r="F1080" s="5856"/>
      <c r="G1080" s="5856"/>
      <c r="H1080" s="5856"/>
      <c r="I1080" s="5856"/>
      <c r="J1080" s="5857"/>
      <c r="K1080" s="5575"/>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660"/>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8588</v>
      </c>
      <c r="N1081" s="747" t="s">
        <v>8588</v>
      </c>
      <c r="O1081" s="747" t="s">
        <v>8588</v>
      </c>
      <c r="P1081" s="747" t="s">
        <v>8588</v>
      </c>
      <c r="Q1081" s="747" t="s">
        <v>8588</v>
      </c>
      <c r="R1081" s="747" t="s">
        <v>8588</v>
      </c>
      <c r="S1081" s="747" t="s">
        <v>8588</v>
      </c>
      <c r="T1081" s="747" t="s">
        <v>8588</v>
      </c>
      <c r="U1081" s="747" t="s">
        <v>8588</v>
      </c>
      <c r="V1081" s="747" t="s">
        <v>8588</v>
      </c>
      <c r="W1081" s="750" t="s">
        <v>8588</v>
      </c>
      <c r="Z1081" s="629" t="str">
        <f t="shared" si="237"/>
        <v>Caronte, Titiritero de Almas</v>
      </c>
      <c r="AA1081" s="988">
        <f t="shared" si="238"/>
        <v>36</v>
      </c>
      <c r="AB1081" s="1441" t="s">
        <v>705</v>
      </c>
      <c r="AC1081" s="56">
        <v>240</v>
      </c>
      <c r="AD1081" s="144">
        <v>400</v>
      </c>
    </row>
    <row r="1082" spans="1:30" ht="12.75" customHeight="1" x14ac:dyDescent="0.2">
      <c r="A1082" s="242">
        <v>1082</v>
      </c>
      <c r="B1082" s="5660"/>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660"/>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85</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660"/>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86</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660"/>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2108</v>
      </c>
      <c r="R1085" s="747" t="s">
        <v>86</v>
      </c>
      <c r="S1085" s="747" t="s">
        <v>87</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660"/>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8589</v>
      </c>
      <c r="R1086" s="747" t="s">
        <v>87</v>
      </c>
      <c r="S1086" s="747" t="s">
        <v>8589</v>
      </c>
      <c r="T1086" s="747" t="s">
        <v>87</v>
      </c>
      <c r="U1086" s="747" t="s">
        <v>91</v>
      </c>
      <c r="V1086" s="747" t="s">
        <v>2108</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660"/>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8589</v>
      </c>
      <c r="V1087" s="747" t="s">
        <v>8589</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660"/>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2108</v>
      </c>
      <c r="Z1088" s="629" t="str">
        <f t="shared" si="237"/>
        <v>El Vendedor</v>
      </c>
      <c r="AA1088" s="988">
        <f t="shared" si="238"/>
        <v>38</v>
      </c>
      <c r="AB1088" s="1441" t="s">
        <v>712</v>
      </c>
      <c r="AC1088" s="56">
        <v>280</v>
      </c>
      <c r="AD1088" s="144">
        <v>500</v>
      </c>
    </row>
    <row r="1089" spans="1:30" ht="12.75" customHeight="1" x14ac:dyDescent="0.2">
      <c r="A1089" s="242">
        <v>1089</v>
      </c>
      <c r="B1089" s="5660"/>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8589</v>
      </c>
      <c r="Q1089" s="747" t="s">
        <v>83</v>
      </c>
      <c r="R1089" s="747" t="s">
        <v>8589</v>
      </c>
      <c r="S1089" s="747" t="s">
        <v>83</v>
      </c>
      <c r="T1089" s="747" t="s">
        <v>2108</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660"/>
      <c r="C1090" s="280" t="s">
        <v>90</v>
      </c>
      <c r="D1090" s="279" t="s">
        <v>1708</v>
      </c>
      <c r="E1090" s="279" t="s">
        <v>1720</v>
      </c>
      <c r="F1090" s="279" t="s">
        <v>1619</v>
      </c>
      <c r="G1090" s="279" t="s">
        <v>1612</v>
      </c>
      <c r="H1090" s="279" t="s">
        <v>1713</v>
      </c>
      <c r="I1090" s="241"/>
      <c r="J1090" s="205"/>
      <c r="K1090" s="842" t="str">
        <f t="shared" si="239"/>
        <v>LuzIlusiónFuegoAireTierra</v>
      </c>
      <c r="M1090" s="749" t="s">
        <v>8589</v>
      </c>
      <c r="N1090" s="747" t="s">
        <v>90</v>
      </c>
      <c r="O1090" s="747" t="s">
        <v>8589</v>
      </c>
      <c r="P1090" s="747" t="s">
        <v>89</v>
      </c>
      <c r="Q1090" s="747" t="s">
        <v>85</v>
      </c>
      <c r="R1090" s="747" t="s">
        <v>81</v>
      </c>
      <c r="S1090" s="747" t="s">
        <v>84</v>
      </c>
      <c r="T1090" s="747" t="s">
        <v>93</v>
      </c>
      <c r="U1090" s="747" t="s">
        <v>83</v>
      </c>
      <c r="V1090" s="747" t="s">
        <v>82</v>
      </c>
      <c r="W1090" s="750" t="s">
        <v>8589</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660"/>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88</v>
      </c>
      <c r="T1091" s="747" t="s">
        <v>8589</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660"/>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90</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660"/>
      <c r="C1093" s="280" t="s">
        <v>2108</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2108</v>
      </c>
      <c r="O1093" s="747" t="s">
        <v>86</v>
      </c>
      <c r="P1093" s="747" t="s">
        <v>86</v>
      </c>
      <c r="Q1093" s="747" t="s">
        <v>90</v>
      </c>
      <c r="R1093" s="747" t="s">
        <v>88</v>
      </c>
      <c r="S1093" s="747" t="s">
        <v>91</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660"/>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92</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660"/>
      <c r="H1095"/>
      <c r="I1095" s="624"/>
      <c r="M1095" s="749" t="s">
        <v>2108</v>
      </c>
      <c r="N1095" s="747" t="s">
        <v>8589</v>
      </c>
      <c r="O1095" s="747" t="s">
        <v>2108</v>
      </c>
      <c r="P1095" s="747" t="s">
        <v>91</v>
      </c>
      <c r="Q1095" s="747" t="s">
        <v>92</v>
      </c>
      <c r="R1095" s="747" t="s">
        <v>92</v>
      </c>
      <c r="S1095" s="747" t="s">
        <v>2108</v>
      </c>
      <c r="T1095" s="747" t="s">
        <v>90</v>
      </c>
      <c r="U1095" s="747" t="s">
        <v>2108</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660"/>
      <c r="M1096" s="1253" t="s">
        <v>93</v>
      </c>
      <c r="N1096" s="1254" t="s">
        <v>87</v>
      </c>
      <c r="O1096" s="1254" t="s">
        <v>93</v>
      </c>
      <c r="P1096" s="1254" t="s">
        <v>2108</v>
      </c>
      <c r="Q1096" s="1254" t="s">
        <v>93</v>
      </c>
      <c r="R1096" s="1254" t="s">
        <v>2263</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660"/>
      <c r="Z1097" s="629" t="str">
        <f t="shared" si="237"/>
        <v>Garuda, Alas de Fuego</v>
      </c>
      <c r="AA1097" s="988">
        <f t="shared" si="238"/>
        <v>10</v>
      </c>
      <c r="AB1097" s="1441" t="s">
        <v>721</v>
      </c>
      <c r="AC1097" s="56">
        <v>340</v>
      </c>
      <c r="AD1097" s="144">
        <v>700</v>
      </c>
    </row>
    <row r="1098" spans="1:30" ht="12.75" customHeight="1" x14ac:dyDescent="0.2">
      <c r="A1098" s="242">
        <v>1098</v>
      </c>
      <c r="B1098" s="5660"/>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660"/>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660"/>
      <c r="Z1100" s="629" t="str">
        <f t="shared" si="237"/>
        <v>Genbu: Clarividencia</v>
      </c>
      <c r="AA1100" s="988">
        <f t="shared" si="238"/>
        <v>41</v>
      </c>
      <c r="AB1100" s="1441" t="s">
        <v>724</v>
      </c>
      <c r="AC1100" s="56">
        <v>360</v>
      </c>
      <c r="AD1100" s="144">
        <v>650</v>
      </c>
    </row>
    <row r="1101" spans="1:30" ht="12.75" customHeight="1" x14ac:dyDescent="0.2">
      <c r="A1101" s="242">
        <v>1101</v>
      </c>
      <c r="B1101" s="5660"/>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660"/>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660"/>
      <c r="C1103" s="5676" t="s">
        <v>30</v>
      </c>
      <c r="D1103" s="5676"/>
      <c r="E1103" s="5676"/>
      <c r="F1103" s="5676"/>
      <c r="G1103" s="5676"/>
      <c r="H1103" s="5676"/>
      <c r="I1103" s="5676"/>
      <c r="J1103" s="5676"/>
      <c r="K1103" s="5676"/>
      <c r="L1103" s="5676"/>
      <c r="M1103" s="5676"/>
      <c r="N1103" s="5676"/>
      <c r="O1103" s="5676"/>
      <c r="P1103" s="5676"/>
      <c r="Q1103" s="5676"/>
      <c r="R1103" s="5676"/>
      <c r="S1103" s="5676"/>
      <c r="T1103" s="5676"/>
      <c r="U1103" s="5676"/>
      <c r="V1103" s="5676"/>
      <c r="W1103" s="5676"/>
      <c r="Z1103" s="629" t="str">
        <f t="shared" si="237"/>
        <v>Hermod, el Mensajero de los Dioses</v>
      </c>
      <c r="AA1103" s="988">
        <f t="shared" si="238"/>
        <v>24</v>
      </c>
      <c r="AB1103" s="1441" t="s">
        <v>727</v>
      </c>
      <c r="AC1103" s="56">
        <v>340</v>
      </c>
      <c r="AD1103" s="144">
        <v>700</v>
      </c>
    </row>
    <row r="1104" spans="1:30" ht="12.75" customHeight="1" x14ac:dyDescent="0.2">
      <c r="A1104" s="242">
        <v>1104</v>
      </c>
      <c r="B1104" s="5660"/>
      <c r="C1104" s="5676"/>
      <c r="D1104" s="5676"/>
      <c r="E1104" s="5676"/>
      <c r="F1104" s="5676"/>
      <c r="G1104" s="5676"/>
      <c r="H1104" s="5676"/>
      <c r="I1104" s="5676"/>
      <c r="J1104" s="5676"/>
      <c r="K1104" s="5676"/>
      <c r="L1104" s="5676"/>
      <c r="M1104" s="5676"/>
      <c r="N1104" s="5676"/>
      <c r="O1104" s="5676"/>
      <c r="P1104" s="5676"/>
      <c r="Q1104" s="5676"/>
      <c r="R1104" s="5676"/>
      <c r="S1104" s="5676"/>
      <c r="T1104" s="5676"/>
      <c r="U1104" s="5676"/>
      <c r="V1104" s="5676"/>
      <c r="W1104" s="5676"/>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660"/>
      <c r="C1105" s="5584" t="s">
        <v>31</v>
      </c>
      <c r="D1105" s="5584"/>
      <c r="E1105" s="210" t="s">
        <v>1498</v>
      </c>
      <c r="F1105" s="210" t="s">
        <v>1851</v>
      </c>
      <c r="G1105" s="275" t="s">
        <v>1558</v>
      </c>
      <c r="H1105" s="276"/>
      <c r="I1105" s="661"/>
      <c r="J1105" s="5824" t="s">
        <v>1215</v>
      </c>
      <c r="K1105" s="5824"/>
      <c r="L1105" s="5824"/>
      <c r="M1105" s="5824"/>
      <c r="N1105" s="5824"/>
      <c r="O1105" s="5824"/>
      <c r="P1105" s="5824"/>
      <c r="Q1105" s="5824"/>
      <c r="R1105" s="5571" t="s">
        <v>1004</v>
      </c>
      <c r="S1105" s="5571"/>
      <c r="T1105" s="5571"/>
      <c r="U1105" s="5571"/>
      <c r="V1105" s="5571"/>
      <c r="W1105" s="5571"/>
      <c r="Z1105" s="629" t="str">
        <f t="shared" si="240"/>
        <v>Huginn y Muninn: Ojo del mundo</v>
      </c>
      <c r="AA1105" s="988">
        <f t="shared" si="241"/>
        <v>12</v>
      </c>
      <c r="AB1105" s="1441" t="s">
        <v>729</v>
      </c>
      <c r="AC1105" s="56">
        <v>280</v>
      </c>
      <c r="AD1105" s="144">
        <v>400</v>
      </c>
    </row>
    <row r="1106" spans="1:30" ht="12.75" customHeight="1" x14ac:dyDescent="0.2">
      <c r="A1106" s="242">
        <v>1106</v>
      </c>
      <c r="B1106" s="5660"/>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660"/>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660"/>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660"/>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660"/>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660"/>
      <c r="C1111" s="39"/>
      <c r="D1111" s="89" t="s">
        <v>2504</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660"/>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660"/>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660"/>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660"/>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660"/>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660"/>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660"/>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660"/>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660"/>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660"/>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660"/>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660"/>
      <c r="C1123" s="3062" t="s">
        <v>1794</v>
      </c>
      <c r="D1123" s="3063"/>
      <c r="E1123" s="3063"/>
      <c r="F1123" s="3063"/>
      <c r="G1123" s="3063"/>
      <c r="H1123" s="3063"/>
      <c r="I1123" s="3063"/>
      <c r="J1123" s="3063"/>
      <c r="K1123" s="3063"/>
      <c r="L1123" s="3063"/>
      <c r="M1123" s="3063"/>
      <c r="N1123" s="3134"/>
      <c r="P1123" s="3156" t="s">
        <v>98</v>
      </c>
      <c r="Q1123" s="3156"/>
      <c r="R1123" s="3156"/>
      <c r="S1123" s="3156"/>
      <c r="T1123" s="3156"/>
      <c r="U1123" s="3156"/>
      <c r="V1123" s="3156"/>
      <c r="W1123" s="3156"/>
      <c r="Z1123" s="629" t="str">
        <f t="shared" si="240"/>
        <v>Rudraskha: Void nova</v>
      </c>
      <c r="AA1123" s="988">
        <f t="shared" si="241"/>
        <v>30</v>
      </c>
      <c r="AB1123" s="1441" t="s">
        <v>747</v>
      </c>
      <c r="AC1123" s="56">
        <v>280</v>
      </c>
      <c r="AD1123" s="144">
        <v>500</v>
      </c>
    </row>
    <row r="1124" spans="1:30" ht="12.75" customHeight="1" thickBot="1" x14ac:dyDescent="0.25">
      <c r="A1124" s="242">
        <v>1124</v>
      </c>
      <c r="B1124" s="5660"/>
      <c r="C1124" s="5685"/>
      <c r="D1124" s="5686"/>
      <c r="E1124" s="5686"/>
      <c r="F1124" s="5686"/>
      <c r="G1124" s="5686"/>
      <c r="H1124" s="5686"/>
      <c r="I1124" s="5686"/>
      <c r="J1124" s="5686"/>
      <c r="K1124" s="5686"/>
      <c r="L1124" s="5686"/>
      <c r="M1124" s="5686"/>
      <c r="N1124" s="5687"/>
      <c r="P1124" s="3156"/>
      <c r="Q1124" s="3156"/>
      <c r="R1124" s="3156"/>
      <c r="S1124" s="3156"/>
      <c r="T1124" s="3156"/>
      <c r="U1124" s="3156"/>
      <c r="V1124" s="3156"/>
      <c r="W1124" s="3156"/>
      <c r="Z1124" s="629" t="str">
        <f t="shared" si="240"/>
        <v>Seiryu, el Dragón Celeste</v>
      </c>
      <c r="AA1124" s="988">
        <f t="shared" si="241"/>
        <v>31</v>
      </c>
      <c r="AB1124" s="1441" t="s">
        <v>748</v>
      </c>
      <c r="AC1124" s="56">
        <v>340</v>
      </c>
      <c r="AD1124" s="144">
        <v>660</v>
      </c>
    </row>
    <row r="1125" spans="1:30" ht="12.75" customHeight="1" x14ac:dyDescent="0.2">
      <c r="A1125" s="242">
        <v>1125</v>
      </c>
      <c r="B1125" s="5660"/>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660"/>
      <c r="C1126" s="542"/>
      <c r="D1126" s="1154" t="s">
        <v>105</v>
      </c>
      <c r="E1126" s="1160" t="s">
        <v>106</v>
      </c>
      <c r="F1126" s="23"/>
      <c r="G1126" s="23"/>
      <c r="H1126" s="23"/>
      <c r="I1126" s="56"/>
      <c r="J1126" s="23"/>
      <c r="K1126" s="23"/>
      <c r="L1126" s="23"/>
      <c r="M1126" s="23"/>
      <c r="N1126" s="652"/>
      <c r="P1126" s="284">
        <f t="shared" ref="P1126:P1166"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660"/>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9082</v>
      </c>
      <c r="AC1127" s="56">
        <v>220</v>
      </c>
      <c r="AD1127" s="144">
        <v>300</v>
      </c>
    </row>
    <row r="1128" spans="1:30" ht="12.75" customHeight="1" x14ac:dyDescent="0.2">
      <c r="A1128" s="242">
        <v>1128</v>
      </c>
      <c r="B1128" s="5660"/>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660"/>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660"/>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660"/>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660"/>
      <c r="C1132" s="542"/>
      <c r="D1132" s="1154" t="s">
        <v>103</v>
      </c>
      <c r="E1132" s="1160" t="s">
        <v>104</v>
      </c>
      <c r="F1132" s="23"/>
      <c r="G1132" s="23"/>
      <c r="H1132" s="23"/>
      <c r="I1132" s="56"/>
      <c r="J1132" s="23"/>
      <c r="K1132" s="23"/>
      <c r="L1132" s="23"/>
      <c r="M1132" s="23"/>
      <c r="N1132" s="652"/>
      <c r="P1132" s="284">
        <f t="shared" si="243"/>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29" t="str">
        <f t="shared" si="240"/>
        <v>Suzaku: El elegido del sol</v>
      </c>
      <c r="AA1132" s="988">
        <f t="shared" si="241"/>
        <v>8</v>
      </c>
      <c r="AB1132" s="1441" t="s">
        <v>755</v>
      </c>
      <c r="AC1132" s="56">
        <v>220</v>
      </c>
      <c r="AD1132" s="144">
        <v>300</v>
      </c>
    </row>
    <row r="1133" spans="1:30" ht="12.75" customHeight="1" x14ac:dyDescent="0.2">
      <c r="A1133" s="242">
        <v>1133</v>
      </c>
      <c r="B1133" s="5660"/>
      <c r="C1133" s="542"/>
      <c r="D1133" s="1154" t="s">
        <v>111</v>
      </c>
      <c r="E1133" s="1160" t="s">
        <v>100</v>
      </c>
      <c r="F1133" s="23"/>
      <c r="G1133" s="23"/>
      <c r="H1133" s="23"/>
      <c r="I1133" s="56"/>
      <c r="J1133" s="23"/>
      <c r="K1133" s="23"/>
      <c r="L1133" s="23"/>
      <c r="M1133" s="23"/>
      <c r="N1133" s="652"/>
      <c r="P1133" s="284">
        <f t="shared" si="243"/>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660"/>
      <c r="C1134" s="542"/>
      <c r="D1134" s="1154" t="s">
        <v>109</v>
      </c>
      <c r="E1134" s="1160" t="s">
        <v>110</v>
      </c>
      <c r="F1134" s="23"/>
      <c r="G1134" s="23"/>
      <c r="H1134" s="23"/>
      <c r="I1134" s="56"/>
      <c r="J1134" s="23"/>
      <c r="K1134" s="23"/>
      <c r="L1134" s="23"/>
      <c r="M1134" s="23"/>
      <c r="N1134" s="652"/>
      <c r="P1134" s="284">
        <f t="shared" si="243"/>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660"/>
      <c r="C1135" s="542"/>
      <c r="D1135" s="1154" t="s">
        <v>99</v>
      </c>
      <c r="E1135" s="1160" t="s">
        <v>100</v>
      </c>
      <c r="F1135" s="23"/>
      <c r="G1135" s="23"/>
      <c r="H1135" s="23"/>
      <c r="I1135" s="56"/>
      <c r="J1135" s="23"/>
      <c r="K1135" s="23"/>
      <c r="L1135" s="23"/>
      <c r="M1135" s="23"/>
      <c r="N1135" s="652"/>
      <c r="P1135" s="284">
        <f t="shared" si="243"/>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660"/>
      <c r="C1136" s="542"/>
      <c r="D1136" s="1154" t="s">
        <v>101</v>
      </c>
      <c r="E1136" s="1160" t="s">
        <v>102</v>
      </c>
      <c r="F1136" s="23"/>
      <c r="G1136" s="23"/>
      <c r="H1136" s="23"/>
      <c r="I1136" s="56"/>
      <c r="J1136" s="23"/>
      <c r="K1136" s="23"/>
      <c r="L1136" s="23"/>
      <c r="M1136" s="23"/>
      <c r="N1136" s="652"/>
      <c r="P1136" s="284">
        <f t="shared" si="243"/>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660"/>
      <c r="C1137" s="542"/>
      <c r="D1137" s="1154" t="s">
        <v>115</v>
      </c>
      <c r="E1137" s="1160" t="s">
        <v>102</v>
      </c>
      <c r="F1137" s="23"/>
      <c r="G1137" s="23"/>
      <c r="H1137" s="23"/>
      <c r="I1137" s="56"/>
      <c r="J1137" s="23"/>
      <c r="K1137" s="23"/>
      <c r="L1137" s="23"/>
      <c r="M1137" s="23"/>
      <c r="N1137" s="652"/>
      <c r="P1137" s="284">
        <f t="shared" si="243"/>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660"/>
      <c r="C1138" s="1892"/>
      <c r="D1138" s="1893" t="s">
        <v>9011</v>
      </c>
      <c r="E1138" s="1894"/>
      <c r="F1138" s="1895"/>
      <c r="G1138" s="1894"/>
      <c r="H1138" s="1894"/>
      <c r="I1138" s="1894"/>
      <c r="J1138" s="1894"/>
      <c r="K1138" s="1894"/>
      <c r="L1138" s="1894"/>
      <c r="M1138" s="1894"/>
      <c r="N1138" s="1896"/>
      <c r="P1138" s="284">
        <f t="shared" si="243"/>
        <v>0</v>
      </c>
      <c r="Q1138" s="15" t="str">
        <f>IF(Metamagia!F37=1,"Metamagister: Doble daño","")</f>
        <v/>
      </c>
      <c r="R1138" s="15"/>
      <c r="S1138" s="15" t="str">
        <f>IF(Metamagia!F37=1,"El Daño Base de los conjuros ofensivos se dobla","")</f>
        <v/>
      </c>
      <c r="T1138" s="15"/>
      <c r="U1138" s="15"/>
      <c r="V1138" s="241"/>
      <c r="W1138" s="9"/>
      <c r="Z1138" s="629" t="str">
        <f t="shared" si="244"/>
        <v>Thanathos</v>
      </c>
      <c r="AA1138" s="988">
        <f t="shared" si="245"/>
        <v>17</v>
      </c>
      <c r="AB1138" s="1441" t="s">
        <v>761</v>
      </c>
      <c r="AC1138" s="56">
        <v>240</v>
      </c>
      <c r="AD1138" s="144">
        <v>800</v>
      </c>
    </row>
    <row r="1139" spans="1:30" ht="12.75" customHeight="1" x14ac:dyDescent="0.2">
      <c r="A1139" s="242">
        <v>1139</v>
      </c>
      <c r="B1139" s="5660"/>
      <c r="F1139" s="624"/>
      <c r="H1139"/>
      <c r="N1139"/>
      <c r="P1139" s="284">
        <f t="shared" si="243"/>
        <v>0</v>
      </c>
      <c r="Q1139" s="15" t="str">
        <f>IF(Metamagia!C54=1,"Sentir la magia","")</f>
        <v/>
      </c>
      <c r="R1139" s="23"/>
      <c r="S1139" s="15" t="str">
        <f>IF(Metamagia!C54=1,"Mejora un Grado los resultados en Valoración Mágica.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660"/>
      <c r="C1140" s="1319" t="s">
        <v>254</v>
      </c>
      <c r="D1140" s="1319"/>
      <c r="E1140" s="1319"/>
      <c r="F1140" s="1319"/>
      <c r="G1140" s="1319"/>
      <c r="H1140"/>
      <c r="I1140" s="1319"/>
      <c r="J1140" s="1319"/>
      <c r="K1140" s="1319"/>
      <c r="L1140" s="1319"/>
      <c r="M1140" s="1319"/>
      <c r="N1140"/>
      <c r="P1140" s="284">
        <f t="shared" si="243"/>
        <v>0</v>
      </c>
      <c r="Q1140" s="15" t="str">
        <f>IF(Metamagia!F48=1,"Control del espacio","")</f>
        <v/>
      </c>
      <c r="R1140" s="23"/>
      <c r="S1140" s="15" t="str">
        <f>IF(Metamagia!F48=1,"Permite seleccionar blancos en todos los conjuros de área","")</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660"/>
      <c r="C1141" s="1319"/>
      <c r="D1141" s="1319"/>
      <c r="E1141" s="1319"/>
      <c r="F1141" s="1319"/>
      <c r="G1141" s="1319"/>
      <c r="H1141"/>
      <c r="I1141" s="1319"/>
      <c r="J1141" s="1319"/>
      <c r="K1141" s="1319"/>
      <c r="L1141" s="1319"/>
      <c r="M1141" s="1319"/>
      <c r="N1141"/>
      <c r="P1141" s="284">
        <f t="shared" si="243"/>
        <v>0</v>
      </c>
      <c r="Q1141" s="15" t="str">
        <f>IF(Metamagia!F54=1,"Transmisión de magia","")</f>
        <v/>
      </c>
      <c r="R1141" s="23"/>
      <c r="S1141" s="15" t="str">
        <f>IF(Metamagia!F54=1,"Permite la transferencia de Zeón a distancia (Presencia en metros)","")</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660"/>
      <c r="C1142" s="1319"/>
      <c r="D1142" s="1319"/>
      <c r="E1142" s="1319"/>
      <c r="F1142" s="1319"/>
      <c r="G1142" s="1319"/>
      <c r="H1142"/>
      <c r="I1142" s="412"/>
      <c r="J1142" s="412"/>
      <c r="K1142" s="412"/>
      <c r="L1142" s="411"/>
      <c r="M1142" s="411"/>
      <c r="N1142"/>
      <c r="P1142" s="284">
        <f t="shared" si="243"/>
        <v>0</v>
      </c>
      <c r="Q1142" s="15" t="str">
        <f>IF(Metamagia!F63=1,"Seguridad defensiva","")</f>
        <v/>
      </c>
      <c r="R1142" s="23"/>
      <c r="S1142" s="15" t="str">
        <f>IF(Metamagia!F63=1,"Con Pifia al proyectar un escudo se sigue activando el conjuro","")</f>
        <v/>
      </c>
      <c r="T1142" s="23"/>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660"/>
      <c r="C1143" s="1319"/>
      <c r="D1143" s="1319"/>
      <c r="E1143" s="1319"/>
      <c r="F1143" s="1319"/>
      <c r="G1143" s="1319"/>
      <c r="H1143"/>
      <c r="L1143" s="1320"/>
      <c r="M1143" s="288"/>
      <c r="N1143"/>
      <c r="P1143" s="284">
        <f t="shared" si="243"/>
        <v>0</v>
      </c>
      <c r="Q1143" s="15" t="str">
        <f>IF(Metamagia!I59=1,"Control de la energía","")</f>
        <v/>
      </c>
      <c r="R1143" s="23"/>
      <c r="S1143" s="15" t="str">
        <f>IF(Metamagia!I59=1,"Por 10 de Zeón permite que un conjuro físico pueda dañar o parar energía","")</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660"/>
      <c r="C1144" s="1319"/>
      <c r="D1144" s="1319"/>
      <c r="E1144" s="1319"/>
      <c r="F1144" s="1319"/>
      <c r="G1144" s="1319"/>
      <c r="H1144"/>
      <c r="L1144" s="290"/>
      <c r="M1144" s="288"/>
      <c r="N1144"/>
      <c r="P1144" s="284">
        <f t="shared" si="243"/>
        <v>0</v>
      </c>
      <c r="Q1144" s="15" t="str">
        <f>IF(Metamagia!I44=1,"Doble conjuro innato","")</f>
        <v/>
      </c>
      <c r="R1144" s="23"/>
      <c r="S1144" s="15" t="str">
        <f>IF(Metamagia!I44=1,"Permite realizar 2 conjuros innatos distintos por asalto","")</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660"/>
      <c r="C1145" s="1319"/>
      <c r="D1145" s="1319"/>
      <c r="E1145" s="1319"/>
      <c r="F1145" s="1319"/>
      <c r="G1145" s="1319"/>
      <c r="H1145"/>
      <c r="L1145" s="290"/>
      <c r="M1145" s="288"/>
      <c r="N1145"/>
      <c r="P1145" s="284">
        <f t="shared" si="243"/>
        <v>0</v>
      </c>
      <c r="Q1145" s="15" t="str">
        <f>IF(Metamagia!L41=1,"Metamagister: Mantenimiento añadido","")</f>
        <v/>
      </c>
      <c r="R1145" s="23"/>
      <c r="S1145" s="15" t="str">
        <f>IF(Metamagia!L41=1,"El mantenimiento pasa a ser cada 5 asaltos (cada semana los Diarios)","")</f>
        <v/>
      </c>
      <c r="T1145" s="23"/>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660"/>
      <c r="C1146" s="1319"/>
      <c r="D1146" s="1319"/>
      <c r="E1146" s="1319"/>
      <c r="F1146" s="1319"/>
      <c r="G1146" s="1319"/>
      <c r="H1146"/>
      <c r="L1146" s="290"/>
      <c r="M1146" s="288"/>
      <c r="N1146"/>
      <c r="P1146" s="284">
        <f t="shared" si="243"/>
        <v>0</v>
      </c>
      <c r="Q1146" s="15" t="str">
        <f>IF(Metamagia!L54=1,"Aguante al daño sobrenatural","")</f>
        <v/>
      </c>
      <c r="R1146" s="23"/>
      <c r="S1146" s="15" t="str">
        <f>IF(Metamagia!L54=1,"Permite sufrir hasta la mitad de Daño mágico en puntos de Zeón","")</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660"/>
      <c r="C1147" s="1319"/>
      <c r="D1147" s="1319"/>
      <c r="E1147" s="1319"/>
      <c r="F1147" s="1319"/>
      <c r="G1147" s="1319"/>
      <c r="H1147"/>
      <c r="L1147" s="290"/>
      <c r="M1147" s="288"/>
      <c r="N1147"/>
      <c r="P1147" s="284">
        <f t="shared" si="243"/>
        <v>0</v>
      </c>
      <c r="Q1147" s="15" t="str">
        <f>IF(Metamagia!O54=1,"Magia oculta","")</f>
        <v/>
      </c>
      <c r="R1147" s="23"/>
      <c r="S1147" s="15" t="str">
        <f>IF(Metamagia!O54=1,"Disminuye penalizador para ocultar sortilegios y dificulta la detección de la magia","")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660"/>
      <c r="C1148" s="1319"/>
      <c r="D1148" s="1319"/>
      <c r="E1148" s="1319"/>
      <c r="F1148" s="1319"/>
      <c r="G1148" s="1319"/>
      <c r="H1148"/>
      <c r="L1148" s="290"/>
      <c r="M1148" s="288"/>
      <c r="N1148"/>
      <c r="P1148" s="284">
        <f t="shared" si="243"/>
        <v>0</v>
      </c>
      <c r="Q1148" s="15" t="str">
        <f>IF(Metamagia!X54=1,"Magia combinada","")</f>
        <v/>
      </c>
      <c r="R1148" s="23"/>
      <c r="S1148" s="15" t="str">
        <f>IF(Metamagia!X54=1,"Permite a varios hechiceros combinarse para lanzar un conjuro. Ver","")</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660"/>
      <c r="C1149" s="1319"/>
      <c r="D1149" s="1319"/>
      <c r="E1149" s="1319"/>
      <c r="F1149" s="1319"/>
      <c r="G1149" s="1319"/>
      <c r="H1149"/>
      <c r="L1149" s="290"/>
      <c r="M1149" s="288"/>
      <c r="N1149"/>
      <c r="P1149" s="284">
        <f t="shared" si="243"/>
        <v>0</v>
      </c>
      <c r="Q1149" s="15" t="str">
        <f>IF(Metamagia!AD54=1,"Efectos persistentes","")</f>
        <v/>
      </c>
      <c r="R1149" s="23"/>
      <c r="S1149" s="15" t="str">
        <f>IF(Metamagia!AD54=1,"El afectado por un conjuro Anímico no puede repetir RM hasta 10 asaltos","")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660"/>
      <c r="C1150" s="1319"/>
      <c r="D1150" s="1319"/>
      <c r="E1150" s="1319"/>
      <c r="F1150" s="1319"/>
      <c r="G1150" s="1319"/>
      <c r="H1150"/>
      <c r="L1150" s="290"/>
      <c r="M1150" s="288"/>
      <c r="N1150"/>
      <c r="P1150" s="284">
        <f t="shared" si="243"/>
        <v>0</v>
      </c>
      <c r="Q1150" s="15" t="str">
        <f>IF(Metamagia!AA49=1,"Elevación","")</f>
        <v/>
      </c>
      <c r="R1150" s="23"/>
      <c r="S1150" s="15" t="str">
        <f>IF(Metamagia!AA49=1,"Permite entrar en un trance cuya duración cuenta doble para recuperar Zeón","")</f>
        <v/>
      </c>
      <c r="T1150" s="23"/>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660"/>
      <c r="C1151" s="1319"/>
      <c r="D1151" s="1319"/>
      <c r="E1151" s="1319"/>
      <c r="F1151" s="1319"/>
      <c r="G1151" s="1319"/>
      <c r="H1151"/>
      <c r="L1151" s="290"/>
      <c r="M1151" s="288"/>
      <c r="N1151"/>
      <c r="P1151" s="284">
        <f t="shared" si="243"/>
        <v>0</v>
      </c>
      <c r="Q1151" s="15" t="str">
        <f>IF(Metamagia!AA44=1,"Avatar","")</f>
        <v/>
      </c>
      <c r="R1151" s="23"/>
      <c r="S1151" s="15" t="str">
        <f>IF(Metamagia!AA44=1,"El personaje puede convertirse en un Avatar de Magia. Ver","")</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660"/>
      <c r="C1152" s="1319"/>
      <c r="D1152" s="1319"/>
      <c r="E1152" s="1319"/>
      <c r="F1152" s="1319"/>
      <c r="G1152" s="1319"/>
      <c r="H1152"/>
      <c r="L1152" s="290"/>
      <c r="M1152" s="288"/>
      <c r="N1152"/>
      <c r="P1152" s="284">
        <f t="shared" si="243"/>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660"/>
      <c r="C1153" s="1319"/>
      <c r="D1153" s="1319"/>
      <c r="E1153" s="1319"/>
      <c r="F1153" s="1319"/>
      <c r="G1153" s="1319"/>
      <c r="H1153"/>
      <c r="L1153" s="290"/>
      <c r="M1153" s="288"/>
      <c r="N1153"/>
      <c r="P1153" s="284">
        <f t="shared" si="243"/>
        <v>0</v>
      </c>
      <c r="Q1153" s="15" t="str">
        <f>IF(Metamagia!AD41=1,"Metamagister: Zeón Ilimitado","")</f>
        <v/>
      </c>
      <c r="R1153" s="23"/>
      <c r="S1153" s="15" t="str">
        <f>IF(Metamagia!AD41=1,"El hechicero devuelve a la reserva la mitad del coste de sus conjuros","")</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660"/>
      <c r="C1154" s="1319"/>
      <c r="D1154" s="1319"/>
      <c r="E1154" s="1319"/>
      <c r="F1154" s="1319"/>
      <c r="G1154" s="1319"/>
      <c r="H1154"/>
      <c r="L1154" s="290"/>
      <c r="M1154" s="288"/>
      <c r="N1154"/>
      <c r="P1154" s="284">
        <f t="shared" si="243"/>
        <v>0</v>
      </c>
      <c r="Q1154" s="15" t="str">
        <f>IF(Metamagia!AD30=1,"Enlazar conjuros","")</f>
        <v/>
      </c>
      <c r="R1154" s="23"/>
      <c r="S1154" s="15" t="str">
        <f>IF(Metamagia!AD30=1,"Permite mezclar dos conjuros en uno solo. Ver","")</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660"/>
      <c r="C1155" s="1319"/>
      <c r="D1155" s="1319"/>
      <c r="E1155" s="1319"/>
      <c r="F1155" s="1319"/>
      <c r="G1155" s="1319"/>
      <c r="H1155"/>
      <c r="L1155" s="290"/>
      <c r="M1155" s="288"/>
      <c r="N1155"/>
      <c r="P1155" s="284">
        <f t="shared" si="243"/>
        <v>0</v>
      </c>
      <c r="Q1155" s="15" t="str">
        <f>IF(Metamagia!AA14=1,"Concentración mística","")</f>
        <v/>
      </c>
      <c r="R1155" s="23"/>
      <c r="S1155" s="15" t="str">
        <f>IF(Metamagia!AA14=1,"Reduce a la mitad la dificultad de Resistir Dolor al concentrar Zeón","")</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660"/>
      <c r="C1156" s="1319"/>
      <c r="D1156" s="1319"/>
      <c r="E1156" s="1319"/>
      <c r="F1156" s="1319"/>
      <c r="G1156" s="1319"/>
      <c r="H1156"/>
      <c r="L1156" s="290"/>
      <c r="M1156" s="288"/>
      <c r="N1156"/>
      <c r="P1156" s="284">
        <f t="shared" si="243"/>
        <v>0</v>
      </c>
      <c r="Q1156" s="15" t="str">
        <f>IF(Metamagia!AA24=1,"Maximización de conjuros","")</f>
        <v/>
      </c>
      <c r="R1156" s="23"/>
      <c r="S1156" s="15" t="str">
        <f>IF(Metamagia!AA24=1,"Se considera que el personaje tiene +1 INT para los Requisitos de conjuro","")</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660"/>
      <c r="C1157" s="1319"/>
      <c r="D1157" s="1319"/>
      <c r="E1157" s="1319"/>
      <c r="F1157" s="1319"/>
      <c r="G1157" s="1319"/>
      <c r="H1157"/>
      <c r="L1157" s="290"/>
      <c r="M1157" s="288"/>
      <c r="N1157"/>
      <c r="P1157" s="284">
        <f t="shared" si="243"/>
        <v>0</v>
      </c>
      <c r="Q1157" s="15" t="str">
        <f>IF(Metamagia!X30=1,"Doble conjuro","")</f>
        <v/>
      </c>
      <c r="R1157" s="23"/>
      <c r="S1157" s="15" t="str">
        <f>IF(Metamagia!X30=1,"Permite lanzar dos conjuros con la ACT doblada. Ver","")</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660"/>
      <c r="C1158" s="1319"/>
      <c r="D1158" s="1319"/>
      <c r="E1158" s="1319"/>
      <c r="F1158" s="1319"/>
      <c r="G1158" s="1319"/>
      <c r="H1158"/>
      <c r="L1158" s="290"/>
      <c r="M1158" s="288"/>
      <c r="N1158"/>
      <c r="P1158" s="284">
        <f t="shared" si="243"/>
        <v>0</v>
      </c>
      <c r="Q1158" s="15" t="str">
        <f>IF(Metamagia!AA34=1,"Conjuro innato superior","")</f>
        <v/>
      </c>
      <c r="R1158" s="23"/>
      <c r="S1158" s="15" t="str">
        <f>IF(Metamagia!AA34=1,"Permite acumular magia mientras se lanzan conjuros innatos","")</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660"/>
      <c r="C1159" s="1319"/>
      <c r="D1159" s="1319"/>
      <c r="E1159" s="1319"/>
      <c r="F1159" s="1319"/>
      <c r="G1159" s="1319"/>
      <c r="H1159"/>
      <c r="L1159" s="290"/>
      <c r="M1159" s="288"/>
      <c r="N1159"/>
      <c r="P1159" s="284">
        <f t="shared" si="243"/>
        <v>0</v>
      </c>
      <c r="Q1159" s="15" t="str">
        <f>IF(Metamagia!X37=1,"Metamagister: Alta Magia","")</f>
        <v/>
      </c>
      <c r="R1159" s="23"/>
      <c r="S1159" s="15" t="str">
        <f>IF(Metamagia!X37=1,"Permite lanzar conjuros de Alta Magia sin Gnosis 25. Ver","")</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660"/>
      <c r="C1160" s="1319"/>
      <c r="D1160" s="1319"/>
      <c r="E1160" s="1319"/>
      <c r="F1160" s="1319"/>
      <c r="G1160" s="1319"/>
      <c r="H1160"/>
      <c r="L1160" s="290"/>
      <c r="M1160" s="288"/>
      <c r="N1160"/>
      <c r="P1160" s="284">
        <f t="shared" si="243"/>
        <v>0</v>
      </c>
      <c r="Q1160" s="15" t="str">
        <f>IF(Metamagia!X15=1,"Conjuro especializado Nv 30","")</f>
        <v/>
      </c>
      <c r="R1160" s="23"/>
      <c r="S1160" s="15" t="str">
        <f>IF(Metamagia!X15=1,"+10 ACT, +1 INT para Requisitos de conjuro: "&amp;Personalización!AF55,"")</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660"/>
      <c r="C1161" s="1319"/>
      <c r="D1161" s="1319"/>
      <c r="E1161" s="1319"/>
      <c r="F1161" s="1319"/>
      <c r="G1161" s="1319"/>
      <c r="H1161"/>
      <c r="L1161" s="290"/>
      <c r="M1161" s="288"/>
      <c r="N1161"/>
      <c r="P1161" s="284">
        <f t="shared" si="243"/>
        <v>0</v>
      </c>
      <c r="Q1161" s="15" t="str">
        <f>IF(Metamagia!AD15=1,"Conjuro especializado Nv 30","")</f>
        <v/>
      </c>
      <c r="R1161" s="23"/>
      <c r="S1161" s="15" t="str">
        <f>IF(Metamagia!AD15=1,"+10 ACT, +1 INT para Requisitos de conjuro: "&amp;Personalización!AF56,"")</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660"/>
      <c r="C1162" s="1319"/>
      <c r="D1162" s="1319"/>
      <c r="E1162" s="1319"/>
      <c r="F1162" s="1319"/>
      <c r="G1162" s="1319"/>
      <c r="H1162"/>
      <c r="L1162" s="290"/>
      <c r="M1162" s="288"/>
      <c r="N1162"/>
      <c r="P1162" s="284">
        <f t="shared" si="243"/>
        <v>0</v>
      </c>
      <c r="Q1162" s="15" t="str">
        <f>IF(Metamagia!R29=1,"Conjuro especializado Nv 50","")</f>
        <v/>
      </c>
      <c r="R1162" s="23"/>
      <c r="S1162" s="15" t="str">
        <f>IF(Metamagia!R29=1,"+10 ACT, +1 INT para Requisitos de conjuro: "&amp;Personalización!AF57,"")</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660"/>
      <c r="C1163" s="1319"/>
      <c r="D1163" s="1319"/>
      <c r="E1163" s="1319"/>
      <c r="F1163" s="1319"/>
      <c r="G1163" s="1319"/>
      <c r="H1163"/>
      <c r="L1163" s="290"/>
      <c r="M1163" s="288"/>
      <c r="N1163"/>
      <c r="P1163" s="284">
        <f t="shared" si="243"/>
        <v>0</v>
      </c>
      <c r="Q1163" s="15" t="str">
        <f>IF(Metamagia!X24=1,"Conjuro especializado Nv 60","")</f>
        <v/>
      </c>
      <c r="R1163" s="23"/>
      <c r="S1163" s="15" t="str">
        <f>IF(Metamagia!X24=1,"+10 ACT, +1 INT para Requisitos de conjuro: "&amp;Personalización!AF59,"")</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660"/>
      <c r="C1164" s="1319"/>
      <c r="D1164" s="1319"/>
      <c r="E1164" s="1319"/>
      <c r="F1164" s="1319"/>
      <c r="G1164" s="1319"/>
      <c r="H1164"/>
      <c r="L1164" s="290"/>
      <c r="M1164" s="288"/>
      <c r="N1164"/>
      <c r="P1164" s="284">
        <f t="shared" si="243"/>
        <v>0</v>
      </c>
      <c r="Q1164" s="15" t="str">
        <f>IF(Metamagia!AG24=1,"Conjuro especializado Nv 60","")</f>
        <v/>
      </c>
      <c r="R1164" s="23"/>
      <c r="S1164" s="15" t="str">
        <f>IF(Metamagia!AG24=1,"+10 ACT, +1 INT para Requisitos de conjuro: "&amp;Personalización!AF58,"")</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660"/>
      <c r="C1165" s="1319"/>
      <c r="D1165" s="1319"/>
      <c r="E1165" s="1319"/>
      <c r="F1165" s="1319"/>
      <c r="G1165" s="1319"/>
      <c r="H1165"/>
      <c r="L1165" s="290"/>
      <c r="M1165" s="288"/>
      <c r="N1165"/>
      <c r="P1165" s="284">
        <f t="shared" si="243"/>
        <v>0</v>
      </c>
      <c r="Q1165" s="15" t="str">
        <f>IF(Metamagia!AG39=1,"Conjuro especializado Nv 70","")</f>
        <v/>
      </c>
      <c r="R1165" s="23"/>
      <c r="S1165" s="15" t="str">
        <f>IF(Metamagia!AG39=1,"+10 ACT, +1 INT para Requisitos de conjuro: "&amp;Personalización!AF60,"")</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thickBot="1" x14ac:dyDescent="0.25">
      <c r="A1166" s="242">
        <v>1166</v>
      </c>
      <c r="B1166" s="5660"/>
      <c r="C1166" s="1319"/>
      <c r="D1166" s="1319"/>
      <c r="E1166" s="1319"/>
      <c r="F1166" s="1319"/>
      <c r="G1166" s="1319"/>
      <c r="H1166"/>
      <c r="L1166" s="290"/>
      <c r="M1166" s="288"/>
      <c r="N1166"/>
      <c r="P1166" s="285">
        <f t="shared" si="243"/>
        <v>0</v>
      </c>
      <c r="Q1166" s="21" t="str">
        <f>IF(Metamagia!AA29=1,"Conjuro especializado Nv 80","")</f>
        <v/>
      </c>
      <c r="R1166" s="77"/>
      <c r="S1166" s="21" t="str">
        <f>IF(Metamagia!AA29=1,"+10 ACT, +1 INT para Requisitos de conjuro: "&amp;Personalización!AF61,"")</f>
        <v/>
      </c>
      <c r="T1166" s="77"/>
      <c r="U1166" s="77"/>
      <c r="V1166" s="679"/>
      <c r="W1166" s="78"/>
      <c r="Z1166" s="629" t="str">
        <f t="shared" si="246"/>
        <v>Kha-nefer, el Sacerdote Impío (Nv 6)</v>
      </c>
      <c r="AA1166" s="988">
        <f t="shared" si="247"/>
        <v>9</v>
      </c>
      <c r="AB1166" s="1441" t="s">
        <v>789</v>
      </c>
      <c r="AC1166" s="56">
        <v>280</v>
      </c>
      <c r="AD1166" s="144">
        <v>400</v>
      </c>
    </row>
    <row r="1167" spans="1:30" ht="12.75" customHeight="1" x14ac:dyDescent="0.2">
      <c r="A1167" s="242">
        <v>1167</v>
      </c>
      <c r="B1167" s="5660"/>
      <c r="C1167" s="1319"/>
      <c r="D1167" s="1319"/>
      <c r="E1167" s="1319"/>
      <c r="F1167" s="1319"/>
      <c r="G1167" s="1319"/>
      <c r="H1167"/>
      <c r="L1167" s="290"/>
      <c r="M1167" s="288"/>
      <c r="N1167"/>
      <c r="T1167" s="790"/>
      <c r="Z1167" s="629" t="str">
        <f t="shared" si="246"/>
        <v>Kha-nefer, el Sacerdote Impío (Nv 9)</v>
      </c>
      <c r="AA1167" s="988">
        <f t="shared" si="247"/>
        <v>10</v>
      </c>
      <c r="AB1167" s="1441" t="s">
        <v>790</v>
      </c>
      <c r="AC1167" s="56">
        <v>300</v>
      </c>
      <c r="AD1167" s="144">
        <v>600</v>
      </c>
    </row>
    <row r="1168" spans="1:30" ht="12.75" customHeight="1" x14ac:dyDescent="0.2">
      <c r="A1168" s="242">
        <v>1168</v>
      </c>
      <c r="B1168" s="5660"/>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660"/>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660"/>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660"/>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660"/>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660"/>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660"/>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660"/>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660"/>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660"/>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660"/>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660"/>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660"/>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660"/>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660"/>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660"/>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660"/>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660"/>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660"/>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660"/>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660"/>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660"/>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660"/>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660"/>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660"/>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660"/>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660"/>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660"/>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660"/>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660"/>
      <c r="C1197" s="1319"/>
      <c r="D1197" s="1319"/>
      <c r="E1197" s="1319"/>
      <c r="F1197" s="1319"/>
      <c r="G1197" s="1319"/>
      <c r="H1197"/>
      <c r="L1197" s="290"/>
      <c r="M1197" s="288"/>
      <c r="N1197"/>
    </row>
    <row r="1198" spans="1:80" ht="12.75" customHeight="1" x14ac:dyDescent="0.2">
      <c r="A1198" s="242">
        <v>1198</v>
      </c>
      <c r="B1198" s="5664"/>
      <c r="C1198" s="5534" t="s">
        <v>7572</v>
      </c>
      <c r="D1198" s="5534"/>
      <c r="E1198" s="5534"/>
      <c r="F1198" s="5534"/>
      <c r="G1198" s="5534"/>
      <c r="H1198" s="5534"/>
      <c r="I1198" s="5534"/>
      <c r="J1198" s="5534"/>
      <c r="K1198" s="5534"/>
      <c r="L1198" s="5534"/>
      <c r="M1198" s="5534"/>
      <c r="N1198" s="5534"/>
      <c r="O1198" s="5534"/>
      <c r="P1198" s="5534"/>
      <c r="Q1198" s="5534"/>
      <c r="R1198" s="5534"/>
      <c r="S1198" s="5534"/>
      <c r="T1198" s="5534"/>
      <c r="U1198" s="5534"/>
      <c r="V1198" s="5534"/>
      <c r="W1198" s="5534"/>
      <c r="X1198" s="5534"/>
      <c r="Y1198" s="5534"/>
      <c r="Z1198" s="5534"/>
      <c r="AA1198" s="5534"/>
      <c r="AB1198" s="5534"/>
      <c r="AC1198" s="5534"/>
      <c r="AD1198" s="5534"/>
      <c r="AE1198" s="5534"/>
      <c r="AF1198" s="5534"/>
      <c r="AG1198" s="5534"/>
      <c r="AH1198" s="5534"/>
      <c r="AI1198" s="5534"/>
      <c r="AJ1198" s="5534"/>
      <c r="AK1198" s="5534"/>
      <c r="AL1198" s="5534"/>
      <c r="AM1198" s="5534"/>
      <c r="AN1198" s="5534"/>
      <c r="AO1198" s="5534"/>
      <c r="AP1198" s="5534"/>
      <c r="AQ1198" s="5534"/>
      <c r="AR1198" s="5534"/>
      <c r="AS1198" s="5534"/>
      <c r="AT1198" s="5534"/>
      <c r="AU1198" s="5534"/>
      <c r="AV1198" s="5534"/>
      <c r="AW1198" s="5534"/>
      <c r="AX1198" s="5534"/>
      <c r="AY1198" s="5534"/>
      <c r="AZ1198" s="5534"/>
      <c r="BA1198" s="5534"/>
      <c r="BB1198" s="5534"/>
      <c r="BC1198" s="5534"/>
      <c r="BD1198" s="5534"/>
      <c r="BE1198" s="5534"/>
      <c r="BF1198" s="5534"/>
      <c r="BG1198" s="5534"/>
      <c r="BH1198" s="5534"/>
      <c r="BI1198" s="5534"/>
      <c r="BJ1198" s="5534"/>
      <c r="BK1198" s="5534"/>
      <c r="BL1198" s="5534"/>
      <c r="BM1198" s="5534"/>
      <c r="BN1198" s="5534"/>
      <c r="BO1198" s="5534"/>
      <c r="BP1198" s="5534"/>
      <c r="BQ1198" s="5534"/>
      <c r="BR1198" s="5534"/>
      <c r="BS1198" s="5534"/>
      <c r="BT1198" s="5534"/>
      <c r="BU1198" s="5534"/>
      <c r="BV1198" s="5534"/>
      <c r="BW1198" s="5534"/>
      <c r="BX1198" s="5534"/>
      <c r="BY1198" s="5534"/>
      <c r="BZ1198" s="5534"/>
      <c r="CA1198" s="5534"/>
      <c r="CB1198" s="5534"/>
    </row>
    <row r="1199" spans="1:80" ht="12.75" customHeight="1" x14ac:dyDescent="0.2">
      <c r="A1199" s="242">
        <v>1199</v>
      </c>
      <c r="B1199" s="5664"/>
      <c r="C1199" s="5534"/>
      <c r="D1199" s="5534"/>
      <c r="E1199" s="5534"/>
      <c r="F1199" s="5534"/>
      <c r="G1199" s="5534"/>
      <c r="H1199" s="5534"/>
      <c r="I1199" s="5534"/>
      <c r="J1199" s="5534"/>
      <c r="K1199" s="5534"/>
      <c r="L1199" s="5534"/>
      <c r="M1199" s="5534"/>
      <c r="N1199" s="5534"/>
      <c r="O1199" s="5534"/>
      <c r="P1199" s="5534"/>
      <c r="Q1199" s="5534"/>
      <c r="R1199" s="5534"/>
      <c r="S1199" s="5534"/>
      <c r="T1199" s="5534"/>
      <c r="U1199" s="5534"/>
      <c r="V1199" s="5534"/>
      <c r="W1199" s="5534"/>
      <c r="X1199" s="5534"/>
      <c r="Y1199" s="5534"/>
      <c r="Z1199" s="5534"/>
      <c r="AA1199" s="5534"/>
      <c r="AB1199" s="5534"/>
      <c r="AC1199" s="5534"/>
      <c r="AD1199" s="5534"/>
      <c r="AE1199" s="5534"/>
      <c r="AF1199" s="5534"/>
      <c r="AG1199" s="5534"/>
      <c r="AH1199" s="5534"/>
      <c r="AI1199" s="5534"/>
      <c r="AJ1199" s="5534"/>
      <c r="AK1199" s="5534"/>
      <c r="AL1199" s="5534"/>
      <c r="AM1199" s="5534"/>
      <c r="AN1199" s="5534"/>
      <c r="AO1199" s="5534"/>
      <c r="AP1199" s="5534"/>
      <c r="AQ1199" s="5534"/>
      <c r="AR1199" s="5534"/>
      <c r="AS1199" s="5534"/>
      <c r="AT1199" s="5534"/>
      <c r="AU1199" s="5534"/>
      <c r="AV1199" s="5534"/>
      <c r="AW1199" s="5534"/>
      <c r="AX1199" s="5534"/>
      <c r="AY1199" s="5534"/>
      <c r="AZ1199" s="5534"/>
      <c r="BA1199" s="5534"/>
      <c r="BB1199" s="5534"/>
      <c r="BC1199" s="5534"/>
      <c r="BD1199" s="5534"/>
      <c r="BE1199" s="5534"/>
      <c r="BF1199" s="5534"/>
      <c r="BG1199" s="5534"/>
      <c r="BH1199" s="5534"/>
      <c r="BI1199" s="5534"/>
      <c r="BJ1199" s="5534"/>
      <c r="BK1199" s="5534"/>
      <c r="BL1199" s="5534"/>
      <c r="BM1199" s="5534"/>
      <c r="BN1199" s="5534"/>
      <c r="BO1199" s="5534"/>
      <c r="BP1199" s="5534"/>
      <c r="BQ1199" s="5534"/>
      <c r="BR1199" s="5534"/>
      <c r="BS1199" s="5534"/>
      <c r="BT1199" s="5534"/>
      <c r="BU1199" s="5534"/>
      <c r="BV1199" s="5534"/>
      <c r="BW1199" s="5534"/>
      <c r="BX1199" s="5534"/>
      <c r="BY1199" s="5534"/>
      <c r="BZ1199" s="5534"/>
      <c r="CA1199" s="5534"/>
      <c r="CB1199" s="5534"/>
    </row>
    <row r="1200" spans="1:80" ht="12.75" customHeight="1" x14ac:dyDescent="0.2">
      <c r="A1200" s="242">
        <v>1200</v>
      </c>
      <c r="B1200" s="5664"/>
      <c r="C1200" s="5534"/>
      <c r="D1200" s="5534"/>
      <c r="E1200" s="5534"/>
      <c r="F1200" s="5534"/>
      <c r="G1200" s="5534"/>
      <c r="H1200" s="5534"/>
      <c r="I1200" s="5534"/>
      <c r="J1200" s="5534"/>
      <c r="K1200" s="5534"/>
      <c r="L1200" s="5534"/>
      <c r="M1200" s="5534"/>
      <c r="N1200" s="5534"/>
      <c r="O1200" s="5534"/>
      <c r="P1200" s="5534"/>
      <c r="Q1200" s="5534"/>
      <c r="R1200" s="5534"/>
      <c r="S1200" s="5534"/>
      <c r="T1200" s="5534"/>
      <c r="U1200" s="5534"/>
      <c r="V1200" s="5534"/>
      <c r="W1200" s="5534"/>
      <c r="X1200" s="5534"/>
      <c r="Y1200" s="5534"/>
      <c r="Z1200" s="5534"/>
      <c r="AA1200" s="5534"/>
      <c r="AB1200" s="5534"/>
      <c r="AC1200" s="5534"/>
      <c r="AD1200" s="5534"/>
      <c r="AE1200" s="5534"/>
      <c r="AF1200" s="5534"/>
      <c r="AG1200" s="5534"/>
      <c r="AH1200" s="5534"/>
      <c r="AI1200" s="5534"/>
      <c r="AJ1200" s="5534"/>
      <c r="AK1200" s="5534"/>
      <c r="AL1200" s="5534"/>
      <c r="AM1200" s="5534"/>
      <c r="AN1200" s="5534"/>
      <c r="AO1200" s="5534"/>
      <c r="AP1200" s="5534"/>
      <c r="AQ1200" s="5534"/>
      <c r="AR1200" s="5534"/>
      <c r="AS1200" s="5534"/>
      <c r="AT1200" s="5534"/>
      <c r="AU1200" s="5534"/>
      <c r="AV1200" s="5534"/>
      <c r="AW1200" s="5534"/>
      <c r="AX1200" s="5534"/>
      <c r="AY1200" s="5534"/>
      <c r="AZ1200" s="5534"/>
      <c r="BA1200" s="5534"/>
      <c r="BB1200" s="5534"/>
      <c r="BC1200" s="5534"/>
      <c r="BD1200" s="5534"/>
      <c r="BE1200" s="5534"/>
      <c r="BF1200" s="5534"/>
      <c r="BG1200" s="5534"/>
      <c r="BH1200" s="5534"/>
      <c r="BI1200" s="5534"/>
      <c r="BJ1200" s="5534"/>
      <c r="BK1200" s="5534"/>
      <c r="BL1200" s="5534"/>
      <c r="BM1200" s="5534"/>
      <c r="BN1200" s="5534"/>
      <c r="BO1200" s="5534"/>
      <c r="BP1200" s="5534"/>
      <c r="BQ1200" s="5534"/>
      <c r="BR1200" s="5534"/>
      <c r="BS1200" s="5534"/>
      <c r="BT1200" s="5534"/>
      <c r="BU1200" s="5534"/>
      <c r="BV1200" s="5534"/>
      <c r="BW1200" s="5534"/>
      <c r="BX1200" s="5534"/>
      <c r="BY1200" s="5534"/>
      <c r="BZ1200" s="5534"/>
      <c r="CA1200" s="5534"/>
      <c r="CB1200" s="5534"/>
    </row>
    <row r="1201" spans="1:80" ht="12.75" customHeight="1" thickBot="1" x14ac:dyDescent="0.25">
      <c r="A1201" s="242">
        <v>1201</v>
      </c>
      <c r="B1201" s="5664"/>
      <c r="H1201"/>
      <c r="I1201" s="624"/>
      <c r="N1201"/>
      <c r="O1201" s="624"/>
    </row>
    <row r="1202" spans="1:80" ht="12.75" customHeight="1" x14ac:dyDescent="0.2">
      <c r="A1202" s="242">
        <v>1202</v>
      </c>
      <c r="B1202" s="5664"/>
      <c r="C1202" s="5768" t="s">
        <v>1255</v>
      </c>
      <c r="D1202" s="5769"/>
      <c r="E1202" s="5769"/>
      <c r="F1202" s="5769"/>
      <c r="G1202" s="5769"/>
      <c r="H1202" s="5769"/>
      <c r="I1202" s="5769"/>
      <c r="J1202" s="5769"/>
      <c r="K1202" s="5770"/>
      <c r="M1202" s="5576" t="s">
        <v>1447</v>
      </c>
      <c r="N1202" s="5577"/>
      <c r="O1202" s="5577"/>
      <c r="P1202" s="5577"/>
      <c r="Q1202" s="5577"/>
      <c r="R1202" s="5577"/>
      <c r="S1202" s="5577"/>
      <c r="T1202" s="5578"/>
      <c r="W1202" s="5811" t="s">
        <v>1449</v>
      </c>
      <c r="X1202" s="5812"/>
      <c r="Y1202" s="5808" t="s">
        <v>7583</v>
      </c>
      <c r="Z1202" s="5807" t="s">
        <v>7588</v>
      </c>
      <c r="AA1202" s="5808"/>
      <c r="AB1202" s="5808"/>
      <c r="AC1202" s="5808"/>
      <c r="AD1202" s="5808"/>
      <c r="AE1202" s="5808"/>
      <c r="AF1202" s="5808"/>
      <c r="AG1202" s="5808"/>
      <c r="AH1202" s="5808"/>
      <c r="AI1202" s="5808"/>
      <c r="AJ1202" s="5808"/>
      <c r="AK1202" s="5808"/>
      <c r="AL1202" s="5808"/>
      <c r="AM1202" s="5808"/>
      <c r="AN1202" s="5808"/>
      <c r="AO1202" s="5808"/>
      <c r="AP1202" s="5808"/>
      <c r="AQ1202" s="5808"/>
      <c r="AR1202" s="5808"/>
      <c r="AS1202" s="5808"/>
      <c r="AT1202" s="5808"/>
      <c r="AU1202" s="5808"/>
      <c r="AV1202" s="5808"/>
      <c r="AW1202" s="5808"/>
      <c r="AX1202" s="5808"/>
      <c r="AY1202" s="5808"/>
      <c r="AZ1202" s="5808"/>
      <c r="BA1202" s="5808"/>
      <c r="BB1202" s="5808"/>
      <c r="BC1202" s="5808"/>
      <c r="BD1202" s="5808"/>
      <c r="BE1202" s="5808"/>
      <c r="BF1202" s="5808"/>
      <c r="BG1202" s="5808"/>
      <c r="BH1202" s="5808"/>
      <c r="BI1202" s="5808"/>
      <c r="BJ1202" s="5808"/>
      <c r="BK1202" s="5808"/>
      <c r="BL1202" s="5808"/>
      <c r="BM1202" s="5808"/>
      <c r="BN1202" s="5808"/>
      <c r="BO1202" s="5808"/>
      <c r="BP1202" s="5808"/>
      <c r="BQ1202" s="5808"/>
      <c r="BR1202" s="5808"/>
      <c r="BS1202" s="5808"/>
      <c r="BT1202" s="5808"/>
      <c r="BU1202" s="5808"/>
      <c r="BV1202" s="5808"/>
      <c r="BW1202" s="5808"/>
      <c r="BX1202" s="5808"/>
      <c r="BY1202" s="5808"/>
      <c r="BZ1202" s="5808"/>
      <c r="CA1202" s="5808"/>
      <c r="CB1202" s="5809"/>
    </row>
    <row r="1203" spans="1:80" ht="12.75" customHeight="1" x14ac:dyDescent="0.2">
      <c r="A1203" s="242">
        <v>1203</v>
      </c>
      <c r="B1203" s="5664"/>
      <c r="C1203" s="5771"/>
      <c r="D1203" s="5772"/>
      <c r="E1203" s="5772"/>
      <c r="F1203" s="5772"/>
      <c r="G1203" s="5772"/>
      <c r="H1203" s="5772"/>
      <c r="I1203" s="5772"/>
      <c r="J1203" s="5772"/>
      <c r="K1203" s="5773"/>
      <c r="M1203" s="5579"/>
      <c r="N1203" s="4400"/>
      <c r="O1203" s="4400"/>
      <c r="P1203" s="4400"/>
      <c r="Q1203" s="4400"/>
      <c r="R1203" s="4400"/>
      <c r="S1203" s="4400"/>
      <c r="T1203" s="5580"/>
      <c r="W1203" s="5813"/>
      <c r="X1203" s="4410"/>
      <c r="Y1203" s="5805"/>
      <c r="Z1203" s="5810"/>
      <c r="AA1203" s="5805"/>
      <c r="AB1203" s="5805"/>
      <c r="AC1203" s="5805"/>
      <c r="AD1203" s="5805"/>
      <c r="AE1203" s="5805"/>
      <c r="AF1203" s="5805"/>
      <c r="AG1203" s="5805"/>
      <c r="AH1203" s="5805"/>
      <c r="AI1203" s="5805"/>
      <c r="AJ1203" s="5805"/>
      <c r="AK1203" s="5805"/>
      <c r="AL1203" s="5805"/>
      <c r="AM1203" s="5805"/>
      <c r="AN1203" s="5805"/>
      <c r="AO1203" s="5805"/>
      <c r="AP1203" s="5805"/>
      <c r="AQ1203" s="5805"/>
      <c r="AR1203" s="5805"/>
      <c r="AS1203" s="5805"/>
      <c r="AT1203" s="5805"/>
      <c r="AU1203" s="5805"/>
      <c r="AV1203" s="5805"/>
      <c r="AW1203" s="5805"/>
      <c r="AX1203" s="5805"/>
      <c r="AY1203" s="5805"/>
      <c r="AZ1203" s="5805"/>
      <c r="BA1203" s="5805"/>
      <c r="BB1203" s="5805"/>
      <c r="BC1203" s="5805"/>
      <c r="BD1203" s="5805"/>
      <c r="BE1203" s="5805"/>
      <c r="BF1203" s="5805"/>
      <c r="BG1203" s="5805"/>
      <c r="BH1203" s="5805"/>
      <c r="BI1203" s="5805"/>
      <c r="BJ1203" s="5805"/>
      <c r="BK1203" s="5805"/>
      <c r="BL1203" s="5805"/>
      <c r="BM1203" s="5805"/>
      <c r="BN1203" s="5805"/>
      <c r="BO1203" s="5805"/>
      <c r="BP1203" s="5805"/>
      <c r="BQ1203" s="5805"/>
      <c r="BR1203" s="5805"/>
      <c r="BS1203" s="5805"/>
      <c r="BT1203" s="5805"/>
      <c r="BU1203" s="5805"/>
      <c r="BV1203" s="5805"/>
      <c r="BW1203" s="5805"/>
      <c r="BX1203" s="5805"/>
      <c r="BY1203" s="5805"/>
      <c r="BZ1203" s="5805"/>
      <c r="CA1203" s="5805"/>
      <c r="CB1203" s="5806"/>
    </row>
    <row r="1204" spans="1:80" ht="12.75" customHeight="1" x14ac:dyDescent="0.2">
      <c r="A1204" s="242">
        <v>1204</v>
      </c>
      <c r="B1204" s="5664"/>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664"/>
      <c r="C1205" s="1141"/>
      <c r="D1205" s="1142"/>
      <c r="E1205" s="1072" t="s">
        <v>1449</v>
      </c>
      <c r="F1205" s="1072" t="s">
        <v>1256</v>
      </c>
      <c r="G1205" s="1072" t="s">
        <v>1498</v>
      </c>
      <c r="H1205" s="1072" t="s">
        <v>2289</v>
      </c>
      <c r="I1205" s="1143" t="s">
        <v>1915</v>
      </c>
      <c r="J1205" s="1072" t="s">
        <v>7328</v>
      </c>
      <c r="K1205" s="1144" t="s">
        <v>7580</v>
      </c>
      <c r="M1205" s="1146"/>
      <c r="N1205" s="1147"/>
      <c r="O1205" s="1072" t="s">
        <v>1449</v>
      </c>
      <c r="P1205" s="1072" t="s">
        <v>1384</v>
      </c>
      <c r="Q1205" s="1148" t="s">
        <v>1498</v>
      </c>
      <c r="R1205" s="1072" t="s">
        <v>2289</v>
      </c>
      <c r="S1205" s="1072" t="s">
        <v>7328</v>
      </c>
      <c r="T1205" s="1144" t="s">
        <v>7580</v>
      </c>
      <c r="W1205" s="1161" t="s">
        <v>1928</v>
      </c>
      <c r="X1205" s="319"/>
      <c r="Y1205" s="1156" t="str">
        <f>IF(Z1205="","",SUBSTITUTE("PodHab_"&amp;W1205," ",""))</f>
        <v/>
      </c>
      <c r="Z1205" s="1460" t="s">
        <v>7172</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664"/>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7590</v>
      </c>
      <c r="X1206" s="319"/>
      <c r="Y1206" s="940" t="str">
        <f t="shared" ref="Y1206:Y1211" si="249">IF(Z1206="","",SUBSTITUTE("PodHab_"&amp;W1206," ",""))</f>
        <v>PodHab_Ataqueadicional</v>
      </c>
      <c r="Z1206" s="1460" t="s">
        <v>7640</v>
      </c>
      <c r="AA1206" s="1466" t="s">
        <v>7641</v>
      </c>
      <c r="AB1206" s="1466" t="s">
        <v>7642</v>
      </c>
      <c r="AC1206" s="1466" t="s">
        <v>7643</v>
      </c>
      <c r="AD1206" s="1466" t="s">
        <v>7644</v>
      </c>
      <c r="AE1206" s="1466" t="s">
        <v>7645</v>
      </c>
      <c r="AF1206" s="1466" t="s">
        <v>7612</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664"/>
      <c r="C1207" s="1133"/>
      <c r="D1207" s="67"/>
      <c r="E1207" s="1136" t="s">
        <v>1258</v>
      </c>
      <c r="F1207" s="86">
        <v>0</v>
      </c>
      <c r="G1207" s="86">
        <v>10</v>
      </c>
      <c r="H1207" s="86">
        <f>COUNTIF(HabilidadesEsenciales_Adquiridas,Tablas!E1207)</f>
        <v>0</v>
      </c>
      <c r="I1207" s="1138">
        <v>1</v>
      </c>
      <c r="J1207" s="185"/>
      <c r="K1207" s="1129"/>
      <c r="M1207" s="351"/>
      <c r="N1207" s="23"/>
      <c r="O1207" s="143" t="s">
        <v>1928</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664"/>
      <c r="C1208" s="1133"/>
      <c r="D1208" s="67"/>
      <c r="E1208" s="1136" t="s">
        <v>2309</v>
      </c>
      <c r="F1208" s="86">
        <v>5</v>
      </c>
      <c r="G1208" s="86">
        <v>30</v>
      </c>
      <c r="H1208" s="86">
        <f>COUNTIF(HabilidadesEsenciales_Adquiridas,Tablas!E1208)</f>
        <v>0</v>
      </c>
      <c r="I1208" s="1138">
        <v>2</v>
      </c>
      <c r="J1208" s="185"/>
      <c r="K1208" s="1129"/>
      <c r="M1208" s="351"/>
      <c r="N1208" s="23"/>
      <c r="O1208" s="143" t="s">
        <v>7910</v>
      </c>
      <c r="P1208" s="1131">
        <v>0</v>
      </c>
      <c r="Q1208" s="185">
        <v>20</v>
      </c>
      <c r="R1208" s="1138">
        <f>COUNTIF(PoderesDeCriatura_Adquiridos,Tablas!O1208)</f>
        <v>0</v>
      </c>
      <c r="S1208" s="185"/>
      <c r="T1208" s="1129"/>
      <c r="W1208" s="1161" t="s">
        <v>7613</v>
      </c>
      <c r="X1208" s="319"/>
      <c r="Y1208" s="940" t="str">
        <f t="shared" si="249"/>
        <v>PodHab_Ataqueespecial</v>
      </c>
      <c r="Z1208" s="1460" t="s">
        <v>7646</v>
      </c>
      <c r="AA1208" s="1466" t="s">
        <v>7647</v>
      </c>
      <c r="AB1208" s="1466" t="s">
        <v>7648</v>
      </c>
      <c r="AC1208" s="1466" t="s">
        <v>7649</v>
      </c>
      <c r="AD1208" s="1466" t="s">
        <v>7650</v>
      </c>
      <c r="AE1208" s="1466" t="s">
        <v>7651</v>
      </c>
      <c r="AF1208" s="1466" t="s">
        <v>7652</v>
      </c>
      <c r="AG1208" s="1466" t="s">
        <v>7653</v>
      </c>
      <c r="AH1208" s="1466" t="s">
        <v>7654</v>
      </c>
      <c r="AI1208" s="1466" t="s">
        <v>7655</v>
      </c>
      <c r="AJ1208" s="1466" t="s">
        <v>7656</v>
      </c>
      <c r="AK1208" s="1466" t="s">
        <v>7657</v>
      </c>
      <c r="AL1208" s="1466" t="s">
        <v>7658</v>
      </c>
      <c r="AM1208" s="1466" t="s">
        <v>7659</v>
      </c>
      <c r="AN1208" s="1466" t="s">
        <v>7660</v>
      </c>
      <c r="AO1208" s="1466" t="s">
        <v>7661</v>
      </c>
      <c r="AP1208" s="1466" t="s">
        <v>7662</v>
      </c>
      <c r="AQ1208" s="1464" t="s">
        <v>7663</v>
      </c>
      <c r="AR1208" s="1464" t="s">
        <v>7664</v>
      </c>
      <c r="AS1208" s="1464" t="s">
        <v>7665</v>
      </c>
      <c r="AT1208" s="1464" t="s">
        <v>7666</v>
      </c>
      <c r="AU1208" s="1464" t="s">
        <v>7667</v>
      </c>
      <c r="AV1208" s="1464" t="s">
        <v>7668</v>
      </c>
      <c r="AW1208" s="1464" t="s">
        <v>5700</v>
      </c>
      <c r="AX1208" s="1464" t="s">
        <v>7669</v>
      </c>
      <c r="AY1208" s="1464" t="s">
        <v>7670</v>
      </c>
      <c r="AZ1208" s="1464" t="s">
        <v>7671</v>
      </c>
      <c r="BA1208" s="1464" t="s">
        <v>7672</v>
      </c>
      <c r="BB1208" s="1464" t="s">
        <v>7673</v>
      </c>
      <c r="BC1208" s="1464" t="s">
        <v>7674</v>
      </c>
      <c r="BD1208" s="1464" t="s">
        <v>7675</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664"/>
      <c r="C1209" s="1133"/>
      <c r="D1209" s="67"/>
      <c r="E1209" s="1136" t="s">
        <v>1259</v>
      </c>
      <c r="F1209" s="86">
        <v>5</v>
      </c>
      <c r="G1209" s="86">
        <v>15</v>
      </c>
      <c r="H1209" s="86">
        <f>COUNTIF(HabilidadesEsenciales_Adquiridas,Tablas!E1209)</f>
        <v>0</v>
      </c>
      <c r="I1209" s="1138"/>
      <c r="J1209" s="185"/>
      <c r="K1209" s="1129"/>
      <c r="M1209" s="351"/>
      <c r="N1209" s="23"/>
      <c r="O1209" s="143" t="s">
        <v>7911</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664"/>
      <c r="C1210" s="1133"/>
      <c r="D1210" s="67"/>
      <c r="E1210" s="1136" t="s">
        <v>1260</v>
      </c>
      <c r="F1210" s="86">
        <v>5</v>
      </c>
      <c r="G1210" s="86">
        <v>30</v>
      </c>
      <c r="H1210" s="86">
        <f>COUNTIF(HabilidadesEsenciales_Adquiridas,Tablas!E1210)</f>
        <v>0</v>
      </c>
      <c r="I1210" s="1138"/>
      <c r="J1210" s="185"/>
      <c r="K1210" s="1129"/>
      <c r="M1210" s="351"/>
      <c r="N1210" s="23"/>
      <c r="O1210" s="143" t="s">
        <v>7912</v>
      </c>
      <c r="P1210" s="1131">
        <v>0</v>
      </c>
      <c r="Q1210" s="185">
        <v>40</v>
      </c>
      <c r="R1210" s="1138">
        <f>COUNTIF(PoderesDeCriatura_Adquiridos,Tablas!O1210)</f>
        <v>0</v>
      </c>
      <c r="S1210" s="185"/>
      <c r="T1210" s="1129"/>
      <c r="W1210" s="1161" t="s">
        <v>7593</v>
      </c>
      <c r="X1210" s="319"/>
      <c r="Y1210" s="940" t="str">
        <f t="shared" si="249"/>
        <v>PodHab_Ataquevenenoso</v>
      </c>
      <c r="Z1210" s="1460" t="s">
        <v>7676</v>
      </c>
      <c r="AA1210" s="1466" t="s">
        <v>7677</v>
      </c>
      <c r="AB1210" s="1466" t="s">
        <v>7678</v>
      </c>
      <c r="AC1210" s="1466" t="s">
        <v>7679</v>
      </c>
      <c r="AD1210" s="1466" t="s">
        <v>7680</v>
      </c>
      <c r="AE1210" s="1466" t="s">
        <v>7681</v>
      </c>
      <c r="AF1210" s="1466" t="s">
        <v>7682</v>
      </c>
      <c r="AG1210" s="1466" t="s">
        <v>7683</v>
      </c>
      <c r="AH1210" s="1466" t="s">
        <v>7684</v>
      </c>
      <c r="AI1210" s="1466" t="s">
        <v>7685</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664"/>
      <c r="C1211" s="1133"/>
      <c r="D1211" s="67"/>
      <c r="E1211" s="1136" t="s">
        <v>1261</v>
      </c>
      <c r="F1211" s="86">
        <v>0</v>
      </c>
      <c r="G1211" s="86">
        <v>10</v>
      </c>
      <c r="H1211" s="86">
        <f>COUNTIF(HabilidadesEsenciales_Adquiridas,Tablas!E1211)</f>
        <v>0</v>
      </c>
      <c r="I1211" s="1138"/>
      <c r="J1211" s="185"/>
      <c r="K1211" s="1129"/>
      <c r="M1211" s="351"/>
      <c r="N1211" s="23"/>
      <c r="O1211" s="143" t="s">
        <v>7913</v>
      </c>
      <c r="P1211" s="1131">
        <v>5</v>
      </c>
      <c r="Q1211" s="185">
        <v>50</v>
      </c>
      <c r="R1211" s="1138">
        <f>COUNTIF(PoderesDeCriatura_Adquiridos,Tablas!O1211)</f>
        <v>0</v>
      </c>
      <c r="S1211" s="185"/>
      <c r="T1211" s="1129"/>
      <c r="W1211" s="1161" t="s">
        <v>7350</v>
      </c>
      <c r="X1211" s="319"/>
      <c r="Y1211" s="940" t="str">
        <f t="shared" si="249"/>
        <v>PodHab_Críticoincrementado</v>
      </c>
      <c r="Z1211" s="1460" t="s">
        <v>7686</v>
      </c>
      <c r="AA1211" s="1466" t="s">
        <v>7687</v>
      </c>
      <c r="AB1211" s="1466" t="s">
        <v>7688</v>
      </c>
      <c r="AC1211" s="1466" t="s">
        <v>7689</v>
      </c>
      <c r="AD1211" s="1466" t="s">
        <v>7690</v>
      </c>
      <c r="AE1211" s="1466" t="s">
        <v>7691</v>
      </c>
      <c r="AF1211" s="1466" t="s">
        <v>7692</v>
      </c>
      <c r="AG1211" s="1466" t="s">
        <v>7693</v>
      </c>
      <c r="AH1211" s="1466" t="s">
        <v>7694</v>
      </c>
      <c r="AI1211" s="1466" t="s">
        <v>7695</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664"/>
      <c r="C1212" s="1133"/>
      <c r="D1212" s="67"/>
      <c r="E1212" s="1136" t="s">
        <v>1262</v>
      </c>
      <c r="F1212" s="86">
        <v>5</v>
      </c>
      <c r="G1212" s="86">
        <v>10</v>
      </c>
      <c r="H1212" s="86">
        <f>COUNTIF(HabilidadesEsenciales_Adquiridas,Tablas!E1212)</f>
        <v>0</v>
      </c>
      <c r="I1212" s="1138"/>
      <c r="J1212" s="185"/>
      <c r="K1212" s="1129"/>
      <c r="M1212" s="351"/>
      <c r="N1212" s="23"/>
      <c r="O1212" s="143" t="s">
        <v>7914</v>
      </c>
      <c r="P1212" s="1131">
        <v>5</v>
      </c>
      <c r="Q1212" s="185">
        <v>60</v>
      </c>
      <c r="R1212" s="1138">
        <f>COUNTIF(PoderesDeCriatura_Adquiridos,Tablas!O1212)</f>
        <v>0</v>
      </c>
      <c r="S1212" s="185"/>
      <c r="T1212" s="1129"/>
      <c r="W1212" s="1161" t="s">
        <v>8591</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664"/>
      <c r="C1213" s="1133"/>
      <c r="D1213" s="67"/>
      <c r="E1213" s="1136" t="s">
        <v>1263</v>
      </c>
      <c r="F1213" s="86">
        <v>0</v>
      </c>
      <c r="G1213" s="86">
        <v>20</v>
      </c>
      <c r="H1213" s="86">
        <f>COUNTIF(HabilidadesEsenciales_Adquiridas,Tablas!E1213)</f>
        <v>0</v>
      </c>
      <c r="I1213" s="1138">
        <v>1</v>
      </c>
      <c r="J1213" s="185">
        <f>IF(H1217&gt;0,20,IF(H1215&gt;0,15,IF(H1213&gt;0,13,10)))</f>
        <v>10</v>
      </c>
      <c r="K1213" s="1129" t="s">
        <v>8571</v>
      </c>
      <c r="M1213" s="351"/>
      <c r="N1213" s="23"/>
      <c r="O1213" s="143" t="s">
        <v>7915</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7696</v>
      </c>
      <c r="AA1213" s="1466" t="s">
        <v>7697</v>
      </c>
      <c r="AB1213" s="1466" t="s">
        <v>7698</v>
      </c>
      <c r="AC1213" s="1466" t="s">
        <v>7699</v>
      </c>
      <c r="AD1213" s="1466" t="s">
        <v>7700</v>
      </c>
      <c r="AE1213" s="1466" t="s">
        <v>7701</v>
      </c>
      <c r="AF1213" s="1466" t="s">
        <v>7702</v>
      </c>
      <c r="AG1213" s="1466" t="s">
        <v>7703</v>
      </c>
      <c r="AH1213" s="1466" t="s">
        <v>7704</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664"/>
      <c r="C1214" s="1133"/>
      <c r="D1214" s="67"/>
      <c r="E1214" s="1136" t="s">
        <v>1264</v>
      </c>
      <c r="F1214" s="86">
        <v>5</v>
      </c>
      <c r="G1214" s="86">
        <v>20</v>
      </c>
      <c r="H1214" s="86">
        <f>COUNTIF(HabilidadesEsenciales_Adquiridas,Tablas!E1214)</f>
        <v>0</v>
      </c>
      <c r="I1214" s="1138">
        <v>1</v>
      </c>
      <c r="J1214" s="185">
        <f>IF(H1218&gt;0,20,IF(H1216&gt;0,15,IF(H1214&gt;0,13,10)))</f>
        <v>10</v>
      </c>
      <c r="K1214" s="1129" t="s">
        <v>8572</v>
      </c>
      <c r="M1214" s="351"/>
      <c r="N1214" s="23"/>
      <c r="O1214" s="143" t="s">
        <v>7916</v>
      </c>
      <c r="P1214" s="1131">
        <v>15</v>
      </c>
      <c r="Q1214" s="185">
        <v>100</v>
      </c>
      <c r="R1214" s="1138">
        <f>COUNTIF(PoderesDeCriatura_Adquiridos,Tablas!O1214)</f>
        <v>0</v>
      </c>
      <c r="S1214" s="185"/>
      <c r="T1214" s="1129"/>
      <c r="W1214" s="1161" t="s">
        <v>7594</v>
      </c>
      <c r="X1214" s="319"/>
      <c r="Y1214" s="940" t="str">
        <f>IF(Z1214="","",SUBSTITUTE("PodHab_"&amp;W1214," ",""))</f>
        <v>PodHab_Efectomísticoañadido</v>
      </c>
      <c r="Z1214" s="1460" t="s">
        <v>7705</v>
      </c>
      <c r="AA1214" s="1466" t="s">
        <v>7706</v>
      </c>
      <c r="AB1214" s="1466" t="s">
        <v>4799</v>
      </c>
      <c r="AC1214" s="1466" t="s">
        <v>4800</v>
      </c>
      <c r="AD1214" s="1466" t="s">
        <v>3893</v>
      </c>
      <c r="AE1214" s="1466" t="s">
        <v>3894</v>
      </c>
      <c r="AF1214" s="1466" t="s">
        <v>3895</v>
      </c>
      <c r="AG1214" s="1466" t="s">
        <v>3896</v>
      </c>
      <c r="AH1214" s="1466" t="s">
        <v>7707</v>
      </c>
      <c r="AI1214" s="1466" t="s">
        <v>3254</v>
      </c>
      <c r="AJ1214" s="1466" t="s">
        <v>631</v>
      </c>
      <c r="AK1214" s="1466" t="s">
        <v>3251</v>
      </c>
      <c r="AL1214" s="1466" t="s">
        <v>7708</v>
      </c>
      <c r="AM1214" s="1466" t="s">
        <v>453</v>
      </c>
      <c r="AN1214" s="1466" t="s">
        <v>7709</v>
      </c>
      <c r="AO1214" s="1466" t="s">
        <v>7710</v>
      </c>
      <c r="AP1214" s="1466" t="s">
        <v>579</v>
      </c>
      <c r="AQ1214" s="1464" t="s">
        <v>440</v>
      </c>
      <c r="AR1214" s="1464" t="s">
        <v>441</v>
      </c>
      <c r="AS1214" s="1464" t="s">
        <v>442</v>
      </c>
      <c r="AT1214" s="1464" t="s">
        <v>3252</v>
      </c>
      <c r="AU1214" s="1464" t="s">
        <v>7711</v>
      </c>
      <c r="AV1214" s="1464" t="s">
        <v>7712</v>
      </c>
      <c r="AW1214" s="1464" t="s">
        <v>3253</v>
      </c>
      <c r="AX1214" s="1464" t="s">
        <v>468</v>
      </c>
      <c r="AY1214" s="1464" t="s">
        <v>84</v>
      </c>
      <c r="AZ1214" s="1464" t="s">
        <v>40</v>
      </c>
      <c r="BA1214" s="1464" t="s">
        <v>7713</v>
      </c>
      <c r="BB1214" s="1464" t="s">
        <v>7714</v>
      </c>
      <c r="BC1214" s="1464" t="s">
        <v>7715</v>
      </c>
      <c r="BD1214" s="1464" t="s">
        <v>7716</v>
      </c>
      <c r="BE1214" s="1464" t="s">
        <v>490</v>
      </c>
      <c r="BF1214" s="1464" t="s">
        <v>7717</v>
      </c>
      <c r="BG1214" s="1464" t="s">
        <v>7718</v>
      </c>
      <c r="BH1214" s="1464" t="s">
        <v>7719</v>
      </c>
      <c r="BI1214" s="1464" t="s">
        <v>7720</v>
      </c>
      <c r="BJ1214" s="1464" t="s">
        <v>7721</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664"/>
      <c r="C1215" s="1133"/>
      <c r="D1215" s="67"/>
      <c r="E1215" s="1136" t="s">
        <v>1265</v>
      </c>
      <c r="F1215" s="86">
        <v>20</v>
      </c>
      <c r="G1215" s="86">
        <v>40</v>
      </c>
      <c r="H1215" s="86">
        <f>COUNTIF(HabilidadesEsenciales_Adquiridas,Tablas!E1215)</f>
        <v>0</v>
      </c>
      <c r="I1215" s="1138">
        <v>1</v>
      </c>
      <c r="J1215" s="185"/>
      <c r="K1215" s="1129"/>
      <c r="M1215" s="351"/>
      <c r="N1215" s="23"/>
      <c r="O1215" s="143" t="s">
        <v>7917</v>
      </c>
      <c r="P1215" s="1131">
        <v>0</v>
      </c>
      <c r="Q1215" s="185">
        <v>10</v>
      </c>
      <c r="R1215" s="1138">
        <f>COUNTIF(PoderesDeCriatura_Adquiridos,Tablas!O1215)</f>
        <v>0</v>
      </c>
      <c r="S1215" s="185"/>
      <c r="T1215" s="1129"/>
      <c r="W1215" s="1161" t="s">
        <v>7592</v>
      </c>
      <c r="X1215" s="319"/>
      <c r="Y1215" s="940" t="str">
        <f>IF(Z1215="","",SUBSTITUTE("PodHab_"&amp;W1215," ",""))</f>
        <v>PodHab_Modificadordearmadura</v>
      </c>
      <c r="Z1215" s="1460" t="s">
        <v>7722</v>
      </c>
      <c r="AA1215" s="1466" t="s">
        <v>7723</v>
      </c>
      <c r="AB1215" s="1466" t="s">
        <v>7724</v>
      </c>
      <c r="AC1215" s="1466" t="s">
        <v>7725</v>
      </c>
      <c r="AD1215" s="1466" t="s">
        <v>7726</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664"/>
      <c r="C1216" s="1133"/>
      <c r="D1216" s="67"/>
      <c r="E1216" s="1136" t="s">
        <v>1266</v>
      </c>
      <c r="F1216" s="86">
        <v>20</v>
      </c>
      <c r="G1216" s="86">
        <v>40</v>
      </c>
      <c r="H1216" s="86">
        <f>COUNTIF(HabilidadesEsenciales_Adquiridas,Tablas!E1216)</f>
        <v>0</v>
      </c>
      <c r="I1216" s="1138">
        <v>1</v>
      </c>
      <c r="J1216" s="185"/>
      <c r="K1216" s="1129"/>
      <c r="M1216" s="351"/>
      <c r="N1216" s="23"/>
      <c r="O1216" s="143" t="s">
        <v>7918</v>
      </c>
      <c r="P1216" s="1131">
        <v>0</v>
      </c>
      <c r="Q1216" s="185">
        <v>20</v>
      </c>
      <c r="R1216" s="1138">
        <f>COUNTIF(PoderesDeCriatura_Adquiridos,Tablas!O1216)</f>
        <v>0</v>
      </c>
      <c r="S1216" s="185"/>
      <c r="T1216" s="1129"/>
      <c r="W1216" s="1161" t="s">
        <v>7595</v>
      </c>
      <c r="X1216" s="319"/>
      <c r="Y1216" s="940" t="str">
        <f>IF(Z1216="","",SUBSTITUTE("PodHab_"&amp;W1216," ",""))</f>
        <v>PodHab_Presaespecial</v>
      </c>
      <c r="Z1216" s="1460" t="s">
        <v>7727</v>
      </c>
      <c r="AA1216" s="1466" t="s">
        <v>7728</v>
      </c>
      <c r="AB1216" s="1466" t="s">
        <v>7729</v>
      </c>
      <c r="AC1216" s="1466" t="s">
        <v>7730</v>
      </c>
      <c r="AD1216" s="1466" t="s">
        <v>7731</v>
      </c>
      <c r="AE1216" s="1466" t="s">
        <v>7732</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664"/>
      <c r="C1217" s="1133"/>
      <c r="D1217" s="67"/>
      <c r="E1217" s="1136" t="s">
        <v>1267</v>
      </c>
      <c r="F1217" s="86">
        <v>30</v>
      </c>
      <c r="G1217" s="86">
        <v>80</v>
      </c>
      <c r="H1217" s="86">
        <f>COUNTIF(HabilidadesEsenciales_Adquiridas,Tablas!E1217)</f>
        <v>0</v>
      </c>
      <c r="I1217" s="1138">
        <v>1</v>
      </c>
      <c r="J1217" s="185"/>
      <c r="K1217" s="1129"/>
      <c r="M1217" s="351"/>
      <c r="N1217" s="23"/>
      <c r="O1217" s="143" t="s">
        <v>7919</v>
      </c>
      <c r="P1217" s="1131">
        <v>0</v>
      </c>
      <c r="Q1217" s="185">
        <v>30</v>
      </c>
      <c r="R1217" s="1138">
        <f>COUNTIF(PoderesDeCriatura_Adquiridos,Tablas!O1217)</f>
        <v>0</v>
      </c>
      <c r="S1217" s="185"/>
      <c r="T1217" s="1129"/>
      <c r="W1217" s="1161" t="s">
        <v>7591</v>
      </c>
      <c r="X1217" s="319"/>
      <c r="Y1217" s="940" t="str">
        <f>IF(Z1217="","",SUBSTITUTE("PodHab_"&amp;W1217," ",""))</f>
        <v>PodHab_Reacciónincrementada</v>
      </c>
      <c r="Z1217" s="1460" t="s">
        <v>7733</v>
      </c>
      <c r="AA1217" s="1466" t="s">
        <v>7734</v>
      </c>
      <c r="AB1217" s="1466" t="s">
        <v>7735</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664"/>
      <c r="C1218" s="1133"/>
      <c r="D1218" s="67"/>
      <c r="E1218" s="1136" t="s">
        <v>1268</v>
      </c>
      <c r="F1218" s="86">
        <v>35</v>
      </c>
      <c r="G1218" s="86">
        <v>80</v>
      </c>
      <c r="H1218" s="86">
        <f>COUNTIF(HabilidadesEsenciales_Adquiridas,Tablas!E1218)</f>
        <v>0</v>
      </c>
      <c r="I1218" s="1138">
        <v>1</v>
      </c>
      <c r="J1218" s="185"/>
      <c r="K1218" s="1129"/>
      <c r="M1218" s="351"/>
      <c r="N1218" s="23"/>
      <c r="O1218" s="143" t="s">
        <v>7920</v>
      </c>
      <c r="P1218" s="1131">
        <v>0</v>
      </c>
      <c r="Q1218" s="185">
        <v>40</v>
      </c>
      <c r="R1218" s="1138">
        <f>COUNTIF(PoderesDeCriatura_Adquiridos,Tablas!O1218)</f>
        <v>0</v>
      </c>
      <c r="S1218" s="185"/>
      <c r="T1218" s="1129"/>
      <c r="W1218" s="1161" t="s">
        <v>1317</v>
      </c>
      <c r="X1218" s="857"/>
      <c r="Y1218" s="940"/>
      <c r="Z1218" s="1460" t="s">
        <v>7172</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664"/>
      <c r="C1219" s="1133"/>
      <c r="D1219" s="67"/>
      <c r="E1219" s="1136" t="s">
        <v>8342</v>
      </c>
      <c r="F1219" s="86">
        <v>0</v>
      </c>
      <c r="G1219" s="86">
        <v>20</v>
      </c>
      <c r="H1219" s="86">
        <f>COUNTIF(HabilidadesEsenciales_Adquiridas,Tablas!E1219)</f>
        <v>0</v>
      </c>
      <c r="I1219" s="1138">
        <v>1</v>
      </c>
      <c r="J1219" s="185">
        <f t="array" ref="J1219">MAX({1;2;3;4;5}*H1219:H1223)</f>
        <v>0</v>
      </c>
      <c r="K1219" s="1129" t="s">
        <v>1381</v>
      </c>
      <c r="M1219" s="351"/>
      <c r="N1219" s="23"/>
      <c r="O1219" s="143" t="s">
        <v>7921</v>
      </c>
      <c r="P1219" s="1131">
        <v>5</v>
      </c>
      <c r="Q1219" s="185">
        <v>50</v>
      </c>
      <c r="R1219" s="1138">
        <f>COUNTIF(PoderesDeCriatura_Adquiridos,Tablas!O1219)</f>
        <v>0</v>
      </c>
      <c r="S1219" s="185"/>
      <c r="T1219" s="1129"/>
      <c r="W1219" s="1161" t="s">
        <v>7614</v>
      </c>
      <c r="X1219" s="857"/>
      <c r="Y1219" s="940" t="str">
        <f>IF(Z1219="","",SUBSTITUTE("PodHab_"&amp;W1219," ",""))</f>
        <v>PodHab_Desplazamientoespecial</v>
      </c>
      <c r="Z1219" s="1460" t="s">
        <v>2575</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664"/>
      <c r="C1220" s="1133"/>
      <c r="D1220" s="67"/>
      <c r="E1220" s="1136" t="s">
        <v>8343</v>
      </c>
      <c r="F1220" s="86">
        <v>5</v>
      </c>
      <c r="G1220" s="86">
        <v>40</v>
      </c>
      <c r="H1220" s="86">
        <f>COUNTIF(HabilidadesEsenciales_Adquiridas,Tablas!E1220)</f>
        <v>0</v>
      </c>
      <c r="I1220" s="1138">
        <v>1</v>
      </c>
      <c r="J1220" s="185">
        <f t="array" ref="J1220">MAX({1;2;3;4;5}*H1224:H1228)</f>
        <v>0</v>
      </c>
      <c r="K1220" s="1129" t="s">
        <v>1506</v>
      </c>
      <c r="M1220" s="351"/>
      <c r="N1220" s="23"/>
      <c r="O1220" s="143" t="s">
        <v>7922</v>
      </c>
      <c r="P1220" s="1131">
        <v>10</v>
      </c>
      <c r="Q1220" s="185">
        <v>60</v>
      </c>
      <c r="R1220" s="1138">
        <f>COUNTIF(PoderesDeCriatura_Adquiridos,Tablas!O1220)</f>
        <v>0</v>
      </c>
      <c r="S1220" s="185"/>
      <c r="T1220" s="1129"/>
      <c r="W1220" s="1161" t="s">
        <v>7631</v>
      </c>
      <c r="X1220" s="319"/>
      <c r="Y1220" s="940" t="str">
        <f>IF(Z1220="","",SUBSTITUTE("PodHab_"&amp;W1220," ",""))</f>
        <v>PodHab_Transporteautomático</v>
      </c>
      <c r="Z1220" s="1460" t="s">
        <v>7736</v>
      </c>
      <c r="AA1220" s="1466" t="s">
        <v>6224</v>
      </c>
      <c r="AB1220" s="1466" t="s">
        <v>5851</v>
      </c>
      <c r="AC1220" s="1466" t="s">
        <v>6297</v>
      </c>
      <c r="AD1220" s="1466" t="s">
        <v>5852</v>
      </c>
      <c r="AE1220" s="1466" t="s">
        <v>6209</v>
      </c>
      <c r="AF1220" s="1466" t="s">
        <v>6226</v>
      </c>
      <c r="AG1220" s="1466" t="s">
        <v>7737</v>
      </c>
      <c r="AH1220" s="1466" t="s">
        <v>5855</v>
      </c>
      <c r="AI1220" s="1466" t="s">
        <v>7738</v>
      </c>
      <c r="AJ1220" s="1466" t="s">
        <v>7669</v>
      </c>
      <c r="AK1220" s="1466" t="s">
        <v>7670</v>
      </c>
      <c r="AL1220" s="1466" t="s">
        <v>7671</v>
      </c>
      <c r="AM1220" s="1466" t="s">
        <v>7674</v>
      </c>
      <c r="AN1220" s="1466" t="s">
        <v>7675</v>
      </c>
      <c r="AO1220" s="1466" t="s">
        <v>7739</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664"/>
      <c r="C1221" s="1133"/>
      <c r="D1221" s="67"/>
      <c r="E1221" s="1136" t="s">
        <v>8344</v>
      </c>
      <c r="F1221" s="86">
        <v>15</v>
      </c>
      <c r="G1221" s="86">
        <v>60</v>
      </c>
      <c r="H1221" s="86">
        <f>COUNTIF(HabilidadesEsenciales_Adquiridas,Tablas!E1221)</f>
        <v>0</v>
      </c>
      <c r="I1221" s="1138">
        <v>1</v>
      </c>
      <c r="J1221" s="185">
        <f t="array" ref="J1221">MAX({1;2;3;4;5}*H1229:H1233)</f>
        <v>0</v>
      </c>
      <c r="K1221" s="1129" t="s">
        <v>1386</v>
      </c>
      <c r="M1221" s="351"/>
      <c r="N1221" s="23"/>
      <c r="O1221" s="143" t="s">
        <v>7923</v>
      </c>
      <c r="P1221" s="1131">
        <v>20</v>
      </c>
      <c r="Q1221" s="185">
        <v>80</v>
      </c>
      <c r="R1221" s="1138">
        <f>COUNTIF(PoderesDeCriatura_Adquiridos,Tablas!O1221)</f>
        <v>0</v>
      </c>
      <c r="S1221" s="185"/>
      <c r="T1221" s="1129"/>
      <c r="W1221" s="1161" t="s">
        <v>7632</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664"/>
      <c r="C1222" s="1133"/>
      <c r="D1222" s="67"/>
      <c r="E1222" s="1136" t="s">
        <v>8345</v>
      </c>
      <c r="F1222" s="86">
        <v>20</v>
      </c>
      <c r="G1222" s="86">
        <v>120</v>
      </c>
      <c r="H1222" s="86">
        <f>COUNTIF(HabilidadesEsenciales_Adquiridas,Tablas!E1222)</f>
        <v>0</v>
      </c>
      <c r="I1222" s="1138"/>
      <c r="J1222" s="185">
        <f t="array" ref="J1222">MAX({1;2;3;4;5}*H1234:H1238)</f>
        <v>0</v>
      </c>
      <c r="K1222" s="1129" t="s">
        <v>1391</v>
      </c>
      <c r="M1222" s="351"/>
      <c r="N1222" s="23"/>
      <c r="O1222" s="143" t="s">
        <v>7924</v>
      </c>
      <c r="P1222" s="1131">
        <v>25</v>
      </c>
      <c r="Q1222" s="185">
        <v>100</v>
      </c>
      <c r="R1222" s="1138">
        <f>COUNTIF(PoderesDeCriatura_Adquiridos,Tablas!O1222)</f>
        <v>0</v>
      </c>
      <c r="S1222" s="185"/>
      <c r="T1222" s="1129"/>
      <c r="W1222" s="1161" t="s">
        <v>7596</v>
      </c>
      <c r="X1222" s="319"/>
      <c r="Y1222" s="940" t="str">
        <f>IF(Z1222="","",SUBSTITUTE("PodHab_"&amp;W1222," ",""))</f>
        <v>PodHab_Vuelonatural</v>
      </c>
      <c r="Z1222" s="1460" t="s">
        <v>7740</v>
      </c>
      <c r="AA1222" s="1466" t="s">
        <v>7741</v>
      </c>
      <c r="AB1222" s="1466" t="s">
        <v>7742</v>
      </c>
      <c r="AC1222" s="1466" t="s">
        <v>7743</v>
      </c>
      <c r="AD1222" s="1466" t="s">
        <v>7744</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664"/>
      <c r="C1223" s="1133"/>
      <c r="D1223" s="67"/>
      <c r="E1223" s="1136" t="s">
        <v>8346</v>
      </c>
      <c r="F1223" s="86">
        <v>25</v>
      </c>
      <c r="G1223" s="86">
        <v>180</v>
      </c>
      <c r="H1223" s="86">
        <f>COUNTIF(HabilidadesEsenciales_Adquiridas,Tablas!E1223)</f>
        <v>0</v>
      </c>
      <c r="I1223" s="1138"/>
      <c r="J1223" s="185">
        <f t="array" ref="J1223">MAX({1;2;3;4;5}*H1239:H1243)</f>
        <v>0</v>
      </c>
      <c r="K1223" s="1129" t="s">
        <v>1394</v>
      </c>
      <c r="M1223" s="351"/>
      <c r="N1223" s="23"/>
      <c r="O1223" s="143" t="s">
        <v>7925</v>
      </c>
      <c r="P1223" s="1131">
        <v>30</v>
      </c>
      <c r="Q1223" s="185">
        <v>120</v>
      </c>
      <c r="R1223" s="1138">
        <f>COUNTIF(PoderesDeCriatura_Adquiridos,Tablas!O1223)</f>
        <v>0</v>
      </c>
      <c r="S1223" s="185"/>
      <c r="T1223" s="1129"/>
      <c r="W1223" s="1161" t="s">
        <v>7597</v>
      </c>
      <c r="X1223" s="319"/>
      <c r="Y1223" s="940" t="str">
        <f>IF(Z1223="","",SUBSTITUTE("PodHab_"&amp;W1223," ",""))</f>
        <v>PodHab_Vuelomístico</v>
      </c>
      <c r="Z1223" s="1460" t="s">
        <v>7745</v>
      </c>
      <c r="AA1223" s="1466" t="s">
        <v>7740</v>
      </c>
      <c r="AB1223" s="1466" t="s">
        <v>7741</v>
      </c>
      <c r="AC1223" s="1466" t="s">
        <v>7742</v>
      </c>
      <c r="AD1223" s="1466" t="s">
        <v>7743</v>
      </c>
      <c r="AE1223" s="1466" t="s">
        <v>7744</v>
      </c>
      <c r="AF1223" s="1466" t="s">
        <v>7746</v>
      </c>
      <c r="AG1223" s="1466" t="s">
        <v>7747</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664"/>
      <c r="C1224" s="1133"/>
      <c r="D1224" s="67"/>
      <c r="E1224" s="1136" t="s">
        <v>8347</v>
      </c>
      <c r="F1224" s="86">
        <v>0</v>
      </c>
      <c r="G1224" s="86">
        <v>20</v>
      </c>
      <c r="H1224" s="86">
        <f>COUNTIF(HabilidadesEsenciales_Adquiridas,Tablas!E1224)</f>
        <v>0</v>
      </c>
      <c r="I1224" s="1138">
        <v>1</v>
      </c>
      <c r="J1224" s="185">
        <f t="array" ref="J1224">MAX({1;2;3;4;5}*H1244:H1248)</f>
        <v>0</v>
      </c>
      <c r="K1224" s="1129" t="s">
        <v>1397</v>
      </c>
      <c r="M1224" s="351"/>
      <c r="N1224" s="23"/>
      <c r="O1224" s="143" t="s">
        <v>7926</v>
      </c>
      <c r="P1224" s="1131">
        <v>0</v>
      </c>
      <c r="Q1224" s="185">
        <v>10</v>
      </c>
      <c r="R1224" s="1138">
        <f>COUNTIF(PoderesDeCriatura_Adquiridos,Tablas!O1224)</f>
        <v>0</v>
      </c>
      <c r="S1224" s="185"/>
      <c r="T1224" s="1129"/>
      <c r="W1224" s="1161" t="s">
        <v>1327</v>
      </c>
      <c r="X1224" s="857"/>
      <c r="Y1224" s="940"/>
      <c r="Z1224" s="1460" t="s">
        <v>7172</v>
      </c>
      <c r="AA1224" s="1466" t="s">
        <v>7172</v>
      </c>
      <c r="AB1224" s="1466" t="s">
        <v>7172</v>
      </c>
      <c r="AC1224" s="1466" t="s">
        <v>7172</v>
      </c>
      <c r="AD1224" s="1466" t="s">
        <v>7172</v>
      </c>
      <c r="AE1224" s="1466" t="s">
        <v>7172</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664"/>
      <c r="C1225" s="1133"/>
      <c r="D1225" s="67"/>
      <c r="E1225" s="1136" t="s">
        <v>8348</v>
      </c>
      <c r="F1225" s="86">
        <v>5</v>
      </c>
      <c r="G1225" s="86">
        <v>40</v>
      </c>
      <c r="H1225" s="86">
        <f>COUNTIF(HabilidadesEsenciales_Adquiridas,Tablas!E1225)</f>
        <v>0</v>
      </c>
      <c r="I1225" s="1138">
        <v>1</v>
      </c>
      <c r="J1225" s="185">
        <f t="array" ref="J1225">MAX({1;2;3;4;5}*H1249:H1253)</f>
        <v>0</v>
      </c>
      <c r="K1225" s="1129" t="s">
        <v>1399</v>
      </c>
      <c r="M1225" s="351"/>
      <c r="N1225" s="23"/>
      <c r="O1225" s="143" t="s">
        <v>7927</v>
      </c>
      <c r="P1225" s="1131">
        <v>10</v>
      </c>
      <c r="Q1225" s="185">
        <v>20</v>
      </c>
      <c r="R1225" s="1138">
        <f>COUNTIF(PoderesDeCriatura_Adquiridos,Tablas!O1225)</f>
        <v>0</v>
      </c>
      <c r="S1225" s="185">
        <f>IF(R1224=1,10,IF(R1225=1,20,IF(R1226=1,30,0)))</f>
        <v>0</v>
      </c>
      <c r="T1225" s="1129" t="s">
        <v>1401</v>
      </c>
      <c r="W1225" s="1161" t="s">
        <v>7615</v>
      </c>
      <c r="X1225" s="319"/>
      <c r="Y1225" s="940" t="str">
        <f>IF(Z1225="","",SUBSTITUTE("PodHab_"&amp;W1225," ",""))</f>
        <v>PodHab_Resistenciafísicamejorada</v>
      </c>
      <c r="Z1225" s="1460" t="s">
        <v>7748</v>
      </c>
      <c r="AA1225" s="1466" t="s">
        <v>2777</v>
      </c>
      <c r="AB1225" s="1466" t="s">
        <v>7749</v>
      </c>
      <c r="AC1225" s="1466" t="s">
        <v>7750</v>
      </c>
      <c r="AD1225" s="1466" t="s">
        <v>7751</v>
      </c>
      <c r="AE1225" s="1466" t="s">
        <v>7752</v>
      </c>
      <c r="AF1225" s="1466" t="s">
        <v>7753</v>
      </c>
      <c r="AG1225" s="1466" t="s">
        <v>7754</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664"/>
      <c r="C1226" s="1133"/>
      <c r="D1226" s="67"/>
      <c r="E1226" s="1136" t="s">
        <v>8349</v>
      </c>
      <c r="F1226" s="86">
        <v>15</v>
      </c>
      <c r="G1226" s="86">
        <v>60</v>
      </c>
      <c r="H1226" s="86">
        <f>COUNTIF(HabilidadesEsenciales_Adquiridas,Tablas!E1226)</f>
        <v>0</v>
      </c>
      <c r="I1226" s="1138">
        <v>1</v>
      </c>
      <c r="J1226" s="185">
        <f t="array" ref="J1226">MAX({1;2;3;4;5}*H1254:H1258)</f>
        <v>0</v>
      </c>
      <c r="K1226" s="1129" t="s">
        <v>1400</v>
      </c>
      <c r="M1226" s="351"/>
      <c r="N1226" s="23"/>
      <c r="O1226" s="143" t="s">
        <v>7928</v>
      </c>
      <c r="P1226" s="1131">
        <v>20</v>
      </c>
      <c r="Q1226" s="185">
        <v>30</v>
      </c>
      <c r="R1226" s="1138">
        <f>COUNTIF(PoderesDeCriatura_Adquiridos,Tablas!O1226)</f>
        <v>0</v>
      </c>
      <c r="S1226" s="185"/>
      <c r="T1226" s="1129"/>
      <c r="W1226" s="1161" t="s">
        <v>7616</v>
      </c>
      <c r="X1226" s="319"/>
      <c r="Y1226" s="940" t="str">
        <f>IF(Z1226="","",SUBSTITUTE("PodHab_"&amp;W1226," ",""))</f>
        <v>PodHab_Resistenciamísticamejorada</v>
      </c>
      <c r="Z1226" s="1460" t="s">
        <v>7755</v>
      </c>
      <c r="AA1226" s="1466" t="s">
        <v>7756</v>
      </c>
      <c r="AB1226" s="1466" t="s">
        <v>7757</v>
      </c>
      <c r="AC1226" s="1466" t="s">
        <v>7758</v>
      </c>
      <c r="AD1226" s="1466" t="s">
        <v>7759</v>
      </c>
      <c r="AE1226" s="1466" t="s">
        <v>7760</v>
      </c>
      <c r="AF1226" s="1466" t="s">
        <v>7761</v>
      </c>
      <c r="AG1226" s="1466" t="s">
        <v>7762</v>
      </c>
      <c r="AH1226" s="1466" t="s">
        <v>7763</v>
      </c>
      <c r="AI1226" s="1466" t="s">
        <v>7764</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664"/>
      <c r="C1227" s="1133"/>
      <c r="D1227" s="67"/>
      <c r="E1227" s="1136" t="s">
        <v>8350</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10252</v>
      </c>
      <c r="X1227" s="319"/>
      <c r="Y1227" s="940" t="str">
        <f>IF(Z1227="","",SUBSTITUTE("PodHab_"&amp;W1227," ",""))</f>
        <v>PodHab_PenalaResistenciamística</v>
      </c>
      <c r="Z1227" s="1460" t="s">
        <v>7765</v>
      </c>
      <c r="AA1227" s="1466" t="s">
        <v>7766</v>
      </c>
      <c r="AB1227" s="1466" t="s">
        <v>7767</v>
      </c>
      <c r="AC1227" s="1466" t="s">
        <v>7768</v>
      </c>
      <c r="AD1227" s="1466" t="s">
        <v>7769</v>
      </c>
      <c r="AE1227" s="1466" t="s">
        <v>7770</v>
      </c>
      <c r="AF1227" s="1466" t="s">
        <v>7771</v>
      </c>
      <c r="AG1227" s="1466" t="s">
        <v>7772</v>
      </c>
      <c r="AH1227" s="1466" t="s">
        <v>7773</v>
      </c>
      <c r="AI1227" s="1466" t="s">
        <v>7774</v>
      </c>
      <c r="AJ1227" s="857"/>
      <c r="AK1227" s="857"/>
      <c r="AL1227" s="857"/>
      <c r="AM1227" s="857"/>
      <c r="AN1227" s="857"/>
      <c r="AO1227" s="1466" t="s">
        <v>7172</v>
      </c>
      <c r="AP1227" s="1466" t="s">
        <v>7172</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664"/>
      <c r="C1228" s="1133"/>
      <c r="D1228" s="67"/>
      <c r="E1228" s="1136" t="s">
        <v>8351</v>
      </c>
      <c r="F1228" s="86">
        <v>25</v>
      </c>
      <c r="G1228" s="86">
        <v>180</v>
      </c>
      <c r="H1228" s="86">
        <f>COUNTIF(HabilidadesEsenciales_Adquiridas,Tablas!E1228)</f>
        <v>0</v>
      </c>
      <c r="I1228" s="1138"/>
      <c r="J1228" s="185"/>
      <c r="K1228" s="1129"/>
      <c r="M1228" s="351"/>
      <c r="N1228" s="23"/>
      <c r="O1228" s="143" t="s">
        <v>7929</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7775</v>
      </c>
      <c r="AA1228" s="1466" t="s">
        <v>7745</v>
      </c>
      <c r="AB1228" s="1466" t="s">
        <v>7740</v>
      </c>
      <c r="AC1228" s="1466" t="s">
        <v>7741</v>
      </c>
      <c r="AD1228" s="1466" t="s">
        <v>7742</v>
      </c>
      <c r="AE1228" s="1466" t="s">
        <v>7743</v>
      </c>
      <c r="AF1228" s="1466" t="s">
        <v>7744</v>
      </c>
      <c r="AG1228" s="1466" t="s">
        <v>7746</v>
      </c>
      <c r="AH1228" s="1466" t="s">
        <v>7776</v>
      </c>
      <c r="AI1228" s="1466" t="s">
        <v>7777</v>
      </c>
      <c r="AJ1228" s="1466" t="s">
        <v>7778</v>
      </c>
      <c r="AK1228" s="1466" t="s">
        <v>7779</v>
      </c>
      <c r="AL1228" s="1466" t="s">
        <v>7780</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664"/>
      <c r="C1229" s="1133"/>
      <c r="D1229" s="67"/>
      <c r="E1229" s="1136" t="s">
        <v>8352</v>
      </c>
      <c r="F1229" s="86">
        <v>0</v>
      </c>
      <c r="G1229" s="86">
        <v>20</v>
      </c>
      <c r="H1229" s="86">
        <f>COUNTIF(HabilidadesEsenciales_Adquiridas,Tablas!E1229)</f>
        <v>0</v>
      </c>
      <c r="I1229" s="1138">
        <v>1</v>
      </c>
      <c r="J1229" s="185"/>
      <c r="K1229" s="1129"/>
      <c r="M1229" s="351"/>
      <c r="N1229" s="23"/>
      <c r="O1229" s="143" t="s">
        <v>7930</v>
      </c>
      <c r="P1229" s="1131">
        <v>10</v>
      </c>
      <c r="Q1229" s="185">
        <v>15</v>
      </c>
      <c r="R1229" s="1138">
        <f>COUNTIF(PoderesDeCriatura_Adquiridos,Tablas!O1229)</f>
        <v>0</v>
      </c>
      <c r="S1229" s="185"/>
      <c r="T1229" s="1129"/>
      <c r="W1229" s="1161" t="s">
        <v>7598</v>
      </c>
      <c r="X1229" s="319"/>
      <c r="Y1229" s="940" t="str">
        <f>IF(Z1229="","",SUBSTITUTE("PodHab_"&amp;W1229," ",""))</f>
        <v>PodHab_Degeneración</v>
      </c>
      <c r="Z1229" s="1460" t="s">
        <v>7781</v>
      </c>
      <c r="AA1229" s="1466" t="s">
        <v>7782</v>
      </c>
      <c r="AB1229" s="1466" t="s">
        <v>7783</v>
      </c>
      <c r="AC1229" s="1466" t="s">
        <v>7784</v>
      </c>
      <c r="AD1229" s="1466" t="s">
        <v>7785</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664"/>
      <c r="C1230" s="1133"/>
      <c r="D1230" s="67"/>
      <c r="E1230" s="1136" t="s">
        <v>8353</v>
      </c>
      <c r="F1230" s="86">
        <v>5</v>
      </c>
      <c r="G1230" s="86">
        <v>40</v>
      </c>
      <c r="H1230" s="86">
        <f>COUNTIF(HabilidadesEsenciales_Adquiridas,Tablas!E1230)</f>
        <v>0</v>
      </c>
      <c r="I1230" s="1138">
        <v>1</v>
      </c>
      <c r="J1230" s="185"/>
      <c r="K1230" s="1129"/>
      <c r="M1230" s="351"/>
      <c r="N1230" s="23"/>
      <c r="O1230" s="143" t="s">
        <v>7931</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664"/>
      <c r="C1231" s="1133"/>
      <c r="D1231" s="67"/>
      <c r="E1231" s="1136" t="s">
        <v>8354</v>
      </c>
      <c r="F1231" s="86">
        <v>15</v>
      </c>
      <c r="G1231" s="86">
        <v>60</v>
      </c>
      <c r="H1231" s="86">
        <f>COUNTIF(HabilidadesEsenciales_Adquiridas,Tablas!E1231)</f>
        <v>0</v>
      </c>
      <c r="I1231" s="1138">
        <v>1</v>
      </c>
      <c r="J1231" s="185"/>
      <c r="K1231" s="1129"/>
      <c r="M1231" s="351"/>
      <c r="N1231" s="23"/>
      <c r="O1231" s="143" t="s">
        <v>7932</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8699</v>
      </c>
      <c r="AA1231" s="1466" t="s">
        <v>8700</v>
      </c>
      <c r="AB1231" s="1466" t="s">
        <v>8701</v>
      </c>
      <c r="AC1231" s="1466" t="s">
        <v>8702</v>
      </c>
      <c r="AD1231" s="1466" t="s">
        <v>8703</v>
      </c>
      <c r="AE1231" s="1466" t="s">
        <v>8704</v>
      </c>
      <c r="AF1231" s="1466" t="s">
        <v>8705</v>
      </c>
      <c r="AG1231" s="1466" t="s">
        <v>8706</v>
      </c>
      <c r="AH1231" s="1466" t="s">
        <v>8707</v>
      </c>
      <c r="AI1231" s="1466" t="s">
        <v>8708</v>
      </c>
      <c r="AJ1231" s="1466" t="s">
        <v>8709</v>
      </c>
      <c r="AK1231" s="1466" t="s">
        <v>8710</v>
      </c>
      <c r="AL1231" s="1466" t="s">
        <v>8711</v>
      </c>
      <c r="AM1231" s="1466" t="s">
        <v>8712</v>
      </c>
      <c r="AN1231" s="1466" t="s">
        <v>8713</v>
      </c>
      <c r="AO1231" s="1466" t="s">
        <v>8714</v>
      </c>
      <c r="AP1231" s="1466" t="s">
        <v>8715</v>
      </c>
      <c r="AQ1231" s="1464" t="s">
        <v>7786</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664"/>
      <c r="C1232" s="1133"/>
      <c r="D1232" s="67"/>
      <c r="E1232" s="1136" t="s">
        <v>8355</v>
      </c>
      <c r="F1232" s="86">
        <v>20</v>
      </c>
      <c r="G1232" s="86">
        <v>120</v>
      </c>
      <c r="H1232" s="86">
        <f>COUNTIF(HabilidadesEsenciales_Adquiridas,Tablas!E1232)</f>
        <v>0</v>
      </c>
      <c r="I1232" s="1138"/>
      <c r="J1232" s="185"/>
      <c r="K1232" s="1129"/>
      <c r="M1232" s="351"/>
      <c r="N1232" s="23"/>
      <c r="O1232" s="143" t="s">
        <v>7933</v>
      </c>
      <c r="P1232" s="1131">
        <v>25</v>
      </c>
      <c r="Q1232" s="185">
        <v>30</v>
      </c>
      <c r="R1232" s="1138">
        <f>COUNTIF(PoderesDeCriatura_Adquiridos,Tablas!O1232)</f>
        <v>0</v>
      </c>
      <c r="S1232" s="185"/>
      <c r="T1232" s="1129"/>
      <c r="W1232" s="1161" t="s">
        <v>7599</v>
      </c>
      <c r="X1232" s="319"/>
      <c r="Y1232" s="940" t="str">
        <f t="shared" si="250"/>
        <v>PodHab_Vulnerabilidadextrema</v>
      </c>
      <c r="Z1232" s="1460" t="s">
        <v>7787</v>
      </c>
      <c r="AA1232" s="1466" t="s">
        <v>7788</v>
      </c>
      <c r="AB1232" s="1466" t="s">
        <v>7789</v>
      </c>
      <c r="AC1232" s="1466" t="s">
        <v>7790</v>
      </c>
      <c r="AD1232" s="1466" t="s">
        <v>7791</v>
      </c>
      <c r="AE1232" s="1466" t="s">
        <v>7792</v>
      </c>
      <c r="AF1232" s="1466" t="s">
        <v>7793</v>
      </c>
      <c r="AG1232" s="1466" t="s">
        <v>8617</v>
      </c>
      <c r="AH1232" s="1466" t="s">
        <v>8618</v>
      </c>
      <c r="AI1232" s="1466" t="s">
        <v>3253</v>
      </c>
      <c r="AJ1232" s="1466" t="s">
        <v>7710</v>
      </c>
      <c r="AK1232" s="1466" t="s">
        <v>453</v>
      </c>
      <c r="AL1232" s="1466" t="s">
        <v>84</v>
      </c>
      <c r="AM1232" s="1466" t="s">
        <v>3894</v>
      </c>
      <c r="AN1232" s="1466" t="s">
        <v>3895</v>
      </c>
      <c r="AO1232" s="1466" t="s">
        <v>3896</v>
      </c>
      <c r="AP1232" s="1466" t="s">
        <v>7707</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664"/>
      <c r="C1233" s="1133"/>
      <c r="D1233" s="67"/>
      <c r="E1233" s="1136" t="s">
        <v>8356</v>
      </c>
      <c r="F1233" s="86">
        <v>25</v>
      </c>
      <c r="G1233" s="86">
        <v>180</v>
      </c>
      <c r="H1233" s="86">
        <f>COUNTIF(HabilidadesEsenciales_Adquiridas,Tablas!E1233)</f>
        <v>0</v>
      </c>
      <c r="I1233" s="1138"/>
      <c r="J1233" s="185"/>
      <c r="K1233" s="1129"/>
      <c r="M1233" s="351"/>
      <c r="N1233" s="23"/>
      <c r="O1233" s="143" t="s">
        <v>7934</v>
      </c>
      <c r="P1233" s="1131">
        <v>5</v>
      </c>
      <c r="Q1233" s="185">
        <v>10</v>
      </c>
      <c r="R1233" s="1138">
        <f>COUNTIF(PoderesDeCriatura_Adquiridos,Tablas!O1233)</f>
        <v>0</v>
      </c>
      <c r="S1233" s="185"/>
      <c r="T1233" s="1129"/>
      <c r="U1233">
        <v>1</v>
      </c>
      <c r="W1233" s="1161" t="s">
        <v>7600</v>
      </c>
      <c r="X1233" s="319"/>
      <c r="Y1233" s="940" t="str">
        <f t="shared" si="250"/>
        <v>PodHab_Barreradedaño</v>
      </c>
      <c r="Z1233" s="1460" t="s">
        <v>7794</v>
      </c>
      <c r="AA1233" s="1466" t="s">
        <v>7795</v>
      </c>
      <c r="AB1233" s="1466" t="s">
        <v>7796</v>
      </c>
      <c r="AC1233" s="1466" t="s">
        <v>7797</v>
      </c>
      <c r="AD1233" s="1466" t="s">
        <v>7798</v>
      </c>
      <c r="AE1233" s="1466" t="s">
        <v>7799</v>
      </c>
      <c r="AF1233" s="1466" t="s">
        <v>7800</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664"/>
      <c r="C1234" s="1133"/>
      <c r="D1234" s="67"/>
      <c r="E1234" s="1136" t="s">
        <v>8357</v>
      </c>
      <c r="F1234" s="86">
        <v>0</v>
      </c>
      <c r="G1234" s="86">
        <v>20</v>
      </c>
      <c r="H1234" s="86">
        <f>COUNTIF(HabilidadesEsenciales_Adquiridas,Tablas!E1234)</f>
        <v>0</v>
      </c>
      <c r="I1234" s="1138">
        <v>1</v>
      </c>
      <c r="J1234" s="185"/>
      <c r="K1234" s="1129"/>
      <c r="M1234" s="351"/>
      <c r="N1234" s="23"/>
      <c r="O1234" s="143" t="s">
        <v>7935</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664"/>
      <c r="C1235" s="1133"/>
      <c r="D1235" s="67"/>
      <c r="E1235" s="1136" t="s">
        <v>8358</v>
      </c>
      <c r="F1235" s="86">
        <v>5</v>
      </c>
      <c r="G1235" s="86">
        <v>40</v>
      </c>
      <c r="H1235" s="86">
        <f>COUNTIF(HabilidadesEsenciales_Adquiridas,Tablas!E1235)</f>
        <v>0</v>
      </c>
      <c r="I1235" s="1138">
        <v>1</v>
      </c>
      <c r="J1235" s="185"/>
      <c r="K1235" s="1129"/>
      <c r="M1235" s="351"/>
      <c r="N1235" s="23"/>
      <c r="O1235" s="143" t="s">
        <v>7936</v>
      </c>
      <c r="P1235" s="1131">
        <v>15</v>
      </c>
      <c r="Q1235" s="185">
        <v>30</v>
      </c>
      <c r="R1235" s="1138">
        <f>COUNTIF(PoderesDeCriatura_Adquiridos,Tablas!O1235)</f>
        <v>0</v>
      </c>
      <c r="S1235" s="185"/>
      <c r="T1235" s="1129"/>
      <c r="U1235">
        <v>1</v>
      </c>
      <c r="W1235" s="1161" t="s">
        <v>7617</v>
      </c>
      <c r="X1235" s="319"/>
      <c r="Y1235" s="940" t="str">
        <f t="shared" si="250"/>
        <v>PodHab_Armadurafísica</v>
      </c>
      <c r="Z1235" s="1460" t="s">
        <v>5921</v>
      </c>
      <c r="AA1235" s="1466" t="s">
        <v>4401</v>
      </c>
      <c r="AB1235" s="1466" t="s">
        <v>7801</v>
      </c>
      <c r="AC1235" s="1466" t="s">
        <v>4402</v>
      </c>
      <c r="AD1235" s="1466" t="s">
        <v>7802</v>
      </c>
      <c r="AE1235" s="1466" t="s">
        <v>4403</v>
      </c>
      <c r="AF1235" s="1466" t="s">
        <v>7803</v>
      </c>
      <c r="AG1235" s="1466" t="s">
        <v>4404</v>
      </c>
      <c r="AH1235" s="1466" t="s">
        <v>7804</v>
      </c>
      <c r="AI1235" s="1466" t="s">
        <v>5922</v>
      </c>
      <c r="AJ1235" s="1466" t="s">
        <v>5923</v>
      </c>
      <c r="AK1235" s="1466" t="s">
        <v>7805</v>
      </c>
      <c r="AL1235" s="1466" t="s">
        <v>7806</v>
      </c>
      <c r="AM1235" s="1466" t="s">
        <v>7807</v>
      </c>
      <c r="AN1235" s="1466" t="s">
        <v>7808</v>
      </c>
      <c r="AO1235" s="1466" t="s">
        <v>7809</v>
      </c>
      <c r="AP1235" s="1466" t="s">
        <v>7810</v>
      </c>
      <c r="AQ1235" s="1464" t="s">
        <v>7811</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664"/>
      <c r="C1236" s="1133"/>
      <c r="D1236" s="67"/>
      <c r="E1236" s="1136" t="s">
        <v>8359</v>
      </c>
      <c r="F1236" s="86">
        <v>15</v>
      </c>
      <c r="G1236" s="86">
        <v>60</v>
      </c>
      <c r="H1236" s="86">
        <f>COUNTIF(HabilidadesEsenciales_Adquiridas,Tablas!E1236)</f>
        <v>0</v>
      </c>
      <c r="I1236" s="1138">
        <v>1</v>
      </c>
      <c r="J1236" s="185"/>
      <c r="K1236" s="1129"/>
      <c r="M1236" s="351"/>
      <c r="N1236" s="23"/>
      <c r="O1236" s="143" t="s">
        <v>7937</v>
      </c>
      <c r="P1236" s="1131">
        <v>20</v>
      </c>
      <c r="Q1236" s="185">
        <v>40</v>
      </c>
      <c r="R1236" s="1138">
        <f>COUNTIF(PoderesDeCriatura_Adquiridos,Tablas!O1236)</f>
        <v>0</v>
      </c>
      <c r="S1236" s="185"/>
      <c r="T1236" s="1129"/>
      <c r="U1236">
        <v>1</v>
      </c>
      <c r="W1236" s="1161" t="s">
        <v>2352</v>
      </c>
      <c r="X1236" s="319"/>
      <c r="Y1236" s="940" t="str">
        <f t="shared" si="250"/>
        <v>PodHab_Armaduramística</v>
      </c>
      <c r="Z1236" s="1460" t="s">
        <v>5921</v>
      </c>
      <c r="AA1236" s="1466" t="s">
        <v>4401</v>
      </c>
      <c r="AB1236" s="1466" t="s">
        <v>7801</v>
      </c>
      <c r="AC1236" s="1466" t="s">
        <v>4402</v>
      </c>
      <c r="AD1236" s="1466" t="s">
        <v>7802</v>
      </c>
      <c r="AE1236" s="1466" t="s">
        <v>4403</v>
      </c>
      <c r="AF1236" s="1466" t="s">
        <v>7803</v>
      </c>
      <c r="AG1236" s="1466" t="s">
        <v>4404</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664"/>
      <c r="C1237" s="1133"/>
      <c r="D1237" s="67"/>
      <c r="E1237" s="1136" t="s">
        <v>8360</v>
      </c>
      <c r="F1237" s="86">
        <v>20</v>
      </c>
      <c r="G1237" s="86">
        <v>120</v>
      </c>
      <c r="H1237" s="86">
        <f>COUNTIF(HabilidadesEsenciales_Adquiridas,Tablas!E1237)</f>
        <v>0</v>
      </c>
      <c r="I1237" s="1138"/>
      <c r="J1237" s="185"/>
      <c r="K1237" s="1129"/>
      <c r="M1237" s="351"/>
      <c r="N1237" s="23"/>
      <c r="O1237" s="143" t="s">
        <v>7938</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664"/>
      <c r="C1238" s="1133"/>
      <c r="D1238" s="67"/>
      <c r="E1238" s="1136" t="s">
        <v>8361</v>
      </c>
      <c r="F1238" s="86">
        <v>25</v>
      </c>
      <c r="G1238" s="86">
        <v>180</v>
      </c>
      <c r="H1238" s="86">
        <f>COUNTIF(HabilidadesEsenciales_Adquiridas,Tablas!E1238)</f>
        <v>0</v>
      </c>
      <c r="I1238" s="1138"/>
      <c r="J1238" s="185"/>
      <c r="K1238" s="1129"/>
      <c r="M1238" s="351"/>
      <c r="N1238" s="23"/>
      <c r="O1238" s="143" t="s">
        <v>7939</v>
      </c>
      <c r="P1238" s="1131">
        <v>30</v>
      </c>
      <c r="Q1238" s="185">
        <v>60</v>
      </c>
      <c r="R1238" s="1138">
        <f>COUNTIF(PoderesDeCriatura_Adquiridos,Tablas!O1238)</f>
        <v>0</v>
      </c>
      <c r="S1238" s="185"/>
      <c r="T1238" s="1129"/>
      <c r="U1238">
        <v>1</v>
      </c>
      <c r="W1238" s="1161" t="s">
        <v>7633</v>
      </c>
      <c r="X1238" s="319"/>
      <c r="Y1238" s="940" t="str">
        <f t="shared" si="250"/>
        <v>PodHab_HabilidadesEspirituales</v>
      </c>
      <c r="Z1238" s="1460" t="s">
        <v>7812</v>
      </c>
      <c r="AA1238" s="1466" t="s">
        <v>7813</v>
      </c>
      <c r="AB1238" s="1466" t="s">
        <v>7814</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664"/>
      <c r="C1239" s="1133"/>
      <c r="D1239" s="67"/>
      <c r="E1239" s="1136" t="s">
        <v>8362</v>
      </c>
      <c r="F1239" s="86">
        <v>0</v>
      </c>
      <c r="G1239" s="86">
        <v>20</v>
      </c>
      <c r="H1239" s="86">
        <f>COUNTIF(HabilidadesEsenciales_Adquiridas,Tablas!E1239)</f>
        <v>0</v>
      </c>
      <c r="I1239" s="1138">
        <v>1</v>
      </c>
      <c r="J1239" s="185"/>
      <c r="K1239" s="1129"/>
      <c r="M1239" s="351"/>
      <c r="N1239" s="23"/>
      <c r="O1239" s="143" t="s">
        <v>7940</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664"/>
      <c r="C1240" s="1133"/>
      <c r="D1240" s="67"/>
      <c r="E1240" s="1136" t="s">
        <v>8363</v>
      </c>
      <c r="F1240" s="86">
        <v>5</v>
      </c>
      <c r="G1240" s="86">
        <v>40</v>
      </c>
      <c r="H1240" s="86">
        <f>COUNTIF(HabilidadesEsenciales_Adquiridas,Tablas!E1240)</f>
        <v>0</v>
      </c>
      <c r="I1240" s="1138">
        <v>1</v>
      </c>
      <c r="J1240" s="185"/>
      <c r="K1240" s="1129"/>
      <c r="M1240" s="351"/>
      <c r="N1240" s="23"/>
      <c r="O1240" s="143" t="s">
        <v>7941</v>
      </c>
      <c r="P1240" s="1131">
        <v>40</v>
      </c>
      <c r="Q1240" s="185">
        <v>80</v>
      </c>
      <c r="R1240" s="1138">
        <f>COUNTIF(PoderesDeCriatura_Adquiridos,Tablas!O1240)</f>
        <v>0</v>
      </c>
      <c r="S1240" s="185"/>
      <c r="T1240" s="1129"/>
      <c r="U1240">
        <v>1</v>
      </c>
      <c r="W1240" s="1161" t="s">
        <v>2798</v>
      </c>
      <c r="X1240" s="319"/>
      <c r="Y1240" s="940" t="str">
        <f t="shared" si="250"/>
        <v>PodHab_Aura</v>
      </c>
      <c r="Z1240" s="1460" t="s">
        <v>7663</v>
      </c>
      <c r="AA1240" s="1466" t="s">
        <v>7665</v>
      </c>
      <c r="AB1240" s="1466" t="s">
        <v>7666</v>
      </c>
      <c r="AC1240" s="1466" t="s">
        <v>7667</v>
      </c>
      <c r="AD1240" s="1466" t="s">
        <v>7668</v>
      </c>
      <c r="AE1240" s="1466" t="s">
        <v>5700</v>
      </c>
      <c r="AF1240" s="1466" t="s">
        <v>7705</v>
      </c>
      <c r="AG1240" s="1466" t="s">
        <v>7706</v>
      </c>
      <c r="AH1240" s="1466" t="s">
        <v>4799</v>
      </c>
      <c r="AI1240" s="1466" t="s">
        <v>4800</v>
      </c>
      <c r="AJ1240" s="1466" t="s">
        <v>3893</v>
      </c>
      <c r="AK1240" s="1466" t="s">
        <v>3894</v>
      </c>
      <c r="AL1240" s="1466" t="s">
        <v>3254</v>
      </c>
      <c r="AM1240" s="1466" t="s">
        <v>631</v>
      </c>
      <c r="AN1240" s="1466" t="s">
        <v>3251</v>
      </c>
      <c r="AO1240" s="1466" t="s">
        <v>7708</v>
      </c>
      <c r="AP1240" s="1466" t="s">
        <v>453</v>
      </c>
      <c r="AQ1240" s="1464" t="s">
        <v>7709</v>
      </c>
      <c r="AR1240" s="1464" t="s">
        <v>7710</v>
      </c>
      <c r="AS1240" s="1464" t="s">
        <v>579</v>
      </c>
      <c r="AT1240" s="1464" t="s">
        <v>440</v>
      </c>
      <c r="AU1240" s="1464" t="s">
        <v>441</v>
      </c>
      <c r="AV1240" s="1464" t="s">
        <v>442</v>
      </c>
      <c r="AW1240" s="1464" t="s">
        <v>3252</v>
      </c>
      <c r="AX1240" s="1464" t="s">
        <v>7711</v>
      </c>
      <c r="AY1240" s="1464" t="s">
        <v>7712</v>
      </c>
      <c r="AZ1240" s="1464" t="s">
        <v>3253</v>
      </c>
      <c r="BA1240" s="1464" t="s">
        <v>468</v>
      </c>
      <c r="BB1240" s="1464" t="s">
        <v>84</v>
      </c>
      <c r="BC1240" s="1464" t="s">
        <v>40</v>
      </c>
      <c r="BD1240" s="1464" t="s">
        <v>7713</v>
      </c>
      <c r="BE1240" s="1464" t="s">
        <v>7714</v>
      </c>
      <c r="BF1240" s="1464" t="s">
        <v>7815</v>
      </c>
      <c r="BG1240" s="1464" t="s">
        <v>7720</v>
      </c>
      <c r="BH1240" s="1464" t="s">
        <v>7816</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664"/>
      <c r="C1241" s="1133"/>
      <c r="D1241" s="67"/>
      <c r="E1241" s="1136" t="s">
        <v>8364</v>
      </c>
      <c r="F1241" s="86">
        <v>15</v>
      </c>
      <c r="G1241" s="86">
        <v>60</v>
      </c>
      <c r="H1241" s="86">
        <f>COUNTIF(HabilidadesEsenciales_Adquiridas,Tablas!E1241)</f>
        <v>0</v>
      </c>
      <c r="I1241" s="1138">
        <v>1</v>
      </c>
      <c r="J1241" s="185"/>
      <c r="K1241" s="1129"/>
      <c r="M1241" s="351"/>
      <c r="N1241" s="23"/>
      <c r="O1241" s="143" t="s">
        <v>7942</v>
      </c>
      <c r="P1241" s="1131">
        <v>5</v>
      </c>
      <c r="Q1241" s="185">
        <f>10+IF(OR(TipoDeCriatura="Entre mundos, Elemental",TipoDeCriatura="Ánima, Elemental"),10,0)</f>
        <v>10</v>
      </c>
      <c r="R1241" s="1138">
        <f>COUNTIF(PoderesDeCriatura_Adquiridos,Tablas!O1241)</f>
        <v>0</v>
      </c>
      <c r="S1241" s="185"/>
      <c r="T1241" s="1129"/>
      <c r="U1241">
        <v>1</v>
      </c>
      <c r="W1241" s="1161" t="s">
        <v>7601</v>
      </c>
      <c r="X1241" s="319"/>
      <c r="Y1241" s="940" t="str">
        <f t="shared" si="250"/>
        <v>PodHab_Forma</v>
      </c>
      <c r="Z1241" s="1460" t="s">
        <v>7817</v>
      </c>
      <c r="AA1241" s="1466" t="s">
        <v>7818</v>
      </c>
      <c r="AB1241" s="1466" t="s">
        <v>359</v>
      </c>
      <c r="AC1241" s="1466" t="s">
        <v>7819</v>
      </c>
      <c r="AD1241" s="1466" t="s">
        <v>7786</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664"/>
      <c r="C1242" s="1133"/>
      <c r="D1242" s="67"/>
      <c r="E1242" s="1136" t="s">
        <v>8365</v>
      </c>
      <c r="F1242" s="86">
        <v>20</v>
      </c>
      <c r="G1242" s="86">
        <v>120</v>
      </c>
      <c r="H1242" s="86">
        <f>COUNTIF(HabilidadesEsenciales_Adquiridas,Tablas!E1242)</f>
        <v>0</v>
      </c>
      <c r="I1242" s="1138">
        <v>1</v>
      </c>
      <c r="J1242" s="185"/>
      <c r="K1242" s="1129"/>
      <c r="M1242" s="351"/>
      <c r="N1242" s="23"/>
      <c r="O1242" s="143" t="s">
        <v>7943</v>
      </c>
      <c r="P1242" s="1131">
        <v>10</v>
      </c>
      <c r="Q1242" s="185">
        <f>15+IF(OR(TipoDeCriatura="Entre mundos, Elemental",TipoDeCriatura="Ánima, Elemental"),10,0)</f>
        <v>15</v>
      </c>
      <c r="R1242" s="1138">
        <f>COUNTIF(PoderesDeCriatura_Adquiridos,Tablas!O1242)</f>
        <v>0</v>
      </c>
      <c r="S1242" s="185"/>
      <c r="T1242" s="1129"/>
      <c r="U1242">
        <v>1</v>
      </c>
      <c r="W1242" s="1161" t="s">
        <v>7618</v>
      </c>
      <c r="X1242" s="319"/>
      <c r="Y1242" s="940" t="str">
        <f t="shared" si="250"/>
        <v>PodHab_Indetecciones</v>
      </c>
      <c r="Z1242" s="1460" t="s">
        <v>7820</v>
      </c>
      <c r="AA1242" s="1466" t="s">
        <v>7821</v>
      </c>
      <c r="AB1242" s="1466" t="s">
        <v>7822</v>
      </c>
      <c r="AC1242" s="1466" t="s">
        <v>7823</v>
      </c>
      <c r="AD1242" s="1466" t="s">
        <v>2</v>
      </c>
      <c r="AE1242" s="1466" t="s">
        <v>7824</v>
      </c>
      <c r="AF1242" s="1466" t="s">
        <v>3</v>
      </c>
      <c r="AG1242" s="1466" t="s">
        <v>7825</v>
      </c>
      <c r="AH1242" s="1466" t="s">
        <v>4</v>
      </c>
      <c r="AI1242" s="1466" t="s">
        <v>7826</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664"/>
      <c r="C1243" s="1133"/>
      <c r="D1243" s="67"/>
      <c r="E1243" s="1136" t="s">
        <v>8366</v>
      </c>
      <c r="F1243" s="86">
        <v>25</v>
      </c>
      <c r="G1243" s="86">
        <v>180</v>
      </c>
      <c r="H1243" s="86">
        <f>COUNTIF(HabilidadesEsenciales_Adquiridas,Tablas!E1243)</f>
        <v>0</v>
      </c>
      <c r="I1243" s="1138">
        <v>1</v>
      </c>
      <c r="J1243" s="185"/>
      <c r="K1243" s="1129"/>
      <c r="M1243" s="351"/>
      <c r="N1243" s="23"/>
      <c r="O1243" s="143" t="s">
        <v>7944</v>
      </c>
      <c r="P1243" s="1131">
        <v>10</v>
      </c>
      <c r="Q1243" s="185">
        <f>20+IF(OR(TipoDeCriatura="Entre mundos, Elemental",TipoDeCriatura="Ánima, Elemental"),10,0)</f>
        <v>20</v>
      </c>
      <c r="R1243" s="1138">
        <f>COUNTIF(PoderesDeCriatura_Adquiridos,Tablas!O1243)</f>
        <v>0</v>
      </c>
      <c r="S1243" s="185"/>
      <c r="T1243" s="1129"/>
      <c r="U1243">
        <v>1</v>
      </c>
      <c r="W1243" s="1161" t="s">
        <v>7634</v>
      </c>
      <c r="X1243" s="319"/>
      <c r="Y1243" s="940" t="str">
        <f t="shared" si="250"/>
        <v>PodHab_MagiaInnata</v>
      </c>
      <c r="Z1243" s="1460" t="s">
        <v>7827</v>
      </c>
      <c r="AA1243" s="1466" t="s">
        <v>7828</v>
      </c>
      <c r="AB1243" s="1466" t="s">
        <v>7670</v>
      </c>
      <c r="AC1243" s="1466" t="s">
        <v>7829</v>
      </c>
      <c r="AD1243" s="1466" t="s">
        <v>7671</v>
      </c>
      <c r="AE1243" s="1466" t="s">
        <v>7672</v>
      </c>
      <c r="AF1243" s="1466" t="s">
        <v>7673</v>
      </c>
      <c r="AG1243" s="1466" t="s">
        <v>7674</v>
      </c>
      <c r="AH1243" s="1466" t="s">
        <v>7675</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664"/>
      <c r="C1244" s="1133"/>
      <c r="D1244" s="67"/>
      <c r="E1244" s="1136" t="s">
        <v>8367</v>
      </c>
      <c r="F1244" s="86">
        <v>0</v>
      </c>
      <c r="G1244" s="86">
        <v>20</v>
      </c>
      <c r="H1244" s="86">
        <f>COUNTIF(HabilidadesEsenciales_Adquiridas,Tablas!E1244)</f>
        <v>0</v>
      </c>
      <c r="I1244" s="1138">
        <v>1</v>
      </c>
      <c r="J1244" s="185"/>
      <c r="K1244" s="1129"/>
      <c r="M1244" s="351"/>
      <c r="N1244" s="23"/>
      <c r="O1244" s="143" t="s">
        <v>7945</v>
      </c>
      <c r="P1244" s="1131">
        <v>10</v>
      </c>
      <c r="Q1244" s="185">
        <f>25+IF(OR(TipoDeCriatura="Entre mundos, Elemental",TipoDeCriatura="Ánima, Elemental"),10,0)</f>
        <v>25</v>
      </c>
      <c r="R1244" s="1138">
        <f>COUNTIF(PoderesDeCriatura_Adquiridos,Tablas!O1244)</f>
        <v>0</v>
      </c>
      <c r="S1244" s="185"/>
      <c r="T1244" s="1129"/>
      <c r="U1244">
        <v>1</v>
      </c>
      <c r="W1244" s="1161" t="s">
        <v>7602</v>
      </c>
      <c r="X1244" s="319"/>
      <c r="Y1244" s="940" t="str">
        <f t="shared" si="250"/>
        <v>PodHab_Psíquicainnata</v>
      </c>
      <c r="Z1244" s="1460" t="s">
        <v>7830</v>
      </c>
      <c r="AA1244" s="1466" t="s">
        <v>7828</v>
      </c>
      <c r="AB1244" s="1466" t="s">
        <v>7670</v>
      </c>
      <c r="AC1244" s="1466" t="s">
        <v>7829</v>
      </c>
      <c r="AD1244" s="1466" t="s">
        <v>7671</v>
      </c>
      <c r="AE1244" s="1466" t="s">
        <v>7672</v>
      </c>
      <c r="AF1244" s="1466" t="s">
        <v>7673</v>
      </c>
      <c r="AG1244" s="1466" t="s">
        <v>7674</v>
      </c>
      <c r="AH1244" s="1466" t="s">
        <v>7675</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664"/>
      <c r="C1245" s="1133"/>
      <c r="D1245" s="67"/>
      <c r="E1245" s="1136" t="s">
        <v>8368</v>
      </c>
      <c r="F1245" s="86">
        <v>5</v>
      </c>
      <c r="G1245" s="86">
        <v>40</v>
      </c>
      <c r="H1245" s="86">
        <f>COUNTIF(HabilidadesEsenciales_Adquiridas,Tablas!E1245)</f>
        <v>0</v>
      </c>
      <c r="I1245" s="1138">
        <v>1</v>
      </c>
      <c r="J1245" s="185"/>
      <c r="K1245" s="1129"/>
      <c r="M1245" s="351"/>
      <c r="N1245" s="23"/>
      <c r="O1245" s="143" t="s">
        <v>7946</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7831</v>
      </c>
      <c r="AA1245" s="1466" t="s">
        <v>1737</v>
      </c>
      <c r="AB1245" s="1466" t="s">
        <v>3286</v>
      </c>
      <c r="AC1245" s="1466" t="s">
        <v>7829</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664"/>
      <c r="C1246" s="1133"/>
      <c r="D1246" s="67"/>
      <c r="E1246" s="1136" t="s">
        <v>8369</v>
      </c>
      <c r="F1246" s="86">
        <v>15</v>
      </c>
      <c r="G1246" s="86">
        <v>60</v>
      </c>
      <c r="H1246" s="86">
        <f>COUNTIF(HabilidadesEsenciales_Adquiridas,Tablas!E1246)</f>
        <v>0</v>
      </c>
      <c r="I1246" s="1138">
        <v>1</v>
      </c>
      <c r="J1246" s="185"/>
      <c r="K1246" s="1129"/>
      <c r="M1246" s="351"/>
      <c r="N1246" s="23"/>
      <c r="O1246" s="143" t="s">
        <v>7947</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664"/>
      <c r="C1247" s="1133"/>
      <c r="D1247" s="67"/>
      <c r="E1247" s="1136" t="s">
        <v>8370</v>
      </c>
      <c r="F1247" s="86">
        <v>20</v>
      </c>
      <c r="G1247" s="86">
        <v>120</v>
      </c>
      <c r="H1247" s="86">
        <f>COUNTIF(HabilidadesEsenciales_Adquiridas,Tablas!E1247)</f>
        <v>0</v>
      </c>
      <c r="I1247" s="1138"/>
      <c r="J1247" s="185"/>
      <c r="K1247" s="1129"/>
      <c r="M1247" s="351"/>
      <c r="N1247" s="23"/>
      <c r="O1247" s="143" t="s">
        <v>7948</v>
      </c>
      <c r="P1247" s="1131">
        <v>20</v>
      </c>
      <c r="Q1247" s="185">
        <f>60+IF(OR(TipoDeCriatura="Entre mundos, Elemental",TipoDeCriatura="Ánima, Elemental"),10,0)</f>
        <v>60</v>
      </c>
      <c r="R1247" s="1138">
        <f>COUNTIF(PoderesDeCriatura_Adquiridos,Tablas!O1247)</f>
        <v>0</v>
      </c>
      <c r="S1247" s="185"/>
      <c r="T1247" s="1129"/>
      <c r="U1247">
        <v>1</v>
      </c>
      <c r="W1247" s="1161" t="s">
        <v>7603</v>
      </c>
      <c r="X1247" s="319"/>
      <c r="Y1247" s="940" t="str">
        <f t="shared" si="250"/>
        <v>PodHab_Detecciónsobrenatural</v>
      </c>
      <c r="Z1247" s="1460" t="s">
        <v>5724</v>
      </c>
      <c r="AA1247" s="1466" t="s">
        <v>5725</v>
      </c>
      <c r="AB1247" s="1466" t="s">
        <v>5726</v>
      </c>
      <c r="AC1247" s="1466" t="s">
        <v>5727</v>
      </c>
      <c r="AD1247" s="1466" t="s">
        <v>7832</v>
      </c>
      <c r="AE1247" s="1466" t="s">
        <v>7833</v>
      </c>
      <c r="AF1247" s="1466" t="s">
        <v>7834</v>
      </c>
      <c r="AG1247" s="1466" t="s">
        <v>3719</v>
      </c>
      <c r="AH1247" s="1466" t="s">
        <v>3682</v>
      </c>
      <c r="AI1247" s="1466" t="s">
        <v>3410</v>
      </c>
      <c r="AJ1247" s="1466" t="s">
        <v>3872</v>
      </c>
      <c r="AK1247" s="1466" t="s">
        <v>4758</v>
      </c>
      <c r="AL1247" s="1466" t="s">
        <v>7835</v>
      </c>
      <c r="AM1247" s="1466" t="s">
        <v>7836</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664"/>
      <c r="C1248" s="1133"/>
      <c r="D1248" s="67"/>
      <c r="E1248" s="1136" t="s">
        <v>8371</v>
      </c>
      <c r="F1248" s="86">
        <v>25</v>
      </c>
      <c r="G1248" s="86">
        <v>180</v>
      </c>
      <c r="H1248" s="86">
        <f>COUNTIF(HabilidadesEsenciales_Adquiridas,Tablas!E1248)</f>
        <v>0</v>
      </c>
      <c r="I1248" s="1138"/>
      <c r="J1248" s="185"/>
      <c r="K1248" s="1129"/>
      <c r="M1248" s="351"/>
      <c r="N1248" s="23"/>
      <c r="O1248" s="143" t="s">
        <v>7949</v>
      </c>
      <c r="P1248" s="1131">
        <v>25</v>
      </c>
      <c r="Q1248" s="185">
        <f>80+IF(OR(TipoDeCriatura="Entre mundos, Elemental",TipoDeCriatura="Ánima, Elemental"),10,0)</f>
        <v>80</v>
      </c>
      <c r="R1248" s="1138">
        <f>COUNTIF(PoderesDeCriatura_Adquiridos,Tablas!O1248)</f>
        <v>0</v>
      </c>
      <c r="S1248" s="185"/>
      <c r="T1248" s="1129"/>
      <c r="U1248">
        <v>1</v>
      </c>
      <c r="W1248" s="1161" t="s">
        <v>7619</v>
      </c>
      <c r="X1248" s="319"/>
      <c r="Y1248" s="940" t="str">
        <f t="shared" si="250"/>
        <v>PodHab_Visiónespecial</v>
      </c>
      <c r="Z1248" s="1460" t="s">
        <v>1924</v>
      </c>
      <c r="AA1248" s="1466" t="s">
        <v>6</v>
      </c>
      <c r="AB1248" s="1466" t="s">
        <v>7</v>
      </c>
      <c r="AC1248" s="1466" t="s">
        <v>8</v>
      </c>
      <c r="AD1248" s="1466" t="s">
        <v>9</v>
      </c>
      <c r="AE1248" s="1466" t="s">
        <v>10</v>
      </c>
      <c r="AF1248" s="1466" t="s">
        <v>2357</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664"/>
      <c r="C1249" s="1133"/>
      <c r="D1249" s="67"/>
      <c r="E1249" s="1136" t="s">
        <v>8372</v>
      </c>
      <c r="F1249" s="86">
        <v>0</v>
      </c>
      <c r="G1249" s="86">
        <v>20</v>
      </c>
      <c r="H1249" s="86">
        <f>COUNTIF(HabilidadesEsenciales_Adquiridas,Tablas!E1249)</f>
        <v>0</v>
      </c>
      <c r="I1249" s="1138">
        <v>1</v>
      </c>
      <c r="J1249" s="185"/>
      <c r="K1249" s="1129"/>
      <c r="M1249" s="351"/>
      <c r="N1249" s="23"/>
      <c r="O1249" s="143" t="s">
        <v>7950</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664"/>
      <c r="C1250" s="1133"/>
      <c r="D1250" s="67"/>
      <c r="E1250" s="1136" t="s">
        <v>8373</v>
      </c>
      <c r="F1250" s="86">
        <v>5</v>
      </c>
      <c r="G1250" s="86">
        <v>40</v>
      </c>
      <c r="H1250" s="86">
        <f>COUNTIF(HabilidadesEsenciales_Adquiridas,Tablas!E1250)</f>
        <v>0</v>
      </c>
      <c r="I1250" s="1138">
        <v>1</v>
      </c>
      <c r="J1250" s="185"/>
      <c r="K1250" s="1129"/>
      <c r="M1250" s="351"/>
      <c r="N1250" s="23"/>
      <c r="O1250" s="143" t="s">
        <v>7951</v>
      </c>
      <c r="P1250" s="1131">
        <v>10</v>
      </c>
      <c r="Q1250" s="185">
        <f>10+IF(OR(TipoDeCriatura="Entre mundos, Elemental",TipoDeCriatura="Ánima, Elemental"),10,0)</f>
        <v>10</v>
      </c>
      <c r="R1250" s="1138">
        <f>COUNTIF(PoderesDeCriatura_Adquiridos,Tablas!O1250)</f>
        <v>0</v>
      </c>
      <c r="S1250" s="185"/>
      <c r="T1250" s="1129"/>
      <c r="U1250">
        <v>1</v>
      </c>
      <c r="W1250" s="1161" t="s">
        <v>7606</v>
      </c>
      <c r="X1250" s="319"/>
      <c r="Y1250" s="940" t="str">
        <f t="shared" si="250"/>
        <v>PodHab_Acumularataque</v>
      </c>
      <c r="Z1250" s="1460" t="s">
        <v>7837</v>
      </c>
      <c r="AA1250" s="1466" t="s">
        <v>7838</v>
      </c>
      <c r="AB1250" s="1466" t="s">
        <v>7839</v>
      </c>
      <c r="AC1250" s="1466" t="s">
        <v>7840</v>
      </c>
      <c r="AD1250" s="1466" t="s">
        <v>7841</v>
      </c>
      <c r="AE1250" s="1466" t="s">
        <v>7842</v>
      </c>
      <c r="AF1250" s="1466" t="s">
        <v>7843</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664"/>
      <c r="C1251" s="1133"/>
      <c r="D1251" s="67"/>
      <c r="E1251" s="1136" t="s">
        <v>8374</v>
      </c>
      <c r="F1251" s="86">
        <v>15</v>
      </c>
      <c r="G1251" s="86">
        <v>60</v>
      </c>
      <c r="H1251" s="86">
        <f>COUNTIF(HabilidadesEsenciales_Adquiridas,Tablas!E1251)</f>
        <v>0</v>
      </c>
      <c r="I1251" s="1138">
        <v>1</v>
      </c>
      <c r="J1251" s="185"/>
      <c r="K1251" s="1129"/>
      <c r="M1251" s="351"/>
      <c r="N1251" s="23"/>
      <c r="O1251" s="143" t="s">
        <v>7952</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7635</v>
      </c>
      <c r="AA1251" s="1466" t="s">
        <v>7636</v>
      </c>
      <c r="AB1251" s="1466" t="s">
        <v>7637</v>
      </c>
      <c r="AC1251" s="1466" t="s">
        <v>7638</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664"/>
      <c r="C1252" s="1133"/>
      <c r="D1252" s="67"/>
      <c r="E1252" s="1136" t="s">
        <v>8375</v>
      </c>
      <c r="F1252" s="86">
        <v>20</v>
      </c>
      <c r="G1252" s="86">
        <v>120</v>
      </c>
      <c r="H1252" s="86">
        <f>COUNTIF(HabilidadesEsenciales_Adquiridas,Tablas!E1252)</f>
        <v>0</v>
      </c>
      <c r="I1252" s="1138"/>
      <c r="J1252" s="185"/>
      <c r="K1252" s="1129"/>
      <c r="M1252" s="351"/>
      <c r="N1252" s="23"/>
      <c r="O1252" s="143" t="s">
        <v>7953</v>
      </c>
      <c r="P1252" s="1131">
        <v>15</v>
      </c>
      <c r="Q1252" s="185">
        <f>30+IF(OR(TipoDeCriatura="Entre mundos, Elemental",TipoDeCriatura="Ánima, Elemental"),10,0)</f>
        <v>30</v>
      </c>
      <c r="R1252" s="1138">
        <f>COUNTIF(PoderesDeCriatura_Adquiridos,Tablas!O1252)</f>
        <v>0</v>
      </c>
      <c r="S1252" s="185"/>
      <c r="T1252" s="1129"/>
      <c r="U1252">
        <v>1</v>
      </c>
      <c r="W1252" s="1161" t="s">
        <v>10260</v>
      </c>
      <c r="X1252" s="319"/>
      <c r="Y1252" s="940" t="str">
        <f t="shared" si="250"/>
        <v>PodHab_Ataqueautomáticocondicionado</v>
      </c>
      <c r="Z1252" s="1460" t="s">
        <v>7844</v>
      </c>
      <c r="AA1252" s="1466" t="s">
        <v>7845</v>
      </c>
      <c r="AB1252" s="1466" t="s">
        <v>7846</v>
      </c>
      <c r="AC1252" s="1466" t="s">
        <v>7847</v>
      </c>
      <c r="AD1252" s="1466" t="s">
        <v>7848</v>
      </c>
      <c r="AE1252" s="1466" t="s">
        <v>7849</v>
      </c>
      <c r="AF1252" s="1466" t="s">
        <v>864</v>
      </c>
      <c r="AG1252" s="1466" t="s">
        <v>84</v>
      </c>
      <c r="AH1252" s="1466" t="s">
        <v>2191</v>
      </c>
      <c r="AI1252" s="1466" t="s">
        <v>7850</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664"/>
      <c r="C1253" s="1133"/>
      <c r="D1253" s="67"/>
      <c r="E1253" s="1136" t="s">
        <v>8376</v>
      </c>
      <c r="F1253" s="86">
        <v>25</v>
      </c>
      <c r="G1253" s="86">
        <v>180</v>
      </c>
      <c r="H1253" s="86">
        <f>COUNTIF(HabilidadesEsenciales_Adquiridas,Tablas!E1253)</f>
        <v>0</v>
      </c>
      <c r="I1253" s="1138"/>
      <c r="J1253" s="185"/>
      <c r="K1253" s="1129"/>
      <c r="M1253" s="351"/>
      <c r="N1253" s="23"/>
      <c r="O1253" s="143" t="s">
        <v>7954</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IF(Z1253="","",SUBSTITUTE("PodHab_"&amp;W1253," ",""))</f>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664"/>
      <c r="C1254" s="1133"/>
      <c r="D1254" s="67"/>
      <c r="E1254" s="1136" t="s">
        <v>8377</v>
      </c>
      <c r="F1254" s="86">
        <v>0</v>
      </c>
      <c r="G1254" s="86">
        <v>20</v>
      </c>
      <c r="H1254" s="86">
        <f>COUNTIF(HabilidadesEsenciales_Adquiridas,Tablas!E1254)</f>
        <v>0</v>
      </c>
      <c r="I1254" s="1138">
        <v>1</v>
      </c>
      <c r="J1254" s="185"/>
      <c r="K1254" s="1129"/>
      <c r="M1254" s="351"/>
      <c r="N1254" s="23"/>
      <c r="O1254" s="143" t="s">
        <v>7955</v>
      </c>
      <c r="P1254" s="1131">
        <v>25</v>
      </c>
      <c r="Q1254" s="185">
        <f>50+IF(OR(TipoDeCriatura="Entre mundos, Elemental",TipoDeCriatura="Ánima, Elemental"),10,0)</f>
        <v>50</v>
      </c>
      <c r="R1254" s="1138">
        <f>COUNTIF(PoderesDeCriatura_Adquiridos,Tablas!O1254)</f>
        <v>0</v>
      </c>
      <c r="S1254" s="185"/>
      <c r="T1254" s="1129"/>
      <c r="U1254">
        <v>1</v>
      </c>
      <c r="W1254" s="1161" t="s">
        <v>7621</v>
      </c>
      <c r="X1254" s="319"/>
      <c r="Y1254" s="940" t="str">
        <f t="shared" si="250"/>
        <v>PodHab_Ataquecamuflado</v>
      </c>
      <c r="Z1254" s="1460" t="s">
        <v>7851</v>
      </c>
      <c r="AA1254" s="1466" t="s">
        <v>7852</v>
      </c>
      <c r="AB1254" s="1466" t="s">
        <v>7853</v>
      </c>
      <c r="AC1254" s="1466" t="s">
        <v>7854</v>
      </c>
      <c r="AD1254" s="1466" t="s">
        <v>7855</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664"/>
      <c r="C1255" s="1133"/>
      <c r="D1255" s="67"/>
      <c r="E1255" s="1136" t="s">
        <v>8378</v>
      </c>
      <c r="F1255" s="86">
        <v>5</v>
      </c>
      <c r="G1255" s="86">
        <v>40</v>
      </c>
      <c r="H1255" s="86">
        <f>COUNTIF(HabilidadesEsenciales_Adquiridas,Tablas!E1255)</f>
        <v>0</v>
      </c>
      <c r="I1255" s="1138">
        <v>1</v>
      </c>
      <c r="J1255" s="185"/>
      <c r="K1255" s="1129"/>
      <c r="M1255" s="351"/>
      <c r="N1255" s="23"/>
      <c r="O1255" s="143" t="s">
        <v>7956</v>
      </c>
      <c r="P1255" s="1131">
        <v>30</v>
      </c>
      <c r="Q1255" s="185">
        <f>60+IF(OR(TipoDeCriatura="Entre mundos, Elemental",TipoDeCriatura="Ánima, Elemental"),10,0)</f>
        <v>60</v>
      </c>
      <c r="R1255" s="1138">
        <f>COUNTIF(PoderesDeCriatura_Adquiridos,Tablas!O1255)</f>
        <v>0</v>
      </c>
      <c r="S1255" s="185"/>
      <c r="T1255" s="1129"/>
      <c r="U1255">
        <v>1</v>
      </c>
      <c r="W1255" s="1161" t="s">
        <v>7611</v>
      </c>
      <c r="X1255" s="347"/>
      <c r="Y1255" s="940" t="str">
        <f t="shared" si="250"/>
        <v>PodHab_Ataqueespecialincrementado</v>
      </c>
      <c r="Z1255" s="1460" t="s">
        <v>7856</v>
      </c>
      <c r="AA1255" s="1466" t="s">
        <v>7857</v>
      </c>
      <c r="AB1255" s="1466" t="s">
        <v>7858</v>
      </c>
      <c r="AC1255" s="1466" t="s">
        <v>7859</v>
      </c>
      <c r="AD1255" s="1466" t="s">
        <v>7860</v>
      </c>
      <c r="AE1255" s="1466" t="s">
        <v>7172</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664"/>
      <c r="C1256" s="1133"/>
      <c r="D1256" s="67"/>
      <c r="E1256" s="1136" t="s">
        <v>8379</v>
      </c>
      <c r="F1256" s="86">
        <v>15</v>
      </c>
      <c r="G1256" s="86">
        <v>60</v>
      </c>
      <c r="H1256" s="86">
        <f>COUNTIF(HabilidadesEsenciales_Adquiridas,Tablas!E1256)</f>
        <v>0</v>
      </c>
      <c r="I1256" s="1138">
        <v>1</v>
      </c>
      <c r="J1256" s="185"/>
      <c r="K1256" s="1129"/>
      <c r="M1256" s="351"/>
      <c r="N1256" s="23"/>
      <c r="O1256" s="143" t="s">
        <v>7957</v>
      </c>
      <c r="P1256" s="1131">
        <v>35</v>
      </c>
      <c r="Q1256" s="185">
        <f>80+IF(OR(TipoDeCriatura="Entre mundos, Elemental",TipoDeCriatura="Ánima, Elemental"),10,0)</f>
        <v>80</v>
      </c>
      <c r="R1256" s="1138">
        <f>COUNTIF(PoderesDeCriatura_Adquiridos,Tablas!O1256)</f>
        <v>0</v>
      </c>
      <c r="S1256" s="185"/>
      <c r="T1256" s="1129"/>
      <c r="U1256">
        <v>1</v>
      </c>
      <c r="W1256" s="1161" t="s">
        <v>7622</v>
      </c>
      <c r="X1256" s="319"/>
      <c r="Y1256" s="940" t="str">
        <f t="shared" si="250"/>
        <v>PodHab_Ataquemantenido</v>
      </c>
      <c r="Z1256" s="1460" t="s">
        <v>7861</v>
      </c>
      <c r="AA1256" s="1466" t="s">
        <v>7862</v>
      </c>
      <c r="AB1256" s="1466" t="s">
        <v>7863</v>
      </c>
      <c r="AC1256" s="1466" t="s">
        <v>7864</v>
      </c>
      <c r="AD1256" s="1466" t="s">
        <v>7865</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664"/>
      <c r="C1257" s="1133"/>
      <c r="D1257" s="67"/>
      <c r="E1257" s="1136" t="s">
        <v>8380</v>
      </c>
      <c r="F1257" s="86">
        <v>20</v>
      </c>
      <c r="G1257" s="86">
        <v>120</v>
      </c>
      <c r="H1257" s="86">
        <f>COUNTIF(HabilidadesEsenciales_Adquiridas,Tablas!E1257)</f>
        <v>0</v>
      </c>
      <c r="I1257" s="1138"/>
      <c r="J1257" s="185"/>
      <c r="K1257" s="1129"/>
      <c r="M1257" s="351"/>
      <c r="N1257" s="23"/>
      <c r="O1257" s="143" t="s">
        <v>7958</v>
      </c>
      <c r="P1257" s="1131">
        <v>10</v>
      </c>
      <c r="Q1257" s="185">
        <f>5+IF(OR(TipoDeCriatura="Entre mundos, Elemental",TipoDeCriatura="Ánima, Elemental"),5,0)</f>
        <v>5</v>
      </c>
      <c r="R1257" s="1138">
        <f>COUNTIF(PoderesDeCriatura_Adquiridos,Tablas!O1257)</f>
        <v>0</v>
      </c>
      <c r="S1257" s="185"/>
      <c r="T1257" s="1129"/>
      <c r="U1257">
        <v>1</v>
      </c>
      <c r="W1257" s="1161" t="s">
        <v>7620</v>
      </c>
      <c r="X1257" s="319"/>
      <c r="Y1257" s="940" t="str">
        <f t="shared" si="250"/>
        <v>PodHab_Ataqueretardado</v>
      </c>
      <c r="Z1257" s="1460" t="s">
        <v>7866</v>
      </c>
      <c r="AA1257" s="1466" t="s">
        <v>7867</v>
      </c>
      <c r="AB1257" s="1466" t="s">
        <v>7868</v>
      </c>
      <c r="AC1257" s="1466" t="s">
        <v>7869</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664"/>
      <c r="C1258" s="1133"/>
      <c r="D1258" s="67"/>
      <c r="E1258" s="1136" t="s">
        <v>8381</v>
      </c>
      <c r="F1258" s="86">
        <v>25</v>
      </c>
      <c r="G1258" s="86">
        <v>180</v>
      </c>
      <c r="H1258" s="86">
        <f>COUNTIF(HabilidadesEsenciales_Adquiridas,Tablas!E1258)</f>
        <v>0</v>
      </c>
      <c r="I1258" s="1138"/>
      <c r="J1258" s="185"/>
      <c r="K1258" s="1129"/>
      <c r="M1258" s="351"/>
      <c r="N1258" s="23"/>
      <c r="O1258" s="143" t="s">
        <v>7959</v>
      </c>
      <c r="P1258" s="1131">
        <v>20</v>
      </c>
      <c r="Q1258" s="185">
        <f>60+IF(OR(TipoDeCriatura="Entre mundos, Elemental",TipoDeCriatura="Ánima, Elemental"),10,0)</f>
        <v>60</v>
      </c>
      <c r="R1258" s="1138">
        <f>COUNTIF(PoderesDeCriatura_Adquiridos,Tablas!O1258)</f>
        <v>0</v>
      </c>
      <c r="S1258" s="185"/>
      <c r="T1258" s="1129"/>
      <c r="U1258">
        <v>1</v>
      </c>
      <c r="W1258" s="1161" t="s">
        <v>7607</v>
      </c>
      <c r="X1258" s="319"/>
      <c r="Y1258" s="940" t="str">
        <f t="shared" si="250"/>
        <v>PodHab_Ataquesmúltiplesaleatorios</v>
      </c>
      <c r="Z1258" s="1460" t="s">
        <v>7870</v>
      </c>
      <c r="AA1258" s="1466" t="s">
        <v>7871</v>
      </c>
      <c r="AB1258" s="1466" t="s">
        <v>7872</v>
      </c>
      <c r="AC1258" s="1466" t="s">
        <v>7844</v>
      </c>
      <c r="AD1258" s="1466" t="s">
        <v>7845</v>
      </c>
      <c r="AE1258" s="1466" t="s">
        <v>7846</v>
      </c>
      <c r="AF1258" s="1466" t="s">
        <v>7873</v>
      </c>
      <c r="AG1258" s="1466"/>
      <c r="AH1258" s="1466"/>
      <c r="AI1258" s="1466"/>
      <c r="AJ1258" s="1466" t="s">
        <v>7172</v>
      </c>
      <c r="AK1258" s="1466" t="s">
        <v>7172</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664"/>
      <c r="C1259" s="1133"/>
      <c r="D1259" s="67"/>
      <c r="E1259" s="1136" t="s">
        <v>2340</v>
      </c>
      <c r="F1259" s="86">
        <v>0</v>
      </c>
      <c r="G1259" s="86">
        <v>10</v>
      </c>
      <c r="H1259" s="86">
        <f>COUNTIF(HabilidadesEsenciales_Adquiridas,Tablas!E1259)</f>
        <v>0</v>
      </c>
      <c r="I1259" s="1138">
        <v>1</v>
      </c>
      <c r="J1259" s="185"/>
      <c r="K1259" s="1129"/>
      <c r="M1259" s="351"/>
      <c r="N1259" s="23"/>
      <c r="O1259" s="143" t="s">
        <v>7960</v>
      </c>
      <c r="P1259" s="1131">
        <v>5</v>
      </c>
      <c r="Q1259" s="185">
        <v>-10</v>
      </c>
      <c r="R1259" s="1138">
        <f>COUNTIF(PoderesDeCriatura_Adquiridos,Tablas!O1259)</f>
        <v>0</v>
      </c>
      <c r="S1259" s="185"/>
      <c r="T1259" s="1129"/>
      <c r="U1259">
        <v>1</v>
      </c>
      <c r="W1259" s="1161" t="s">
        <v>7608</v>
      </c>
      <c r="X1259" s="1157"/>
      <c r="Y1259" s="940" t="str">
        <f t="shared" si="250"/>
        <v/>
      </c>
      <c r="Z1259" s="1460" t="s">
        <v>7172</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664"/>
      <c r="C1260" s="1133"/>
      <c r="D1260" s="67"/>
      <c r="E1260" s="1136" t="s">
        <v>2341</v>
      </c>
      <c r="F1260" s="86">
        <v>0</v>
      </c>
      <c r="G1260" s="86">
        <v>10</v>
      </c>
      <c r="H1260" s="86">
        <f>COUNTIF(HabilidadesEsenciales_Adquiridas,Tablas!E1260)</f>
        <v>0</v>
      </c>
      <c r="I1260" s="1138">
        <v>1</v>
      </c>
      <c r="J1260" s="185">
        <f t="array" ref="J1260">MAX({1;2;3;4;5}*H1259:H1263)+MIN({-1;-2;-3;-4;-5}*H1264:H1268)</f>
        <v>0</v>
      </c>
      <c r="K1260" s="1129" t="s">
        <v>1913</v>
      </c>
      <c r="M1260" s="351"/>
      <c r="N1260" s="23"/>
      <c r="O1260" s="143" t="s">
        <v>7961</v>
      </c>
      <c r="P1260" s="1131">
        <v>5</v>
      </c>
      <c r="Q1260" s="185">
        <v>-20</v>
      </c>
      <c r="R1260" s="1138">
        <f>COUNTIF(PoderesDeCriatura_Adquiridos,Tablas!O1260)</f>
        <v>0</v>
      </c>
      <c r="S1260" s="185"/>
      <c r="T1260" s="1129"/>
      <c r="U1260">
        <v>1</v>
      </c>
      <c r="W1260" s="1161" t="s">
        <v>7605</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664"/>
      <c r="C1261" s="1133"/>
      <c r="D1261" s="67"/>
      <c r="E1261" s="1136" t="s">
        <v>2342</v>
      </c>
      <c r="F1261" s="86">
        <v>0</v>
      </c>
      <c r="G1261" s="86">
        <v>10</v>
      </c>
      <c r="H1261" s="86">
        <f>COUNTIF(HabilidadesEsenciales_Adquiridas,Tablas!E1261)</f>
        <v>0</v>
      </c>
      <c r="I1261" s="1138">
        <v>1</v>
      </c>
      <c r="J1261" s="185"/>
      <c r="K1261" s="1129"/>
      <c r="M1261" s="351"/>
      <c r="N1261" s="23"/>
      <c r="O1261" s="143" t="s">
        <v>7962</v>
      </c>
      <c r="P1261" s="1131">
        <v>5</v>
      </c>
      <c r="Q1261" s="185">
        <v>-30</v>
      </c>
      <c r="R1261" s="1138">
        <f>COUNTIF(PoderesDeCriatura_Adquiridos,Tablas!O1261)</f>
        <v>0</v>
      </c>
      <c r="S1261" s="185"/>
      <c r="T1261" s="1129"/>
      <c r="U1261">
        <v>1</v>
      </c>
      <c r="W1261" s="1161" t="s">
        <v>2203</v>
      </c>
      <c r="X1261" s="319"/>
      <c r="Y1261" s="940" t="str">
        <f t="shared" si="250"/>
        <v>PodHab_Escudo</v>
      </c>
      <c r="Z1261" s="1460" t="s">
        <v>2205</v>
      </c>
      <c r="AA1261" s="1466" t="s">
        <v>2204</v>
      </c>
      <c r="AB1261" s="1466" t="s">
        <v>2202</v>
      </c>
      <c r="AC1261" s="1466" t="s">
        <v>7874</v>
      </c>
      <c r="AD1261" s="1466" t="s">
        <v>7875</v>
      </c>
      <c r="AE1261" s="1466" t="s">
        <v>7876</v>
      </c>
      <c r="AF1261" s="1466" t="s">
        <v>7877</v>
      </c>
      <c r="AG1261" s="1466" t="s">
        <v>7878</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664"/>
      <c r="C1262" s="1133"/>
      <c r="D1262" s="67"/>
      <c r="E1262" s="1136" t="s">
        <v>2343</v>
      </c>
      <c r="F1262" s="86">
        <v>0</v>
      </c>
      <c r="G1262" s="86">
        <v>10</v>
      </c>
      <c r="H1262" s="86">
        <f>COUNTIF(HabilidadesEsenciales_Adquiridas,Tablas!E1262)</f>
        <v>0</v>
      </c>
      <c r="I1262" s="1138">
        <v>1</v>
      </c>
      <c r="J1262" s="185"/>
      <c r="K1262" s="1129"/>
      <c r="M1262" s="351"/>
      <c r="N1262" s="23"/>
      <c r="O1262" s="143" t="s">
        <v>7963</v>
      </c>
      <c r="P1262" s="1131">
        <v>5</v>
      </c>
      <c r="Q1262" s="185">
        <v>-40</v>
      </c>
      <c r="R1262" s="1138">
        <f>COUNTIF(PoderesDeCriatura_Adquiridos,Tablas!O1262)</f>
        <v>0</v>
      </c>
      <c r="S1262" s="185"/>
      <c r="T1262" s="1129"/>
      <c r="U1262">
        <v>1</v>
      </c>
      <c r="W1262" s="1161" t="s">
        <v>7610</v>
      </c>
      <c r="X1262" s="1157"/>
      <c r="Y1262" s="940" t="str">
        <f t="shared" si="250"/>
        <v/>
      </c>
      <c r="Z1262" s="1460"/>
      <c r="AA1262" s="1466"/>
      <c r="AB1262" s="1466"/>
      <c r="AC1262" s="1466"/>
      <c r="AD1262" s="1466"/>
      <c r="AE1262" s="1466"/>
      <c r="AF1262" s="1466"/>
      <c r="AG1262" s="1466"/>
      <c r="AH1262" s="1466"/>
      <c r="AI1262" s="1466"/>
      <c r="AJ1262" s="1466" t="s">
        <v>7172</v>
      </c>
      <c r="AK1262" s="1466" t="s">
        <v>7172</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664"/>
      <c r="C1263" s="1133"/>
      <c r="D1263" s="67"/>
      <c r="E1263" s="1136" t="s">
        <v>2344</v>
      </c>
      <c r="F1263" s="86">
        <v>0</v>
      </c>
      <c r="G1263" s="86">
        <v>10</v>
      </c>
      <c r="H1263" s="86">
        <f>COUNTIF(HabilidadesEsenciales_Adquiridas,Tablas!E1263)</f>
        <v>0</v>
      </c>
      <c r="I1263" s="1138">
        <v>1</v>
      </c>
      <c r="J1263" s="185"/>
      <c r="K1263" s="1129"/>
      <c r="M1263" s="351"/>
      <c r="N1263" s="23"/>
      <c r="O1263" s="143" t="s">
        <v>7964</v>
      </c>
      <c r="P1263" s="1126">
        <v>5</v>
      </c>
      <c r="Q1263" s="95">
        <v>-50</v>
      </c>
      <c r="R1263" s="1138">
        <f>COUNTIF(PoderesDeCriatura_Adquiridos,Tablas!O1263)</f>
        <v>0</v>
      </c>
      <c r="S1263" s="185"/>
      <c r="T1263" s="1129"/>
      <c r="U1263">
        <v>1</v>
      </c>
      <c r="W1263" s="1161" t="s">
        <v>7604</v>
      </c>
      <c r="X1263" s="1157" t="str">
        <f>MID(INDEX(Lista_PoderesCriatura,MATCH($W1258&amp;"*",Lista_PoderesCriatura,0)-1+Tablas!N$1),LEN($W1258)+3,200)</f>
        <v/>
      </c>
      <c r="Y1263" s="940" t="str">
        <f t="shared" ref="Y1263:Y1282" si="251">IF(Z1263="","",SUBSTITUTE("PodHab_"&amp;W1263," ",""))</f>
        <v/>
      </c>
      <c r="Z1263" s="1460" t="s">
        <v>7172</v>
      </c>
      <c r="AA1263" s="1466" t="s">
        <v>7172</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664"/>
      <c r="C1264" s="1133"/>
      <c r="D1264" s="67"/>
      <c r="E1264" s="1136" t="s">
        <v>2345</v>
      </c>
      <c r="F1264" s="86">
        <v>0</v>
      </c>
      <c r="G1264" s="86">
        <v>10</v>
      </c>
      <c r="H1264" s="86">
        <f>COUNTIF(HabilidadesEsenciales_Adquiridas,Tablas!E1264)</f>
        <v>0</v>
      </c>
      <c r="I1264" s="1138">
        <v>1</v>
      </c>
      <c r="J1264" s="185"/>
      <c r="K1264" s="1129"/>
      <c r="M1264" s="351"/>
      <c r="N1264" s="23"/>
      <c r="O1264" s="1" t="s">
        <v>7965</v>
      </c>
      <c r="P1264" s="1131">
        <v>0</v>
      </c>
      <c r="Q1264" s="185">
        <v>10</v>
      </c>
      <c r="R1264" s="1138">
        <f>COUNTIF(PoderesDeCriatura_Adquiridos,Tablas!O1264)</f>
        <v>0</v>
      </c>
      <c r="S1264" s="185"/>
      <c r="T1264" s="1129"/>
      <c r="W1264" s="1161" t="s">
        <v>7362</v>
      </c>
      <c r="X1264" s="319"/>
      <c r="Y1264" s="940" t="str">
        <f t="shared" si="251"/>
        <v>PodHab_Imparable</v>
      </c>
      <c r="Z1264" s="1460" t="s">
        <v>7879</v>
      </c>
      <c r="AA1264" s="1466" t="s">
        <v>7880</v>
      </c>
      <c r="AB1264" s="1466" t="s">
        <v>7881</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664"/>
      <c r="C1265" s="1133"/>
      <c r="D1265" s="67"/>
      <c r="E1265" s="1136" t="s">
        <v>2346</v>
      </c>
      <c r="F1265" s="86">
        <v>0</v>
      </c>
      <c r="G1265" s="86">
        <v>10</v>
      </c>
      <c r="H1265" s="86">
        <f>COUNTIF(HabilidadesEsenciales_Adquiridas,Tablas!E1265)</f>
        <v>0</v>
      </c>
      <c r="I1265" s="1138">
        <v>1</v>
      </c>
      <c r="J1265" s="185"/>
      <c r="K1265" s="1129"/>
      <c r="M1265" s="351"/>
      <c r="N1265" s="23"/>
      <c r="O1265" s="1" t="s">
        <v>7966</v>
      </c>
      <c r="P1265" s="1131">
        <v>0</v>
      </c>
      <c r="Q1265" s="185">
        <v>20</v>
      </c>
      <c r="R1265" s="1138">
        <f>COUNTIF(PoderesDeCriatura_Adquiridos,Tablas!O1265)</f>
        <v>0</v>
      </c>
      <c r="S1265" s="185"/>
      <c r="T1265" s="1129"/>
      <c r="W1265" s="1161" t="s">
        <v>7609</v>
      </c>
      <c r="X1265" s="319"/>
      <c r="Y1265" s="940" t="str">
        <f t="shared" si="251"/>
        <v>PodHab_Reduccióndedaño</v>
      </c>
      <c r="Z1265" s="1460" t="s">
        <v>7882</v>
      </c>
      <c r="AA1265" s="1466" t="s">
        <v>7883</v>
      </c>
      <c r="AB1265" s="1466" t="s">
        <v>7884</v>
      </c>
      <c r="AC1265" s="1466" t="s">
        <v>7885</v>
      </c>
      <c r="AD1265" s="1466" t="s">
        <v>7886</v>
      </c>
      <c r="AE1265" s="1466" t="s">
        <v>7887</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664"/>
      <c r="C1266" s="1133"/>
      <c r="D1266" s="67"/>
      <c r="E1266" s="1136" t="s">
        <v>2347</v>
      </c>
      <c r="F1266" s="86">
        <v>0</v>
      </c>
      <c r="G1266" s="86">
        <v>10</v>
      </c>
      <c r="H1266" s="86">
        <f>COUNTIF(HabilidadesEsenciales_Adquiridas,Tablas!E1266)</f>
        <v>0</v>
      </c>
      <c r="I1266" s="1138">
        <v>1</v>
      </c>
      <c r="J1266" s="185"/>
      <c r="K1266" s="1129"/>
      <c r="M1266" s="351"/>
      <c r="N1266" s="23"/>
      <c r="O1266" s="1" t="s">
        <v>7967</v>
      </c>
      <c r="P1266" s="1131">
        <v>0</v>
      </c>
      <c r="Q1266" s="185">
        <v>30</v>
      </c>
      <c r="R1266" s="1138">
        <f>COUNTIF(PoderesDeCriatura_Adquiridos,Tablas!O1266)</f>
        <v>0</v>
      </c>
      <c r="S1266" s="185"/>
      <c r="T1266" s="1129"/>
      <c r="W1266" s="1161" t="s">
        <v>7623</v>
      </c>
      <c r="X1266" s="319"/>
      <c r="Y1266" s="940" t="str">
        <f t="shared" si="251"/>
        <v>PodHab_Reflejarataques</v>
      </c>
      <c r="Z1266" s="1460" t="s">
        <v>1126</v>
      </c>
      <c r="AA1266" s="1466" t="s">
        <v>7888</v>
      </c>
      <c r="AB1266" s="1466" t="s">
        <v>7889</v>
      </c>
      <c r="AC1266" s="1466" t="s">
        <v>7890</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664"/>
      <c r="C1267" s="1133"/>
      <c r="D1267" s="67"/>
      <c r="E1267" s="1136" t="s">
        <v>2348</v>
      </c>
      <c r="F1267" s="86">
        <v>0</v>
      </c>
      <c r="G1267" s="86">
        <v>10</v>
      </c>
      <c r="H1267" s="86">
        <f>COUNTIF(HabilidadesEsenciales_Adquiridas,Tablas!E1267)</f>
        <v>0</v>
      </c>
      <c r="I1267" s="1138">
        <v>1</v>
      </c>
      <c r="J1267" s="185"/>
      <c r="K1267" s="1129"/>
      <c r="M1267" s="351"/>
      <c r="N1267" s="23"/>
      <c r="O1267" s="1" t="s">
        <v>7968</v>
      </c>
      <c r="P1267" s="1131">
        <v>0</v>
      </c>
      <c r="Q1267" s="185">
        <v>40</v>
      </c>
      <c r="R1267" s="1138">
        <f>COUNTIF(PoderesDeCriatura_Adquiridos,Tablas!O1267)</f>
        <v>0</v>
      </c>
      <c r="S1267" s="185"/>
      <c r="T1267" s="1129"/>
      <c r="W1267" s="1161" t="s">
        <v>1579</v>
      </c>
      <c r="X1267" s="319"/>
      <c r="Y1267" s="940" t="str">
        <f t="shared" si="251"/>
        <v>PodHab_Rotura</v>
      </c>
      <c r="Z1267" s="1460" t="s">
        <v>7125</v>
      </c>
      <c r="AA1267" s="1466" t="s">
        <v>7748</v>
      </c>
      <c r="AB1267" s="1466" t="s">
        <v>7891</v>
      </c>
      <c r="AC1267" s="1466" t="s">
        <v>2777</v>
      </c>
      <c r="AD1267" s="1466" t="s">
        <v>7892</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664"/>
      <c r="C1268" s="1133"/>
      <c r="D1268" s="67"/>
      <c r="E1268" s="1136" t="s">
        <v>2349</v>
      </c>
      <c r="F1268" s="86">
        <v>0</v>
      </c>
      <c r="G1268" s="86">
        <v>10</v>
      </c>
      <c r="H1268" s="86">
        <f>COUNTIF(HabilidadesEsenciales_Adquiridas,Tablas!E1268)</f>
        <v>0</v>
      </c>
      <c r="I1268" s="1138">
        <v>1</v>
      </c>
      <c r="J1268" s="185"/>
      <c r="K1268" s="1129"/>
      <c r="M1268" s="351"/>
      <c r="N1268" s="23"/>
      <c r="O1268" s="1" t="s">
        <v>7969</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664"/>
      <c r="C1269" s="1133"/>
      <c r="D1269" s="67"/>
      <c r="E1269" s="1136" t="s">
        <v>1269</v>
      </c>
      <c r="F1269" s="86">
        <v>0</v>
      </c>
      <c r="G1269" s="86">
        <v>30</v>
      </c>
      <c r="H1269" s="86">
        <f>COUNTIF(HabilidadesEsenciales_Adquiridas,Tablas!E1269)</f>
        <v>0</v>
      </c>
      <c r="I1269" s="1138">
        <v>1</v>
      </c>
      <c r="J1269" s="185"/>
      <c r="K1269" s="1129"/>
      <c r="M1269" s="351"/>
      <c r="N1269" s="23"/>
      <c r="O1269" s="1" t="s">
        <v>7970</v>
      </c>
      <c r="P1269" s="1131">
        <v>0</v>
      </c>
      <c r="Q1269" s="185">
        <v>60</v>
      </c>
      <c r="R1269" s="1138">
        <f>COUNTIF(PoderesDeCriatura_Adquiridos,Tablas!O1269)</f>
        <v>0</v>
      </c>
      <c r="S1269" s="185"/>
      <c r="T1269" s="1129"/>
      <c r="W1269" s="1161" t="s">
        <v>7625</v>
      </c>
      <c r="X1269" s="319"/>
      <c r="Y1269" s="940" t="str">
        <f t="shared" si="251"/>
        <v>PodHab_Efectopermanente</v>
      </c>
      <c r="Z1269" s="1460" t="s">
        <v>7893</v>
      </c>
      <c r="AA1269" s="1466" t="s">
        <v>7894</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664"/>
      <c r="C1270" s="1133"/>
      <c r="D1270" s="67"/>
      <c r="E1270" s="1136" t="s">
        <v>1691</v>
      </c>
      <c r="F1270" s="86">
        <v>0</v>
      </c>
      <c r="G1270" s="86">
        <v>10</v>
      </c>
      <c r="H1270" s="86">
        <f>COUNTIF(HabilidadesEsenciales_Adquiridas,Tablas!E1270)</f>
        <v>0</v>
      </c>
      <c r="I1270" s="1138">
        <v>2</v>
      </c>
      <c r="J1270" s="185"/>
      <c r="K1270" s="1129"/>
      <c r="M1270" s="351"/>
      <c r="N1270" s="23"/>
      <c r="O1270" s="1" t="s">
        <v>7971</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664"/>
      <c r="C1271" s="1133"/>
      <c r="D1271" s="67"/>
      <c r="E1271" s="1136" t="s">
        <v>1692</v>
      </c>
      <c r="F1271" s="86">
        <v>25</v>
      </c>
      <c r="G1271" s="86">
        <v>20</v>
      </c>
      <c r="H1271" s="86">
        <f>COUNTIF(HabilidadesEsenciales_Adquiridas,Tablas!E1271)</f>
        <v>0</v>
      </c>
      <c r="I1271" s="1138">
        <v>2</v>
      </c>
      <c r="J1271" s="185"/>
      <c r="K1271" s="1129"/>
      <c r="M1271" s="351"/>
      <c r="N1271" s="23"/>
      <c r="O1271" s="1" t="s">
        <v>7972</v>
      </c>
      <c r="P1271" s="1131">
        <v>10</v>
      </c>
      <c r="Q1271" s="185">
        <v>100</v>
      </c>
      <c r="R1271" s="1138">
        <f>COUNTIF(PoderesDeCriatura_Adquiridos,Tablas!O1271)</f>
        <v>0</v>
      </c>
      <c r="S1271" s="185"/>
      <c r="T1271" s="1129"/>
      <c r="W1271" s="1161" t="s">
        <v>7624</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664"/>
      <c r="C1272" s="1133"/>
      <c r="D1272" s="67"/>
      <c r="E1272" s="1136" t="s">
        <v>1270</v>
      </c>
      <c r="F1272" s="86">
        <v>0</v>
      </c>
      <c r="G1272" s="86">
        <v>10</v>
      </c>
      <c r="H1272" s="86">
        <f>COUNTIF(HabilidadesEsenciales_Adquiridas,Tablas!E1272)</f>
        <v>0</v>
      </c>
      <c r="I1272" s="1138"/>
      <c r="J1272" s="185"/>
      <c r="K1272" s="1129"/>
      <c r="M1272" s="351"/>
      <c r="N1272" s="23"/>
      <c r="O1272" s="1" t="s">
        <v>7973</v>
      </c>
      <c r="P1272" s="1131">
        <v>20</v>
      </c>
      <c r="Q1272" s="185">
        <v>140</v>
      </c>
      <c r="R1272" s="1138">
        <f>COUNTIF(PoderesDeCriatura_Adquiridos,Tablas!O1272)</f>
        <v>0</v>
      </c>
      <c r="S1272" s="185"/>
      <c r="T1272" s="1129"/>
      <c r="W1272" s="1161" t="s">
        <v>1939</v>
      </c>
      <c r="X1272" s="319"/>
      <c r="Y1272" s="940" t="str">
        <f t="shared" si="251"/>
        <v>PodHab_Transformación</v>
      </c>
      <c r="Z1272" s="1460" t="s">
        <v>7895</v>
      </c>
      <c r="AA1272" s="1466" t="s">
        <v>7896</v>
      </c>
      <c r="AB1272" s="1466" t="s">
        <v>7897</v>
      </c>
      <c r="AC1272" s="1466" t="s">
        <v>7898</v>
      </c>
      <c r="AD1272" s="1466" t="s">
        <v>7899</v>
      </c>
      <c r="AE1272" s="1466"/>
      <c r="AF1272" s="1466"/>
      <c r="AG1272" s="1466"/>
      <c r="AH1272" s="1466"/>
      <c r="AI1272" s="1466"/>
      <c r="AJ1272" s="1466"/>
      <c r="AK1272" s="1466"/>
      <c r="AL1272" s="1466"/>
      <c r="AM1272" s="1466" t="s">
        <v>7172</v>
      </c>
      <c r="AN1272" s="1466" t="s">
        <v>7172</v>
      </c>
      <c r="AO1272" s="1466" t="s">
        <v>7172</v>
      </c>
      <c r="AP1272" s="1466" t="s">
        <v>7172</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664"/>
      <c r="C1273" s="1133"/>
      <c r="D1273" s="67"/>
      <c r="E1273" s="1136" t="s">
        <v>1271</v>
      </c>
      <c r="F1273" s="86">
        <v>5</v>
      </c>
      <c r="G1273" s="86">
        <v>10</v>
      </c>
      <c r="H1273" s="86">
        <f>COUNTIF(HabilidadesEsenciales_Adquiridas,Tablas!E1273)</f>
        <v>0</v>
      </c>
      <c r="I1273" s="1138"/>
      <c r="J1273" s="185"/>
      <c r="K1273" s="1129"/>
      <c r="M1273" s="351"/>
      <c r="N1273" s="23"/>
      <c r="O1273" s="1" t="s">
        <v>7974</v>
      </c>
      <c r="P1273" s="1131">
        <v>30</v>
      </c>
      <c r="Q1273" s="185">
        <v>180</v>
      </c>
      <c r="R1273" s="1138">
        <f>COUNTIF(PoderesDeCriatura_Adquiridos,Tablas!O1273)</f>
        <v>0</v>
      </c>
      <c r="S1273" s="185"/>
      <c r="T1273" s="1129"/>
      <c r="W1273" s="1161" t="s">
        <v>23</v>
      </c>
      <c r="X1273" s="857"/>
      <c r="Y1273" s="940" t="str">
        <f t="shared" si="251"/>
        <v/>
      </c>
      <c r="Z1273" s="1460" t="s">
        <v>7172</v>
      </c>
      <c r="AA1273" s="1466" t="s">
        <v>7172</v>
      </c>
      <c r="AB1273" s="1466" t="s">
        <v>7172</v>
      </c>
      <c r="AC1273" s="1466" t="s">
        <v>7172</v>
      </c>
      <c r="AD1273" s="1466" t="s">
        <v>7172</v>
      </c>
      <c r="AE1273" s="1466" t="s">
        <v>7172</v>
      </c>
      <c r="AF1273" s="1466" t="s">
        <v>7172</v>
      </c>
      <c r="AG1273" s="1466" t="s">
        <v>7172</v>
      </c>
      <c r="AH1273" s="1466" t="s">
        <v>7172</v>
      </c>
      <c r="AI1273" s="1466" t="s">
        <v>7172</v>
      </c>
      <c r="AJ1273" s="1466" t="s">
        <v>7172</v>
      </c>
      <c r="AK1273" s="1466" t="s">
        <v>7172</v>
      </c>
      <c r="AL1273" s="1466" t="s">
        <v>7172</v>
      </c>
      <c r="AM1273" s="1466" t="s">
        <v>7172</v>
      </c>
      <c r="AN1273" s="1466" t="s">
        <v>7172</v>
      </c>
      <c r="AO1273" s="1466" t="s">
        <v>7172</v>
      </c>
      <c r="AP1273" s="1466" t="s">
        <v>7172</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664"/>
      <c r="C1274" s="1133"/>
      <c r="D1274" s="67"/>
      <c r="E1274" s="1136" t="s">
        <v>1272</v>
      </c>
      <c r="F1274" s="86">
        <v>15</v>
      </c>
      <c r="G1274" s="86">
        <v>20</v>
      </c>
      <c r="H1274" s="86">
        <f>COUNTIF(HabilidadesEsenciales_Adquiridas,Tablas!E1274)</f>
        <v>0</v>
      </c>
      <c r="I1274" s="1138">
        <v>1</v>
      </c>
      <c r="J1274" s="185"/>
      <c r="K1274" s="1129"/>
      <c r="M1274" s="351"/>
      <c r="N1274" s="23"/>
      <c r="O1274" s="143" t="s">
        <v>7975</v>
      </c>
      <c r="P1274" s="1131">
        <v>5</v>
      </c>
      <c r="Q1274" s="185">
        <v>20</v>
      </c>
      <c r="R1274" s="1138">
        <f>COUNTIF(PoderesDeCriatura_Adquiridos,Tablas!O1274)</f>
        <v>0</v>
      </c>
      <c r="S1274" s="185"/>
      <c r="T1274" s="1129"/>
      <c r="U1274">
        <v>2</v>
      </c>
      <c r="W1274" s="1161" t="s">
        <v>7626</v>
      </c>
      <c r="X1274" s="319"/>
      <c r="Y1274" s="940" t="str">
        <f t="shared" si="251"/>
        <v>PodHab_Maestríasobrenatural</v>
      </c>
      <c r="Z1274" s="1460" t="s">
        <v>7900</v>
      </c>
      <c r="AA1274" s="1466" t="s">
        <v>7901</v>
      </c>
      <c r="AB1274" s="1466" t="s">
        <v>7902</v>
      </c>
      <c r="AC1274" s="1466" t="s">
        <v>7903</v>
      </c>
      <c r="AD1274" s="1466" t="s">
        <v>7904</v>
      </c>
      <c r="AE1274" s="1466" t="s">
        <v>7905</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664"/>
      <c r="C1275" s="1133"/>
      <c r="D1275" s="67"/>
      <c r="E1275" s="1136" t="s">
        <v>1273</v>
      </c>
      <c r="F1275" s="86">
        <v>15</v>
      </c>
      <c r="G1275" s="86">
        <v>10</v>
      </c>
      <c r="H1275" s="86">
        <f>COUNTIF(HabilidadesEsenciales_Adquiridas,Tablas!E1275)</f>
        <v>0</v>
      </c>
      <c r="I1275" s="1138"/>
      <c r="J1275" s="185"/>
      <c r="K1275" s="1129"/>
      <c r="M1275" s="351"/>
      <c r="N1275" s="23"/>
      <c r="O1275" s="143" t="s">
        <v>7976</v>
      </c>
      <c r="P1275" s="1131">
        <v>10</v>
      </c>
      <c r="Q1275" s="185">
        <v>30</v>
      </c>
      <c r="R1275" s="1138">
        <f>COUNTIF(PoderesDeCriatura_Adquiridos,Tablas!O1275)</f>
        <v>0</v>
      </c>
      <c r="S1275" s="185"/>
      <c r="T1275" s="1129"/>
      <c r="U1275">
        <v>2</v>
      </c>
      <c r="W1275" s="1161" t="s">
        <v>7141</v>
      </c>
      <c r="X1275" s="319"/>
      <c r="Y1275" s="940" t="str">
        <f t="shared" si="251"/>
        <v>PodHab_Magianatural</v>
      </c>
      <c r="Z1275" s="1460" t="s">
        <v>7906</v>
      </c>
      <c r="AA1275" s="1466" t="s">
        <v>2033</v>
      </c>
      <c r="AB1275" s="1466"/>
      <c r="AC1275" s="1466"/>
      <c r="AD1275" s="1466"/>
      <c r="AE1275" s="1466"/>
      <c r="AF1275" s="1466"/>
      <c r="AG1275" s="1466"/>
      <c r="AH1275" s="1466"/>
      <c r="AI1275" s="1466"/>
      <c r="AJ1275" s="1466"/>
      <c r="AK1275" s="1466"/>
      <c r="AL1275" s="1466"/>
      <c r="AM1275" s="1466"/>
      <c r="AN1275" s="1466"/>
      <c r="AO1275" s="1466"/>
      <c r="AP1275" s="1466" t="s">
        <v>7172</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664"/>
      <c r="C1276" s="1133"/>
      <c r="D1276" s="67"/>
      <c r="E1276" s="1136" t="s">
        <v>1274</v>
      </c>
      <c r="F1276" s="86">
        <v>15</v>
      </c>
      <c r="G1276" s="86">
        <v>10</v>
      </c>
      <c r="H1276" s="86">
        <f>COUNTIF(HabilidadesEsenciales_Adquiridas,Tablas!E1276)</f>
        <v>0</v>
      </c>
      <c r="I1276" s="1138"/>
      <c r="J1276" s="185"/>
      <c r="K1276" s="1129"/>
      <c r="M1276" s="351"/>
      <c r="N1276" s="23"/>
      <c r="O1276" s="143" t="s">
        <v>7977</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7172</v>
      </c>
      <c r="AN1276" s="1466" t="s">
        <v>7172</v>
      </c>
      <c r="AO1276" s="1466" t="s">
        <v>7172</v>
      </c>
      <c r="AP1276" s="1466" t="s">
        <v>7172</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664"/>
      <c r="C1277" s="1133"/>
      <c r="D1277" s="67"/>
      <c r="E1277" s="1136" t="s">
        <v>1275</v>
      </c>
      <c r="F1277" s="86">
        <v>15</v>
      </c>
      <c r="G1277" s="86">
        <v>10</v>
      </c>
      <c r="H1277" s="86">
        <f>COUNTIF(HabilidadesEsenciales_Adquiridas,Tablas!E1277)</f>
        <v>0</v>
      </c>
      <c r="I1277" s="1138"/>
      <c r="J1277" s="185"/>
      <c r="K1277" s="1129"/>
      <c r="M1277" s="351"/>
      <c r="N1277" s="23"/>
      <c r="O1277" s="143" t="s">
        <v>7978</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7172</v>
      </c>
      <c r="AN1277" s="1466" t="s">
        <v>7172</v>
      </c>
      <c r="AO1277" s="1466" t="s">
        <v>7172</v>
      </c>
      <c r="AP1277" s="1466" t="s">
        <v>7172</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664"/>
      <c r="C1278" s="1133"/>
      <c r="D1278" s="67"/>
      <c r="E1278" s="1136" t="s">
        <v>1276</v>
      </c>
      <c r="F1278" s="86">
        <v>20</v>
      </c>
      <c r="G1278" s="86">
        <v>20</v>
      </c>
      <c r="H1278" s="86">
        <f>COUNTIF(HabilidadesEsenciales_Adquiridas,Tablas!E1278)</f>
        <v>0</v>
      </c>
      <c r="I1278" s="1138"/>
      <c r="J1278" s="185"/>
      <c r="K1278" s="1129"/>
      <c r="M1278" s="351"/>
      <c r="N1278" s="23"/>
      <c r="O1278" s="143" t="s">
        <v>7979</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7172</v>
      </c>
      <c r="AC1278" s="1466" t="s">
        <v>7172</v>
      </c>
      <c r="AD1278" s="1466"/>
      <c r="AE1278" s="1462"/>
      <c r="AF1278" s="1462"/>
      <c r="AG1278" s="1462"/>
      <c r="AH1278" s="1462"/>
      <c r="AI1278" s="1462"/>
      <c r="AJ1278" s="1462"/>
      <c r="AK1278" s="1462"/>
      <c r="AL1278" s="1466" t="s">
        <v>7172</v>
      </c>
      <c r="AM1278" s="1466" t="s">
        <v>7172</v>
      </c>
      <c r="AN1278" s="1466" t="s">
        <v>7172</v>
      </c>
      <c r="AO1278" s="1466" t="s">
        <v>7172</v>
      </c>
      <c r="AP1278" s="1466" t="s">
        <v>7172</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664"/>
      <c r="C1279" s="1133"/>
      <c r="D1279" s="67"/>
      <c r="E1279" s="1136" t="s">
        <v>1277</v>
      </c>
      <c r="F1279" s="86">
        <v>20</v>
      </c>
      <c r="G1279" s="86">
        <v>10</v>
      </c>
      <c r="H1279" s="86">
        <f>COUNTIF(HabilidadesEsenciales_Adquiridas,Tablas!E1279)</f>
        <v>0</v>
      </c>
      <c r="I1279" s="1138"/>
      <c r="J1279" s="185"/>
      <c r="K1279" s="1129"/>
      <c r="M1279" s="351"/>
      <c r="N1279" s="23"/>
      <c r="O1279" s="143" t="s">
        <v>7980</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664"/>
      <c r="C1280" s="1133"/>
      <c r="D1280" s="67"/>
      <c r="E1280" s="1136" t="s">
        <v>1278</v>
      </c>
      <c r="F1280" s="86">
        <v>15</v>
      </c>
      <c r="G1280" s="86">
        <v>10</v>
      </c>
      <c r="H1280" s="86">
        <f>COUNTIF(HabilidadesEsenciales_Adquiridas,Tablas!E1280)</f>
        <v>0</v>
      </c>
      <c r="I1280" s="1138"/>
      <c r="J1280" s="185"/>
      <c r="K1280" s="1129"/>
      <c r="M1280" s="351"/>
      <c r="N1280" s="23"/>
      <c r="O1280" s="143" t="s">
        <v>7981</v>
      </c>
      <c r="P1280" s="1131">
        <v>30</v>
      </c>
      <c r="Q1280" s="185">
        <v>100</v>
      </c>
      <c r="R1280" s="1138">
        <f>COUNTIF(PoderesDeCriatura_Adquiridos,Tablas!O1280)</f>
        <v>0</v>
      </c>
      <c r="S1280" s="185"/>
      <c r="T1280" s="1129"/>
      <c r="U1280">
        <v>2</v>
      </c>
      <c r="W1280" s="1161" t="s">
        <v>7628</v>
      </c>
      <c r="X1280" s="319"/>
      <c r="Y1280" s="940" t="str">
        <f t="shared" si="251"/>
        <v>PodHab_Espaciocerrado</v>
      </c>
      <c r="Z1280" s="1460" t="s">
        <v>7907</v>
      </c>
      <c r="AA1280" s="1466" t="s">
        <v>7908</v>
      </c>
      <c r="AB1280" s="1466" t="s">
        <v>7909</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664"/>
      <c r="C1281" s="1133"/>
      <c r="D1281" s="67"/>
      <c r="E1281" s="1136" t="s">
        <v>1279</v>
      </c>
      <c r="F1281" s="86">
        <v>20</v>
      </c>
      <c r="G1281" s="86">
        <v>50</v>
      </c>
      <c r="H1281" s="86">
        <f>COUNTIF(HabilidadesEsenciales_Adquiridas,Tablas!E1281)</f>
        <v>0</v>
      </c>
      <c r="I1281" s="1138">
        <v>2</v>
      </c>
      <c r="J1281" s="185"/>
      <c r="K1281" s="1129"/>
      <c r="M1281" s="351"/>
      <c r="N1281" s="23"/>
      <c r="O1281" s="143" t="s">
        <v>7982</v>
      </c>
      <c r="P1281" s="1131">
        <v>35</v>
      </c>
      <c r="Q1281" s="185">
        <v>120</v>
      </c>
      <c r="R1281" s="1138">
        <f>COUNTIF(PoderesDeCriatura_Adquiridos,Tablas!O1281)</f>
        <v>0</v>
      </c>
      <c r="S1281" s="185"/>
      <c r="T1281" s="1129"/>
      <c r="U1281">
        <v>2</v>
      </c>
      <c r="W1281" s="1161" t="s">
        <v>7627</v>
      </c>
      <c r="X1281" s="319"/>
      <c r="Y1281" s="940" t="str">
        <f t="shared" si="251"/>
        <v>PodHab_Existenciacompacta</v>
      </c>
      <c r="Z1281" s="1460" t="s">
        <v>1981</v>
      </c>
      <c r="AA1281" s="1466" t="s">
        <v>1982</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664"/>
      <c r="C1282" s="1133"/>
      <c r="D1282" s="67"/>
      <c r="E1282" s="1136" t="s">
        <v>1280</v>
      </c>
      <c r="F1282" s="86">
        <v>20</v>
      </c>
      <c r="G1282" s="86">
        <v>10</v>
      </c>
      <c r="H1282" s="86">
        <f>COUNTIF(HabilidadesEsenciales_Adquiridas,Tablas!E1282)</f>
        <v>0</v>
      </c>
      <c r="I1282" s="1138"/>
      <c r="J1282" s="185"/>
      <c r="K1282" s="1129"/>
      <c r="M1282" s="351"/>
      <c r="N1282" s="23"/>
      <c r="O1282" s="143" t="s">
        <v>7983</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664"/>
      <c r="C1283" s="1133"/>
      <c r="D1283" s="67"/>
      <c r="E1283" s="1136" t="s">
        <v>1281</v>
      </c>
      <c r="F1283" s="86">
        <v>25</v>
      </c>
      <c r="G1283" s="86">
        <v>30</v>
      </c>
      <c r="H1283" s="86">
        <f>COUNTIF(HabilidadesEsenciales_Adquiridas,Tablas!E1283)</f>
        <v>0</v>
      </c>
      <c r="I1283" s="1138"/>
      <c r="J1283" s="185"/>
      <c r="K1283" s="1129"/>
      <c r="M1283" s="351"/>
      <c r="N1283" s="23"/>
      <c r="O1283" s="143" t="s">
        <v>7984</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664"/>
      <c r="C1284" s="1133"/>
      <c r="D1284" s="67"/>
      <c r="E1284" s="1136" t="s">
        <v>1282</v>
      </c>
      <c r="F1284" s="86">
        <v>10</v>
      </c>
      <c r="G1284" s="86">
        <v>20</v>
      </c>
      <c r="H1284" s="86">
        <f>COUNTIF(HabilidadesEsenciales_Adquiridas,Tablas!E1284)</f>
        <v>0</v>
      </c>
      <c r="I1284" s="1138"/>
      <c r="J1284" s="185"/>
      <c r="K1284" s="1129"/>
      <c r="M1284" s="351"/>
      <c r="N1284" s="23"/>
      <c r="O1284" s="143" t="s">
        <v>7985</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664"/>
      <c r="C1285" s="1133"/>
      <c r="D1285" s="67"/>
      <c r="E1285" s="1136" t="s">
        <v>1283</v>
      </c>
      <c r="F1285" s="86">
        <v>0</v>
      </c>
      <c r="G1285" s="86">
        <v>0</v>
      </c>
      <c r="H1285" s="86"/>
      <c r="I1285" s="1138"/>
      <c r="J1285" s="185"/>
      <c r="K1285" s="1129"/>
      <c r="M1285" s="351"/>
      <c r="N1285" s="23"/>
      <c r="O1285" s="143" t="s">
        <v>7986</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664"/>
      <c r="C1286" s="1133"/>
      <c r="D1286" s="67"/>
      <c r="E1286" s="1136" t="s">
        <v>1284</v>
      </c>
      <c r="F1286" s="86">
        <v>5</v>
      </c>
      <c r="G1286" s="86">
        <v>30</v>
      </c>
      <c r="H1286" s="86">
        <f>COUNTIF(HabilidadesEsenciales_Adquiridas,Tablas!E1286)</f>
        <v>0</v>
      </c>
      <c r="I1286" s="1138">
        <v>1</v>
      </c>
      <c r="J1286" s="185"/>
      <c r="K1286" s="1129"/>
      <c r="M1286" s="351"/>
      <c r="N1286" s="23"/>
      <c r="O1286" s="143" t="s">
        <v>7987</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664"/>
      <c r="C1287" s="1133"/>
      <c r="D1287" s="67"/>
      <c r="E1287" s="1136" t="s">
        <v>8382</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7988</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664"/>
      <c r="C1288" s="1133"/>
      <c r="D1288" s="67"/>
      <c r="E1288" s="1136" t="s">
        <v>8383</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7989</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664"/>
      <c r="C1289" s="1133"/>
      <c r="D1289" s="67"/>
      <c r="E1289" s="1136" t="s">
        <v>8384</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7990</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664"/>
      <c r="C1290" s="1133"/>
      <c r="D1290" s="67"/>
      <c r="E1290" s="1136" t="s">
        <v>8385</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7991</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664"/>
      <c r="C1291" s="1133"/>
      <c r="D1291" s="67"/>
      <c r="E1291" s="1136" t="s">
        <v>8386</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7992</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664"/>
      <c r="C1292" s="1133"/>
      <c r="D1292" s="67"/>
      <c r="E1292" s="1136" t="s">
        <v>8387</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7993</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664"/>
      <c r="C1293" s="1133"/>
      <c r="D1293" s="67"/>
      <c r="E1293" s="1136" t="s">
        <v>8388</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7994</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664"/>
      <c r="C1294" s="1133"/>
      <c r="D1294" s="67"/>
      <c r="E1294" s="1136" t="s">
        <v>8389</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7995</v>
      </c>
      <c r="P1294" s="1131">
        <v>20</v>
      </c>
      <c r="Q1294" s="185">
        <f>20+IF(OR(TipoDeCriatura="Entre mundos, Elemental",TipoDeCriatura="Ánima, Elemental"),10,0)</f>
        <v>20</v>
      </c>
      <c r="R1294" s="1138">
        <f>COUNTIF(PoderesDeCriatura_Adquiridos,Tablas!O1294)</f>
        <v>0</v>
      </c>
      <c r="S1294" s="185"/>
      <c r="T1294" s="1129"/>
      <c r="U1294">
        <v>2</v>
      </c>
      <c r="W1294" s="1523" t="s">
        <v>7629</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805"/>
      <c r="BL1294" s="5805"/>
      <c r="BM1294" s="5805"/>
      <c r="BN1294" s="5805"/>
      <c r="BO1294" s="5805"/>
      <c r="BP1294" s="5805"/>
      <c r="BQ1294" s="5805"/>
      <c r="BR1294" s="5805"/>
      <c r="BS1294" s="5805"/>
      <c r="BT1294" s="5805"/>
      <c r="BU1294" s="5805"/>
      <c r="BV1294" s="5805"/>
      <c r="BW1294" s="5805"/>
      <c r="BX1294" s="5805"/>
      <c r="BY1294" s="5805"/>
      <c r="BZ1294" s="5805"/>
      <c r="CA1294" s="5805"/>
      <c r="CB1294" s="5806"/>
    </row>
    <row r="1295" spans="1:80" ht="12.75" customHeight="1" x14ac:dyDescent="0.2">
      <c r="A1295" s="242">
        <v>1295</v>
      </c>
      <c r="B1295" s="5664"/>
      <c r="C1295" s="1133"/>
      <c r="D1295" s="67"/>
      <c r="E1295" s="1136" t="s">
        <v>8390</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7996</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7172</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664"/>
      <c r="C1296" s="1133"/>
      <c r="D1296" s="67"/>
      <c r="E1296" s="1136" t="s">
        <v>8391</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7997</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7172</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664"/>
      <c r="C1297" s="1133"/>
      <c r="D1297" s="67"/>
      <c r="E1297" s="1136" t="s">
        <v>8392</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7998</v>
      </c>
      <c r="P1297" s="1131">
        <v>20</v>
      </c>
      <c r="Q1297" s="185">
        <v>100</v>
      </c>
      <c r="R1297" s="1138">
        <f>COUNTIF(PoderesDeCriatura_Adquiridos,Tablas!O1297)</f>
        <v>0</v>
      </c>
      <c r="S1297" s="185"/>
      <c r="T1297" s="1129"/>
      <c r="U1297">
        <v>2</v>
      </c>
      <c r="W1297" s="1162" t="s">
        <v>1260</v>
      </c>
      <c r="X1297" s="1152"/>
      <c r="Y1297" s="940" t="str">
        <f t="shared" si="253"/>
        <v/>
      </c>
      <c r="Z1297" s="940" t="s">
        <v>7172</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664"/>
      <c r="C1298" s="1133"/>
      <c r="D1298" s="67"/>
      <c r="E1298" s="1136" t="s">
        <v>8393</v>
      </c>
      <c r="F1298" s="86">
        <v>15</v>
      </c>
      <c r="G1298" s="86">
        <v>20</v>
      </c>
      <c r="H1298" s="86">
        <f>COUNTIF(HabilidadesEsenciales_Adquiridas,Tablas!E1298)</f>
        <v>0</v>
      </c>
      <c r="I1298" s="1138">
        <v>1</v>
      </c>
      <c r="J1298" s="185"/>
      <c r="K1298" s="1129"/>
      <c r="M1298" s="351"/>
      <c r="N1298" s="23"/>
      <c r="O1298" s="143" t="s">
        <v>7999</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7172</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664"/>
      <c r="C1299" s="1133"/>
      <c r="D1299" s="67"/>
      <c r="E1299" s="1136" t="s">
        <v>8394</v>
      </c>
      <c r="F1299" s="86">
        <v>20</v>
      </c>
      <c r="G1299" s="86">
        <v>30</v>
      </c>
      <c r="H1299" s="86">
        <f>COUNTIF(HabilidadesEsenciales_Adquiridas,Tablas!E1299)</f>
        <v>0</v>
      </c>
      <c r="I1299" s="1138">
        <v>1</v>
      </c>
      <c r="J1299" s="185"/>
      <c r="K1299" s="1129"/>
      <c r="M1299" s="351"/>
      <c r="N1299" s="23"/>
      <c r="O1299" s="143" t="s">
        <v>8000</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7172</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664"/>
      <c r="C1300" s="1133"/>
      <c r="D1300" s="67"/>
      <c r="E1300" s="1136" t="s">
        <v>8395</v>
      </c>
      <c r="F1300" s="86">
        <v>25</v>
      </c>
      <c r="G1300" s="86">
        <v>40</v>
      </c>
      <c r="H1300" s="86">
        <f>COUNTIF(HabilidadesEsenciales_Adquiridas,Tablas!E1300)</f>
        <v>0</v>
      </c>
      <c r="I1300" s="1138">
        <v>1</v>
      </c>
      <c r="J1300" s="185"/>
      <c r="K1300" s="1129"/>
      <c r="M1300" s="351"/>
      <c r="N1300" s="23"/>
      <c r="O1300" s="143" t="s">
        <v>8001</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7172</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664"/>
      <c r="C1301" s="1133"/>
      <c r="D1301" s="67"/>
      <c r="E1301" s="1136" t="s">
        <v>8396</v>
      </c>
      <c r="F1301" s="86">
        <v>30</v>
      </c>
      <c r="G1301" s="86">
        <v>50</v>
      </c>
      <c r="H1301" s="86">
        <f>COUNTIF(HabilidadesEsenciales_Adquiridas,Tablas!E1301)</f>
        <v>0</v>
      </c>
      <c r="I1301" s="1138">
        <v>1</v>
      </c>
      <c r="J1301" s="185"/>
      <c r="K1301" s="1129"/>
      <c r="M1301" s="351"/>
      <c r="N1301" s="23"/>
      <c r="O1301" s="143" t="s">
        <v>8002</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7172</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664"/>
      <c r="C1302" s="1133"/>
      <c r="D1302" s="67"/>
      <c r="E1302" s="1136" t="s">
        <v>8397</v>
      </c>
      <c r="F1302" s="86">
        <v>10</v>
      </c>
      <c r="G1302" s="86">
        <v>10</v>
      </c>
      <c r="H1302" s="86">
        <f>COUNTIF(HabilidadesEsenciales_Adquiridas,Tablas!E1302)</f>
        <v>0</v>
      </c>
      <c r="I1302" s="1138">
        <v>1</v>
      </c>
      <c r="J1302" s="185"/>
      <c r="K1302" s="1129"/>
      <c r="M1302" s="351"/>
      <c r="N1302" s="23"/>
      <c r="O1302" s="143" t="s">
        <v>8003</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7172</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664"/>
      <c r="C1303" s="1133"/>
      <c r="D1303" s="67"/>
      <c r="E1303" s="1136" t="s">
        <v>8398</v>
      </c>
      <c r="F1303" s="86">
        <v>15</v>
      </c>
      <c r="G1303" s="86">
        <v>20</v>
      </c>
      <c r="H1303" s="86">
        <f>COUNTIF(HabilidadesEsenciales_Adquiridas,Tablas!E1303)</f>
        <v>0</v>
      </c>
      <c r="I1303" s="1138">
        <v>1</v>
      </c>
      <c r="J1303" s="185"/>
      <c r="K1303" s="1129"/>
      <c r="M1303" s="351"/>
      <c r="N1303" s="23"/>
      <c r="O1303" s="143" t="s">
        <v>8004</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7172</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664"/>
      <c r="C1304" s="1133"/>
      <c r="D1304" s="67"/>
      <c r="E1304" s="1136" t="s">
        <v>8399</v>
      </c>
      <c r="F1304" s="86">
        <v>20</v>
      </c>
      <c r="G1304" s="86">
        <v>30</v>
      </c>
      <c r="H1304" s="86">
        <f>COUNTIF(HabilidadesEsenciales_Adquiridas,Tablas!E1304)</f>
        <v>0</v>
      </c>
      <c r="I1304" s="1138">
        <v>1</v>
      </c>
      <c r="J1304" s="185"/>
      <c r="K1304" s="1129"/>
      <c r="M1304" s="351"/>
      <c r="N1304" s="23"/>
      <c r="O1304" s="143" t="s">
        <v>8005</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7172</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664"/>
      <c r="C1305" s="1133"/>
      <c r="D1305" s="67"/>
      <c r="E1305" s="1136" t="s">
        <v>8400</v>
      </c>
      <c r="F1305" s="86">
        <v>25</v>
      </c>
      <c r="G1305" s="86">
        <v>40</v>
      </c>
      <c r="H1305" s="86">
        <f>COUNTIF(HabilidadesEsenciales_Adquiridas,Tablas!E1305)</f>
        <v>0</v>
      </c>
      <c r="I1305" s="1138">
        <v>1</v>
      </c>
      <c r="J1305" s="185"/>
      <c r="K1305" s="1129"/>
      <c r="M1305" s="351"/>
      <c r="N1305" s="23"/>
      <c r="O1305" s="143" t="s">
        <v>8006</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7172</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664"/>
      <c r="C1306" s="1133"/>
      <c r="D1306" s="67"/>
      <c r="E1306" s="1136" t="s">
        <v>8401</v>
      </c>
      <c r="F1306" s="86">
        <v>30</v>
      </c>
      <c r="G1306" s="86">
        <v>50</v>
      </c>
      <c r="H1306" s="86">
        <f>COUNTIF(HabilidadesEsenciales_Adquiridas,Tablas!E1306)</f>
        <v>0</v>
      </c>
      <c r="I1306" s="1138">
        <v>1</v>
      </c>
      <c r="J1306" s="185"/>
      <c r="K1306" s="1129"/>
      <c r="M1306" s="351"/>
      <c r="N1306" s="23"/>
      <c r="O1306" s="143" t="s">
        <v>8007</v>
      </c>
      <c r="P1306" s="1131">
        <v>10</v>
      </c>
      <c r="Q1306" s="185">
        <f>20+IF(OR(TipoDeCriatura="Entre mundos, Elemental",TipoDeCriatura="Ánima, Elemental"),10,0)</f>
        <v>20</v>
      </c>
      <c r="R1306" s="1138">
        <f>COUNTIF(PoderesDeCriatura_Adquiridos,Tablas!O1306)</f>
        <v>0</v>
      </c>
      <c r="S1306" s="185"/>
      <c r="T1306" s="1129"/>
      <c r="U1306">
        <v>2</v>
      </c>
      <c r="W1306" s="1162" t="s">
        <v>8339</v>
      </c>
      <c r="X1306" s="1152"/>
      <c r="Y1306" s="940" t="str">
        <f t="shared" si="253"/>
        <v>PodHab_CaracterísticaIncrementada</v>
      </c>
      <c r="Z1306" s="940" t="s">
        <v>8450</v>
      </c>
      <c r="AA1306" s="940" t="s">
        <v>8451</v>
      </c>
      <c r="AB1306" s="940" t="s">
        <v>8452</v>
      </c>
      <c r="AC1306" s="940" t="s">
        <v>8453</v>
      </c>
      <c r="AD1306" s="940" t="s">
        <v>8454</v>
      </c>
      <c r="AE1306" s="940" t="s">
        <v>8455</v>
      </c>
      <c r="AF1306" s="940" t="s">
        <v>8456</v>
      </c>
      <c r="AG1306" s="940" t="s">
        <v>8457</v>
      </c>
      <c r="AH1306" s="940" t="s">
        <v>8458</v>
      </c>
      <c r="AI1306" s="940" t="s">
        <v>8459</v>
      </c>
      <c r="AJ1306" s="940" t="s">
        <v>8460</v>
      </c>
      <c r="AK1306" s="940" t="s">
        <v>8461</v>
      </c>
      <c r="AL1306" s="940" t="s">
        <v>8462</v>
      </c>
      <c r="AM1306" s="940" t="s">
        <v>8463</v>
      </c>
      <c r="AN1306" s="940" t="s">
        <v>8464</v>
      </c>
      <c r="AO1306" s="940" t="s">
        <v>8465</v>
      </c>
      <c r="AP1306" s="940" t="s">
        <v>8466</v>
      </c>
      <c r="AQ1306" s="1157" t="s">
        <v>8467</v>
      </c>
      <c r="AR1306" s="1157" t="s">
        <v>8468</v>
      </c>
      <c r="AS1306" s="1157" t="s">
        <v>8469</v>
      </c>
      <c r="AT1306" s="1157" t="s">
        <v>8470</v>
      </c>
      <c r="AU1306" s="1157" t="s">
        <v>8471</v>
      </c>
      <c r="AV1306" s="1157" t="s">
        <v>8472</v>
      </c>
      <c r="AW1306" s="1157" t="s">
        <v>8473</v>
      </c>
      <c r="AX1306" s="1157" t="s">
        <v>8474</v>
      </c>
      <c r="AY1306" s="1157" t="s">
        <v>8475</v>
      </c>
      <c r="AZ1306" s="1157" t="s">
        <v>8476</v>
      </c>
      <c r="BA1306" s="1157" t="s">
        <v>8477</v>
      </c>
      <c r="BB1306" s="1157" t="s">
        <v>8478</v>
      </c>
      <c r="BC1306" s="1157" t="s">
        <v>8479</v>
      </c>
      <c r="BD1306" s="1157" t="s">
        <v>8480</v>
      </c>
      <c r="BE1306" s="1157" t="s">
        <v>8481</v>
      </c>
      <c r="BF1306" s="1157" t="s">
        <v>8482</v>
      </c>
      <c r="BG1306" s="1157" t="s">
        <v>8483</v>
      </c>
      <c r="BH1306" s="1157" t="s">
        <v>8484</v>
      </c>
      <c r="BI1306" s="1157" t="s">
        <v>8485</v>
      </c>
      <c r="BJ1306" s="1157" t="s">
        <v>8486</v>
      </c>
      <c r="BK1306" s="1157" t="s">
        <v>8487</v>
      </c>
      <c r="BL1306" s="1157" t="s">
        <v>8488</v>
      </c>
      <c r="BM1306" s="1157" t="s">
        <v>8489</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664"/>
      <c r="C1307" s="1133"/>
      <c r="D1307" s="67"/>
      <c r="E1307" s="1136" t="s">
        <v>8402</v>
      </c>
      <c r="F1307" s="86">
        <v>10</v>
      </c>
      <c r="G1307" s="86">
        <v>10</v>
      </c>
      <c r="H1307" s="86">
        <f>COUNTIF(HabilidadesEsenciales_Adquiridas,Tablas!E1307)</f>
        <v>0</v>
      </c>
      <c r="I1307" s="1138">
        <v>1</v>
      </c>
      <c r="J1307" s="185"/>
      <c r="K1307" s="1129"/>
      <c r="M1307" s="351"/>
      <c r="N1307" s="23"/>
      <c r="O1307" s="143" t="s">
        <v>8008</v>
      </c>
      <c r="P1307" s="1131">
        <v>15</v>
      </c>
      <c r="Q1307" s="185">
        <f>50+IF(OR(TipoDeCriatura="Entre mundos, Elemental",TipoDeCriatura="Ánima, Elemental"),10,0)</f>
        <v>50</v>
      </c>
      <c r="R1307" s="1138">
        <f>COUNTIF(PoderesDeCriatura_Adquiridos,Tablas!O1307)</f>
        <v>0</v>
      </c>
      <c r="S1307" s="185"/>
      <c r="T1307" s="1129"/>
      <c r="U1307">
        <v>2</v>
      </c>
      <c r="W1307" s="1162" t="s">
        <v>2309</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664"/>
      <c r="C1308" s="1133"/>
      <c r="D1308" s="67"/>
      <c r="E1308" s="1136" t="s">
        <v>8403</v>
      </c>
      <c r="F1308" s="86">
        <v>15</v>
      </c>
      <c r="G1308" s="86">
        <v>20</v>
      </c>
      <c r="H1308" s="86">
        <f>COUNTIF(HabilidadesEsenciales_Adquiridas,Tablas!E1308)</f>
        <v>0</v>
      </c>
      <c r="I1308" s="1138">
        <v>1</v>
      </c>
      <c r="J1308" s="185"/>
      <c r="K1308" s="1129"/>
      <c r="M1308" s="351"/>
      <c r="N1308" s="23"/>
      <c r="O1308" s="143" t="s">
        <v>8009</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7172</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664"/>
      <c r="C1309" s="1133"/>
      <c r="D1309" s="67"/>
      <c r="E1309" s="1136" t="s">
        <v>8404</v>
      </c>
      <c r="F1309" s="86">
        <v>20</v>
      </c>
      <c r="G1309" s="86">
        <v>30</v>
      </c>
      <c r="H1309" s="86">
        <f>COUNTIF(HabilidadesEsenciales_Adquiridas,Tablas!E1309)</f>
        <v>0</v>
      </c>
      <c r="I1309" s="1138">
        <v>1</v>
      </c>
      <c r="J1309" s="185"/>
      <c r="K1309" s="1129"/>
      <c r="M1309" s="351"/>
      <c r="N1309" s="23"/>
      <c r="O1309" s="143" t="s">
        <v>8010</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7172</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664"/>
      <c r="C1310" s="1133"/>
      <c r="D1310" s="67"/>
      <c r="E1310" s="1136" t="s">
        <v>8405</v>
      </c>
      <c r="F1310" s="86">
        <v>25</v>
      </c>
      <c r="G1310" s="86">
        <v>40</v>
      </c>
      <c r="H1310" s="86">
        <f>COUNTIF(HabilidadesEsenciales_Adquiridas,Tablas!E1310)</f>
        <v>0</v>
      </c>
      <c r="I1310" s="1138">
        <v>1</v>
      </c>
      <c r="J1310" s="185"/>
      <c r="K1310" s="1129"/>
      <c r="M1310" s="351"/>
      <c r="N1310" s="23"/>
      <c r="O1310" s="143" t="s">
        <v>8011</v>
      </c>
      <c r="P1310" s="1131">
        <v>10</v>
      </c>
      <c r="Q1310" s="185">
        <v>-20</v>
      </c>
      <c r="R1310" s="1138">
        <f>COUNTIF(PoderesDeCriatura_Adquiridos,Tablas!O1310)</f>
        <v>0</v>
      </c>
      <c r="S1310" s="185"/>
      <c r="T1310" s="1129"/>
      <c r="U1310">
        <v>2</v>
      </c>
      <c r="W1310" s="1161" t="s">
        <v>1691</v>
      </c>
      <c r="X1310" s="1152"/>
      <c r="Y1310" s="940" t="str">
        <f t="shared" si="254"/>
        <v/>
      </c>
      <c r="Z1310" s="940" t="s">
        <v>7172</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664"/>
      <c r="C1311" s="1133"/>
      <c r="D1311" s="67"/>
      <c r="E1311" s="1136" t="s">
        <v>8406</v>
      </c>
      <c r="F1311" s="86">
        <v>30</v>
      </c>
      <c r="G1311" s="86">
        <v>50</v>
      </c>
      <c r="H1311" s="86">
        <f>COUNTIF(HabilidadesEsenciales_Adquiridas,Tablas!E1311)</f>
        <v>0</v>
      </c>
      <c r="I1311" s="1138">
        <v>1</v>
      </c>
      <c r="J1311" s="185"/>
      <c r="K1311" s="1129"/>
      <c r="M1311" s="351"/>
      <c r="N1311" s="23"/>
      <c r="O1311" s="1" t="s">
        <v>8012</v>
      </c>
      <c r="P1311" s="1131">
        <v>0</v>
      </c>
      <c r="Q1311" s="185">
        <v>10</v>
      </c>
      <c r="R1311" s="1138">
        <f>COUNTIF(PoderesDeCriatura_Adquiridos,Tablas!O1311)</f>
        <v>0</v>
      </c>
      <c r="S1311" s="185"/>
      <c r="T1311" s="1129"/>
      <c r="W1311" s="1161" t="s">
        <v>1281</v>
      </c>
      <c r="X1311" s="1152"/>
      <c r="Y1311" s="940" t="str">
        <f t="shared" si="254"/>
        <v/>
      </c>
      <c r="Z1311" s="940" t="s">
        <v>7172</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664"/>
      <c r="C1312" s="1133"/>
      <c r="D1312" s="67"/>
      <c r="E1312" s="1136" t="s">
        <v>8407</v>
      </c>
      <c r="F1312" s="86">
        <v>10</v>
      </c>
      <c r="G1312" s="86">
        <v>10</v>
      </c>
      <c r="H1312" s="86">
        <f>COUNTIF(HabilidadesEsenciales_Adquiridas,Tablas!E1312)</f>
        <v>0</v>
      </c>
      <c r="I1312" s="1138">
        <v>1</v>
      </c>
      <c r="J1312" s="185"/>
      <c r="K1312" s="1129"/>
      <c r="M1312" s="351"/>
      <c r="N1312" s="23"/>
      <c r="O1312" s="143" t="s">
        <v>8013</v>
      </c>
      <c r="P1312" s="1131">
        <v>0</v>
      </c>
      <c r="Q1312" s="185">
        <v>20</v>
      </c>
      <c r="R1312" s="1138">
        <f>COUNTIF(PoderesDeCriatura_Adquiridos,Tablas!O1312)</f>
        <v>0</v>
      </c>
      <c r="S1312" s="185"/>
      <c r="T1312" s="1129"/>
      <c r="W1312" s="1161" t="s">
        <v>1280</v>
      </c>
      <c r="X1312" s="1152"/>
      <c r="Y1312" s="940" t="str">
        <f t="shared" si="254"/>
        <v/>
      </c>
      <c r="Z1312" s="940" t="s">
        <v>7172</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664"/>
      <c r="C1313" s="1133"/>
      <c r="D1313" s="67"/>
      <c r="E1313" s="1136" t="s">
        <v>8408</v>
      </c>
      <c r="F1313" s="86">
        <v>15</v>
      </c>
      <c r="G1313" s="86">
        <v>20</v>
      </c>
      <c r="H1313" s="86">
        <f>COUNTIF(HabilidadesEsenciales_Adquiridas,Tablas!E1313)</f>
        <v>0</v>
      </c>
      <c r="I1313" s="1138">
        <v>1</v>
      </c>
      <c r="J1313" s="185"/>
      <c r="K1313" s="1129"/>
      <c r="M1313" s="351"/>
      <c r="N1313" s="23"/>
      <c r="O1313" s="143" t="s">
        <v>8014</v>
      </c>
      <c r="P1313" s="1131">
        <v>0</v>
      </c>
      <c r="Q1313" s="185">
        <v>30</v>
      </c>
      <c r="R1313" s="1138">
        <f>COUNTIF(PoderesDeCriatura_Adquiridos,Tablas!O1313)</f>
        <v>0</v>
      </c>
      <c r="S1313" s="185"/>
      <c r="T1313" s="1129"/>
      <c r="W1313" s="1161" t="s">
        <v>1277</v>
      </c>
      <c r="X1313" s="1152"/>
      <c r="Y1313" s="940" t="str">
        <f t="shared" si="254"/>
        <v/>
      </c>
      <c r="Z1313" s="940" t="s">
        <v>7172</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664"/>
      <c r="C1314" s="1133"/>
      <c r="D1314" s="67"/>
      <c r="E1314" s="1136" t="s">
        <v>8409</v>
      </c>
      <c r="F1314" s="86">
        <v>20</v>
      </c>
      <c r="G1314" s="86">
        <v>30</v>
      </c>
      <c r="H1314" s="86">
        <f>COUNTIF(HabilidadesEsenciales_Adquiridas,Tablas!E1314)</f>
        <v>0</v>
      </c>
      <c r="I1314" s="1138">
        <v>1</v>
      </c>
      <c r="J1314" s="185"/>
      <c r="K1314" s="1129"/>
      <c r="M1314" s="351"/>
      <c r="N1314" s="23"/>
      <c r="O1314" s="143" t="s">
        <v>8015</v>
      </c>
      <c r="P1314" s="1131">
        <v>5</v>
      </c>
      <c r="Q1314" s="185">
        <v>40</v>
      </c>
      <c r="R1314" s="1138">
        <f>COUNTIF(PoderesDeCriatura_Adquiridos,Tablas!O1314)</f>
        <v>0</v>
      </c>
      <c r="S1314" s="185"/>
      <c r="T1314" s="1129"/>
      <c r="W1314" s="1161" t="s">
        <v>1278</v>
      </c>
      <c r="X1314" s="1152"/>
      <c r="Y1314" s="940" t="str">
        <f t="shared" si="254"/>
        <v/>
      </c>
      <c r="Z1314" s="940" t="s">
        <v>7172</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664"/>
      <c r="C1315" s="1133"/>
      <c r="D1315" s="67"/>
      <c r="E1315" s="1136" t="s">
        <v>8410</v>
      </c>
      <c r="F1315" s="86">
        <v>25</v>
      </c>
      <c r="G1315" s="86">
        <v>40</v>
      </c>
      <c r="H1315" s="86">
        <f>COUNTIF(HabilidadesEsenciales_Adquiridas,Tablas!E1315)</f>
        <v>0</v>
      </c>
      <c r="I1315" s="1138">
        <v>1</v>
      </c>
      <c r="J1315" s="185"/>
      <c r="K1315" s="1129"/>
      <c r="M1315" s="351"/>
      <c r="N1315" s="23"/>
      <c r="O1315" s="143" t="s">
        <v>8016</v>
      </c>
      <c r="P1315" s="1131">
        <v>5</v>
      </c>
      <c r="Q1315" s="185">
        <v>50</v>
      </c>
      <c r="R1315" s="1138">
        <f>COUNTIF(PoderesDeCriatura_Adquiridos,Tablas!O1315)</f>
        <v>0</v>
      </c>
      <c r="S1315" s="185"/>
      <c r="T1315" s="1129"/>
      <c r="W1315" s="1161" t="s">
        <v>1276</v>
      </c>
      <c r="X1315" s="1152"/>
      <c r="Y1315" s="940" t="str">
        <f t="shared" si="254"/>
        <v/>
      </c>
      <c r="Z1315" s="940" t="s">
        <v>7172</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664"/>
      <c r="C1316" s="1133"/>
      <c r="D1316" s="67"/>
      <c r="E1316" s="1136" t="s">
        <v>8411</v>
      </c>
      <c r="F1316" s="86">
        <v>30</v>
      </c>
      <c r="G1316" s="86">
        <v>50</v>
      </c>
      <c r="H1316" s="86">
        <f>COUNTIF(HabilidadesEsenciales_Adquiridas,Tablas!E1316)</f>
        <v>0</v>
      </c>
      <c r="I1316" s="1138">
        <v>1</v>
      </c>
      <c r="J1316" s="185"/>
      <c r="K1316" s="1129"/>
      <c r="M1316" s="351"/>
      <c r="N1316" s="23"/>
      <c r="O1316" s="143" t="s">
        <v>8017</v>
      </c>
      <c r="P1316" s="1131">
        <v>10</v>
      </c>
      <c r="Q1316" s="185">
        <v>60</v>
      </c>
      <c r="R1316" s="1138">
        <f>COUNTIF(PoderesDeCriatura_Adquiridos,Tablas!O1316)</f>
        <v>0</v>
      </c>
      <c r="S1316" s="185"/>
      <c r="T1316" s="1129"/>
      <c r="W1316" s="1161" t="s">
        <v>1282</v>
      </c>
      <c r="X1316" s="1152"/>
      <c r="Y1316" s="940" t="str">
        <f t="shared" si="254"/>
        <v/>
      </c>
      <c r="Z1316" s="940" t="s">
        <v>7172</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664"/>
      <c r="C1317" s="1133"/>
      <c r="D1317" s="67"/>
      <c r="E1317" s="1136" t="s">
        <v>8412</v>
      </c>
      <c r="F1317" s="86">
        <v>10</v>
      </c>
      <c r="G1317" s="86">
        <v>10</v>
      </c>
      <c r="H1317" s="86">
        <f>COUNTIF(HabilidadesEsenciales_Adquiridas,Tablas!E1317)</f>
        <v>0</v>
      </c>
      <c r="I1317" s="1138">
        <v>1</v>
      </c>
      <c r="J1317" s="185"/>
      <c r="K1317" s="1129"/>
      <c r="M1317" s="351"/>
      <c r="N1317" s="23"/>
      <c r="O1317" s="143" t="s">
        <v>8018</v>
      </c>
      <c r="P1317" s="1131">
        <v>20</v>
      </c>
      <c r="Q1317" s="185">
        <v>70</v>
      </c>
      <c r="R1317" s="1138">
        <f>COUNTIF(PoderesDeCriatura_Adquiridos,Tablas!O1317)</f>
        <v>0</v>
      </c>
      <c r="S1317" s="185"/>
      <c r="T1317" s="1129"/>
      <c r="W1317" s="1161" t="s">
        <v>1275</v>
      </c>
      <c r="X1317" s="1152"/>
      <c r="Y1317" s="940" t="str">
        <f t="shared" si="254"/>
        <v/>
      </c>
      <c r="Z1317" s="940" t="s">
        <v>7172</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664"/>
      <c r="C1318" s="1133"/>
      <c r="D1318" s="67"/>
      <c r="E1318" s="1136" t="s">
        <v>8413</v>
      </c>
      <c r="F1318" s="86">
        <v>15</v>
      </c>
      <c r="G1318" s="86">
        <v>20</v>
      </c>
      <c r="H1318" s="86">
        <f>COUNTIF(HabilidadesEsenciales_Adquiridas,Tablas!E1318)</f>
        <v>0</v>
      </c>
      <c r="I1318" s="1138">
        <v>1</v>
      </c>
      <c r="J1318" s="185"/>
      <c r="K1318" s="1129"/>
      <c r="M1318" s="351"/>
      <c r="N1318" s="23"/>
      <c r="O1318" s="143" t="s">
        <v>8019</v>
      </c>
      <c r="P1318" s="1131">
        <v>30</v>
      </c>
      <c r="Q1318" s="185">
        <v>80</v>
      </c>
      <c r="R1318" s="1138">
        <f>COUNTIF(PoderesDeCriatura_Adquiridos,Tablas!O1318)</f>
        <v>0</v>
      </c>
      <c r="S1318" s="185"/>
      <c r="T1318" s="1129"/>
      <c r="W1318" s="1161" t="s">
        <v>1273</v>
      </c>
      <c r="X1318" s="1152"/>
      <c r="Y1318" s="940" t="str">
        <f t="shared" si="254"/>
        <v/>
      </c>
      <c r="Z1318" s="940" t="s">
        <v>7172</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664"/>
      <c r="C1319" s="1133"/>
      <c r="D1319" s="67"/>
      <c r="E1319" s="1136" t="s">
        <v>8414</v>
      </c>
      <c r="F1319" s="86">
        <v>20</v>
      </c>
      <c r="G1319" s="86">
        <v>30</v>
      </c>
      <c r="H1319" s="86">
        <f>COUNTIF(HabilidadesEsenciales_Adquiridas,Tablas!E1319)</f>
        <v>0</v>
      </c>
      <c r="I1319" s="1138">
        <v>1</v>
      </c>
      <c r="J1319" s="185"/>
      <c r="K1319" s="1129"/>
      <c r="M1319" s="351"/>
      <c r="N1319" s="23"/>
      <c r="O1319" s="143" t="s">
        <v>8020</v>
      </c>
      <c r="P1319" s="1131">
        <v>30</v>
      </c>
      <c r="Q1319" s="185">
        <v>90</v>
      </c>
      <c r="R1319" s="1138">
        <f>COUNTIF(PoderesDeCriatura_Adquiridos,Tablas!O1319)</f>
        <v>0</v>
      </c>
      <c r="S1319" s="185"/>
      <c r="T1319" s="1129"/>
      <c r="W1319" s="1161" t="s">
        <v>1274</v>
      </c>
      <c r="X1319" s="1152"/>
      <c r="Y1319" s="940" t="str">
        <f t="shared" si="254"/>
        <v/>
      </c>
      <c r="Z1319" s="940" t="s">
        <v>7172</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664"/>
      <c r="C1320" s="1133"/>
      <c r="D1320" s="67"/>
      <c r="E1320" s="1136" t="s">
        <v>8415</v>
      </c>
      <c r="F1320" s="86">
        <v>25</v>
      </c>
      <c r="G1320" s="86">
        <v>40</v>
      </c>
      <c r="H1320" s="86">
        <f>COUNTIF(HabilidadesEsenciales_Adquiridas,Tablas!E1320)</f>
        <v>0</v>
      </c>
      <c r="I1320" s="1138">
        <v>1</v>
      </c>
      <c r="J1320" s="185"/>
      <c r="K1320" s="1129"/>
      <c r="M1320" s="351"/>
      <c r="N1320" s="23"/>
      <c r="O1320" s="143" t="s">
        <v>8021</v>
      </c>
      <c r="P1320" s="1131">
        <v>40</v>
      </c>
      <c r="Q1320" s="185">
        <v>100</v>
      </c>
      <c r="R1320" s="1138">
        <f>COUNTIF(PoderesDeCriatura_Adquiridos,Tablas!O1320)</f>
        <v>0</v>
      </c>
      <c r="S1320" s="185"/>
      <c r="T1320" s="1129"/>
      <c r="W1320" s="1161" t="s">
        <v>1258</v>
      </c>
      <c r="X1320" s="1152"/>
      <c r="Y1320" s="940" t="str">
        <f t="shared" si="254"/>
        <v/>
      </c>
      <c r="Z1320" s="940" t="s">
        <v>7172</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664"/>
      <c r="C1321" s="1133"/>
      <c r="D1321" s="67"/>
      <c r="E1321" s="1136" t="s">
        <v>8416</v>
      </c>
      <c r="F1321" s="86">
        <v>30</v>
      </c>
      <c r="G1321" s="86">
        <v>50</v>
      </c>
      <c r="H1321" s="86">
        <f>COUNTIF(HabilidadesEsenciales_Adquiridas,Tablas!E1321)</f>
        <v>0</v>
      </c>
      <c r="I1321" s="1138">
        <v>1</v>
      </c>
      <c r="J1321" s="185"/>
      <c r="K1321" s="1129"/>
      <c r="M1321" s="351"/>
      <c r="N1321" s="23"/>
      <c r="O1321" s="143" t="s">
        <v>8022</v>
      </c>
      <c r="P1321" s="1131">
        <v>0</v>
      </c>
      <c r="Q1321" s="185">
        <v>10</v>
      </c>
      <c r="R1321" s="1138">
        <f>COUNTIF(PoderesDeCriatura_Adquiridos,Tablas!O1321)</f>
        <v>0</v>
      </c>
      <c r="S1321" s="185"/>
      <c r="T1321" s="1129"/>
      <c r="W1321" s="1161" t="s">
        <v>1270</v>
      </c>
      <c r="X1321" s="1152"/>
      <c r="Y1321" s="940" t="str">
        <f t="shared" si="254"/>
        <v/>
      </c>
      <c r="Z1321" s="940" t="s">
        <v>7172</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664"/>
      <c r="C1322" s="1133"/>
      <c r="D1322" s="67"/>
      <c r="E1322" s="1136" t="s">
        <v>8417</v>
      </c>
      <c r="F1322" s="86">
        <v>10</v>
      </c>
      <c r="G1322" s="86">
        <v>10</v>
      </c>
      <c r="H1322" s="86">
        <f>COUNTIF(HabilidadesEsenciales_Adquiridas,Tablas!E1322)</f>
        <v>0</v>
      </c>
      <c r="I1322" s="1138">
        <v>1</v>
      </c>
      <c r="J1322" s="185"/>
      <c r="K1322" s="1129"/>
      <c r="M1322" s="351"/>
      <c r="N1322" s="23"/>
      <c r="O1322" s="143" t="s">
        <v>8023</v>
      </c>
      <c r="P1322" s="1131">
        <v>0</v>
      </c>
      <c r="Q1322" s="185">
        <v>20</v>
      </c>
      <c r="R1322" s="1138">
        <f>COUNTIF(PoderesDeCriatura_Adquiridos,Tablas!O1322)</f>
        <v>0</v>
      </c>
      <c r="S1322" s="185"/>
      <c r="T1322" s="1129"/>
      <c r="W1322" s="1161" t="s">
        <v>1261</v>
      </c>
      <c r="X1322" s="1152"/>
      <c r="Y1322" s="940" t="str">
        <f t="shared" si="254"/>
        <v/>
      </c>
      <c r="Z1322" s="940" t="s">
        <v>7172</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664"/>
      <c r="C1323" s="1133"/>
      <c r="D1323" s="67"/>
      <c r="E1323" s="1136" t="s">
        <v>8418</v>
      </c>
      <c r="F1323" s="86">
        <v>15</v>
      </c>
      <c r="G1323" s="86">
        <v>20</v>
      </c>
      <c r="H1323" s="86">
        <f>COUNTIF(HabilidadesEsenciales_Adquiridas,Tablas!E1323)</f>
        <v>0</v>
      </c>
      <c r="I1323" s="1138">
        <v>1</v>
      </c>
      <c r="J1323" s="185"/>
      <c r="K1323" s="1129"/>
      <c r="M1323" s="351"/>
      <c r="N1323" s="23"/>
      <c r="O1323" s="143" t="s">
        <v>8024</v>
      </c>
      <c r="P1323" s="1131">
        <v>0</v>
      </c>
      <c r="Q1323" s="185">
        <v>30</v>
      </c>
      <c r="R1323" s="1138">
        <f>COUNTIF(PoderesDeCriatura_Adquiridos,Tablas!O1323)</f>
        <v>0</v>
      </c>
      <c r="S1323" s="185"/>
      <c r="T1323" s="1129"/>
      <c r="W1323" s="1161" t="s">
        <v>1271</v>
      </c>
      <c r="X1323" s="1152"/>
      <c r="Y1323" s="940" t="str">
        <f t="shared" si="254"/>
        <v/>
      </c>
      <c r="Z1323" s="940" t="s">
        <v>7172</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664"/>
      <c r="C1324" s="1133"/>
      <c r="D1324" s="67"/>
      <c r="E1324" s="1136" t="s">
        <v>8419</v>
      </c>
      <c r="F1324" s="86">
        <v>20</v>
      </c>
      <c r="G1324" s="86">
        <v>30</v>
      </c>
      <c r="H1324" s="86">
        <f>COUNTIF(HabilidadesEsenciales_Adquiridas,Tablas!E1324)</f>
        <v>0</v>
      </c>
      <c r="I1324" s="1138">
        <v>1</v>
      </c>
      <c r="J1324" s="185"/>
      <c r="K1324" s="1129"/>
      <c r="M1324" s="351"/>
      <c r="N1324" s="23"/>
      <c r="O1324" s="143" t="s">
        <v>8025</v>
      </c>
      <c r="P1324" s="1131">
        <v>10</v>
      </c>
      <c r="Q1324" s="185">
        <v>40</v>
      </c>
      <c r="R1324" s="1138">
        <f>COUNTIF(PoderesDeCriatura_Adquiridos,Tablas!O1324)</f>
        <v>0</v>
      </c>
      <c r="S1324" s="185"/>
      <c r="T1324" s="1129"/>
      <c r="W1324" s="1161" t="s">
        <v>7582</v>
      </c>
      <c r="X1324" s="1152"/>
      <c r="Y1324" s="940" t="str">
        <f t="shared" si="254"/>
        <v>PodHab_Tamañononatural</v>
      </c>
      <c r="Z1324" s="940" t="s">
        <v>2956</v>
      </c>
      <c r="AA1324" s="940" t="s">
        <v>2917</v>
      </c>
      <c r="AB1324" s="940" t="s">
        <v>2918</v>
      </c>
      <c r="AC1324" s="940" t="s">
        <v>3223</v>
      </c>
      <c r="AD1324" s="940" t="s">
        <v>7125</v>
      </c>
      <c r="AE1324" s="940" t="s">
        <v>8490</v>
      </c>
      <c r="AF1324" s="940" t="s">
        <v>8491</v>
      </c>
      <c r="AG1324" s="940" t="s">
        <v>8492</v>
      </c>
      <c r="AH1324" s="940" t="s">
        <v>8493</v>
      </c>
      <c r="AI1324" s="940" t="s">
        <v>8494</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664"/>
      <c r="C1325" s="1133"/>
      <c r="D1325" s="67"/>
      <c r="E1325" s="1136" t="s">
        <v>8420</v>
      </c>
      <c r="F1325" s="86">
        <v>25</v>
      </c>
      <c r="G1325" s="86">
        <v>40</v>
      </c>
      <c r="H1325" s="86">
        <f>COUNTIF(HabilidadesEsenciales_Adquiridas,Tablas!E1325)</f>
        <v>0</v>
      </c>
      <c r="I1325" s="1138">
        <v>1</v>
      </c>
      <c r="J1325" s="185"/>
      <c r="K1325" s="1129"/>
      <c r="M1325" s="351"/>
      <c r="N1325" s="23"/>
      <c r="O1325" s="143" t="s">
        <v>8026</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664"/>
      <c r="C1326" s="1133"/>
      <c r="D1326" s="67"/>
      <c r="E1326" s="1136" t="s">
        <v>8421</v>
      </c>
      <c r="F1326" s="86">
        <v>30</v>
      </c>
      <c r="G1326" s="86">
        <v>50</v>
      </c>
      <c r="H1326" s="86">
        <f>COUNTIF(HabilidadesEsenciales_Adquiridas,Tablas!E1326)</f>
        <v>0</v>
      </c>
      <c r="I1326" s="1138">
        <v>1</v>
      </c>
      <c r="J1326" s="185"/>
      <c r="K1326" s="1129"/>
      <c r="M1326" s="351"/>
      <c r="N1326" s="23"/>
      <c r="O1326" s="143" t="s">
        <v>8027</v>
      </c>
      <c r="P1326" s="1131">
        <v>25</v>
      </c>
      <c r="Q1326" s="185">
        <v>80</v>
      </c>
      <c r="R1326" s="1138">
        <f>COUNTIF(PoderesDeCriatura_Adquiridos,Tablas!O1326)</f>
        <v>0</v>
      </c>
      <c r="S1326" s="185"/>
      <c r="T1326" s="1129"/>
      <c r="W1326" s="1161" t="s">
        <v>1283</v>
      </c>
      <c r="X1326" s="1152"/>
      <c r="Y1326" s="940" t="str">
        <f>IF(Z1326="","",SUBSTITUTE("PodHab_"&amp;W1326," ",""))</f>
        <v/>
      </c>
      <c r="Z1326" s="940" t="s">
        <v>7172</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664"/>
      <c r="C1327" s="1133"/>
      <c r="D1327" s="67"/>
      <c r="E1327" s="1136" t="s">
        <v>8422</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7639</v>
      </c>
      <c r="X1327" s="1152"/>
      <c r="Y1327" s="940" t="str">
        <f>IF(Z1327="","",SUBSTITUTE("PodHab_"&amp;W1327," ",""))</f>
        <v>PodHab_Con.Naturaldevía</v>
      </c>
      <c r="Z1327" s="940" t="s">
        <v>8495</v>
      </c>
      <c r="AA1327" s="940" t="s">
        <v>8496</v>
      </c>
      <c r="AB1327" s="940" t="s">
        <v>8497</v>
      </c>
      <c r="AC1327" s="940" t="s">
        <v>8498</v>
      </c>
      <c r="AD1327" s="940" t="s">
        <v>8499</v>
      </c>
      <c r="AE1327" s="940" t="s">
        <v>8500</v>
      </c>
      <c r="AF1327" s="940" t="s">
        <v>8501</v>
      </c>
      <c r="AG1327" s="940" t="s">
        <v>8502</v>
      </c>
      <c r="AH1327" s="940" t="s">
        <v>8503</v>
      </c>
      <c r="AI1327" s="940" t="s">
        <v>8504</v>
      </c>
      <c r="AJ1327" s="940" t="s">
        <v>8505</v>
      </c>
      <c r="AK1327" s="940" t="s">
        <v>8506</v>
      </c>
      <c r="AL1327" s="940" t="s">
        <v>8507</v>
      </c>
      <c r="AM1327" s="940" t="s">
        <v>8508</v>
      </c>
      <c r="AN1327" s="940" t="s">
        <v>8509</v>
      </c>
      <c r="AO1327" s="940" t="s">
        <v>8510</v>
      </c>
      <c r="AP1327" s="940" t="s">
        <v>8511</v>
      </c>
      <c r="AQ1327" s="1157" t="s">
        <v>8512</v>
      </c>
      <c r="AR1327" s="1157" t="s">
        <v>8513</v>
      </c>
      <c r="AS1327" s="1157" t="s">
        <v>8514</v>
      </c>
      <c r="AT1327" s="1157" t="s">
        <v>8515</v>
      </c>
      <c r="AU1327" s="1157" t="s">
        <v>8516</v>
      </c>
      <c r="AV1327" s="1157" t="s">
        <v>8517</v>
      </c>
      <c r="AW1327" s="1157" t="s">
        <v>8518</v>
      </c>
      <c r="AX1327" s="1157" t="s">
        <v>8519</v>
      </c>
      <c r="AY1327" s="1157" t="s">
        <v>8520</v>
      </c>
      <c r="AZ1327" s="1157" t="s">
        <v>8521</v>
      </c>
      <c r="BA1327" s="1157" t="s">
        <v>8522</v>
      </c>
      <c r="BB1327" s="1157" t="s">
        <v>8523</v>
      </c>
      <c r="BC1327" s="1157" t="s">
        <v>8524</v>
      </c>
      <c r="BD1327" s="1157" t="s">
        <v>8525</v>
      </c>
      <c r="BE1327" s="1157" t="s">
        <v>8526</v>
      </c>
      <c r="BF1327" s="1157" t="s">
        <v>8527</v>
      </c>
      <c r="BG1327" s="1157" t="s">
        <v>8528</v>
      </c>
      <c r="BH1327" s="1157" t="s">
        <v>8529</v>
      </c>
      <c r="BI1327" s="1157" t="s">
        <v>8530</v>
      </c>
      <c r="BJ1327" s="1157" t="s">
        <v>8531</v>
      </c>
      <c r="BK1327" s="1157" t="s">
        <v>8532</v>
      </c>
      <c r="BL1327" s="1157" t="s">
        <v>8533</v>
      </c>
      <c r="BM1327" s="1157" t="s">
        <v>8534</v>
      </c>
      <c r="BN1327" s="1157" t="s">
        <v>8535</v>
      </c>
      <c r="BO1327" s="1157" t="s">
        <v>8536</v>
      </c>
      <c r="BP1327" s="1157" t="s">
        <v>8537</v>
      </c>
      <c r="BQ1327" s="1157" t="s">
        <v>8538</v>
      </c>
      <c r="BR1327" s="1157" t="s">
        <v>8539</v>
      </c>
      <c r="BS1327" s="1157" t="s">
        <v>8540</v>
      </c>
      <c r="BT1327" s="1157" t="s">
        <v>8541</v>
      </c>
      <c r="BU1327" s="1157" t="s">
        <v>8542</v>
      </c>
      <c r="BV1327" s="1157" t="s">
        <v>8543</v>
      </c>
      <c r="BW1327" s="1157" t="s">
        <v>8544</v>
      </c>
      <c r="BX1327" s="1157" t="s">
        <v>8545</v>
      </c>
      <c r="BY1327" s="1157" t="s">
        <v>8546</v>
      </c>
      <c r="BZ1327" s="1157" t="s">
        <v>8547</v>
      </c>
      <c r="CA1327" s="1157" t="s">
        <v>8548</v>
      </c>
      <c r="CB1327" s="1164" t="s">
        <v>8549</v>
      </c>
    </row>
    <row r="1328" spans="1:80" ht="12.75" customHeight="1" x14ac:dyDescent="0.2">
      <c r="A1328" s="242">
        <v>1328</v>
      </c>
      <c r="B1328" s="5664"/>
      <c r="C1328" s="1133"/>
      <c r="D1328" s="67"/>
      <c r="E1328" s="1136" t="s">
        <v>8423</v>
      </c>
      <c r="F1328" s="86">
        <v>15</v>
      </c>
      <c r="G1328" s="86">
        <v>20</v>
      </c>
      <c r="H1328" s="86">
        <f>COUNTIF(HabilidadesEsenciales_Adquiridas,Tablas!E1328)</f>
        <v>0</v>
      </c>
      <c r="I1328" s="1138">
        <v>1</v>
      </c>
      <c r="J1328" s="185"/>
      <c r="K1328" s="1129"/>
      <c r="M1328" s="351"/>
      <c r="N1328" s="23"/>
      <c r="O1328" s="143" t="s">
        <v>8936</v>
      </c>
      <c r="P1328" s="1131">
        <v>10</v>
      </c>
      <c r="Q1328" s="185">
        <v>10</v>
      </c>
      <c r="R1328" s="1138">
        <f>COUNTIF(PoderesDeCriatura_Adquiridos,Tablas!O1328)</f>
        <v>0</v>
      </c>
      <c r="S1328" s="185"/>
      <c r="T1328" s="1129"/>
      <c r="W1328" s="1161" t="s">
        <v>2394</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664"/>
      <c r="C1329" s="1133"/>
      <c r="D1329" s="67"/>
      <c r="E1329" s="1136" t="s">
        <v>8424</v>
      </c>
      <c r="F1329" s="86">
        <v>20</v>
      </c>
      <c r="G1329" s="86">
        <v>30</v>
      </c>
      <c r="H1329" s="86">
        <f>COUNTIF(HabilidadesEsenciales_Adquiridas,Tablas!E1329)</f>
        <v>0</v>
      </c>
      <c r="I1329" s="1138">
        <v>1</v>
      </c>
      <c r="J1329" s="185"/>
      <c r="K1329" s="1129"/>
      <c r="M1329" s="351"/>
      <c r="N1329" s="23"/>
      <c r="O1329" s="143" t="s">
        <v>8937</v>
      </c>
      <c r="P1329" s="1131">
        <v>10</v>
      </c>
      <c r="Q1329" s="185">
        <v>10</v>
      </c>
      <c r="R1329" s="1138">
        <f>COUNTIF(PoderesDeCriatura_Adquiridos,Tablas!O1329)</f>
        <v>0</v>
      </c>
      <c r="S1329" s="185"/>
      <c r="T1329" s="1129"/>
      <c r="W1329" s="1161" t="s">
        <v>2393</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664"/>
      <c r="C1330" s="1133"/>
      <c r="D1330" s="67"/>
      <c r="E1330" s="1136" t="s">
        <v>8425</v>
      </c>
      <c r="F1330" s="86">
        <v>25</v>
      </c>
      <c r="G1330" s="86">
        <v>40</v>
      </c>
      <c r="H1330" s="86">
        <f>COUNTIF(HabilidadesEsenciales_Adquiridas,Tablas!E1330)</f>
        <v>0</v>
      </c>
      <c r="I1330" s="1138">
        <v>1</v>
      </c>
      <c r="J1330" s="185"/>
      <c r="K1330" s="1129"/>
      <c r="M1330" s="351"/>
      <c r="N1330" s="23"/>
      <c r="O1330" s="143" t="s">
        <v>8938</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7172</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664"/>
      <c r="C1331" s="1133"/>
      <c r="D1331" s="67"/>
      <c r="E1331" s="1136" t="s">
        <v>8426</v>
      </c>
      <c r="F1331" s="86">
        <v>30</v>
      </c>
      <c r="G1331" s="86">
        <v>50</v>
      </c>
      <c r="H1331" s="86">
        <f>COUNTIF(HabilidadesEsenciales_Adquiridas,Tablas!E1331)</f>
        <v>0</v>
      </c>
      <c r="I1331" s="1138">
        <v>1</v>
      </c>
      <c r="J1331" s="185"/>
      <c r="K1331" s="1129"/>
      <c r="M1331" s="351"/>
      <c r="N1331" s="23"/>
      <c r="O1331" s="143" t="s">
        <v>8939</v>
      </c>
      <c r="P1331" s="1131">
        <v>10</v>
      </c>
      <c r="Q1331" s="185">
        <v>10</v>
      </c>
      <c r="R1331" s="1138">
        <f>COUNTIF(PoderesDeCriatura_Adquiridos,Tablas!O1331)</f>
        <v>0</v>
      </c>
      <c r="S1331" s="185"/>
      <c r="T1331" s="1129"/>
      <c r="W1331" s="1161" t="s">
        <v>1284</v>
      </c>
      <c r="X1331" s="1152"/>
      <c r="Y1331" s="940" t="str">
        <f t="shared" si="255"/>
        <v/>
      </c>
      <c r="Z1331" s="940" t="s">
        <v>7172</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664"/>
      <c r="C1332" s="1133"/>
      <c r="D1332" s="67"/>
      <c r="E1332" s="1136" t="s">
        <v>8427</v>
      </c>
      <c r="F1332" s="86">
        <v>10</v>
      </c>
      <c r="G1332" s="86">
        <v>10</v>
      </c>
      <c r="H1332" s="86">
        <f>COUNTIF(HabilidadesEsenciales_Adquiridas,Tablas!E1332)</f>
        <v>0</v>
      </c>
      <c r="I1332" s="1138">
        <v>1</v>
      </c>
      <c r="J1332" s="185"/>
      <c r="K1332" s="1129"/>
      <c r="M1332" s="351"/>
      <c r="N1332" s="23"/>
      <c r="O1332" s="143" t="s">
        <v>8940</v>
      </c>
      <c r="P1332" s="1131">
        <v>10</v>
      </c>
      <c r="Q1332" s="185">
        <v>10</v>
      </c>
      <c r="R1332" s="1138">
        <f>COUNTIF(PoderesDeCriatura_Adquiridos,Tablas!O1332)</f>
        <v>0</v>
      </c>
      <c r="S1332" s="185"/>
      <c r="T1332" s="1129"/>
      <c r="W1332" s="1161" t="s">
        <v>1286</v>
      </c>
      <c r="X1332" s="1152"/>
      <c r="Y1332" s="940" t="str">
        <f t="shared" si="255"/>
        <v/>
      </c>
      <c r="Z1332" s="940" t="s">
        <v>7172</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664"/>
      <c r="C1333" s="1133"/>
      <c r="D1333" s="67"/>
      <c r="E1333" s="1136" t="s">
        <v>8428</v>
      </c>
      <c r="F1333" s="86">
        <v>15</v>
      </c>
      <c r="G1333" s="86">
        <v>20</v>
      </c>
      <c r="H1333" s="86">
        <f>COUNTIF(HabilidadesEsenciales_Adquiridas,Tablas!E1333)</f>
        <v>0</v>
      </c>
      <c r="I1333" s="1138">
        <v>1</v>
      </c>
      <c r="J1333" s="185"/>
      <c r="K1333" s="1129"/>
      <c r="M1333" s="351"/>
      <c r="N1333" s="23"/>
      <c r="O1333" s="143" t="s">
        <v>8941</v>
      </c>
      <c r="P1333" s="1131">
        <v>10</v>
      </c>
      <c r="Q1333" s="185">
        <v>10</v>
      </c>
      <c r="R1333" s="1138">
        <f>COUNTIF(PoderesDeCriatura_Adquiridos,Tablas!O1333)</f>
        <v>0</v>
      </c>
      <c r="S1333" s="185"/>
      <c r="T1333" s="1129"/>
      <c r="W1333" s="1161" t="s">
        <v>2409</v>
      </c>
      <c r="X1333" s="1152"/>
      <c r="Y1333" s="940" t="str">
        <f t="shared" si="255"/>
        <v/>
      </c>
      <c r="Z1333" s="940" t="s">
        <v>7172</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664"/>
      <c r="C1334" s="1133"/>
      <c r="D1334" s="67"/>
      <c r="E1334" s="1136" t="s">
        <v>8429</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2408</v>
      </c>
      <c r="X1334" s="1152"/>
      <c r="Y1334" s="940" t="str">
        <f t="shared" si="255"/>
        <v/>
      </c>
      <c r="Z1334" s="940" t="s">
        <v>7172</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664"/>
      <c r="C1335" s="1133"/>
      <c r="D1335" s="67"/>
      <c r="E1335" s="1136" t="s">
        <v>8430</v>
      </c>
      <c r="F1335" s="86">
        <v>25</v>
      </c>
      <c r="G1335" s="86">
        <v>40</v>
      </c>
      <c r="H1335" s="86">
        <f>COUNTIF(HabilidadesEsenciales_Adquiridas,Tablas!E1335)</f>
        <v>0</v>
      </c>
      <c r="I1335" s="1138">
        <v>1</v>
      </c>
      <c r="J1335" s="185"/>
      <c r="K1335" s="1129"/>
      <c r="M1335" s="351"/>
      <c r="N1335" s="23"/>
      <c r="O1335" s="143" t="s">
        <v>8028</v>
      </c>
      <c r="P1335" s="1131">
        <v>0</v>
      </c>
      <c r="Q1335" s="185">
        <v>20</v>
      </c>
      <c r="R1335" s="1138">
        <f>COUNTIF(PoderesDeCriatura_Adquiridos,Tablas!O1335)</f>
        <v>0</v>
      </c>
      <c r="S1335" s="185"/>
      <c r="T1335" s="1129"/>
      <c r="W1335" s="1161" t="s">
        <v>2427</v>
      </c>
      <c r="X1335" s="1152"/>
      <c r="Y1335" s="940" t="str">
        <f t="shared" si="255"/>
        <v/>
      </c>
      <c r="Z1335" s="940" t="s">
        <v>7172</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664"/>
      <c r="C1336" s="1133"/>
      <c r="D1336" s="67"/>
      <c r="E1336" s="1136" t="s">
        <v>8431</v>
      </c>
      <c r="F1336" s="86">
        <v>30</v>
      </c>
      <c r="G1336" s="86">
        <v>50</v>
      </c>
      <c r="H1336" s="86">
        <f>COUNTIF(HabilidadesEsenciales_Adquiridas,Tablas!E1336)</f>
        <v>0</v>
      </c>
      <c r="I1336" s="1138">
        <v>1</v>
      </c>
      <c r="J1336" s="185"/>
      <c r="K1336" s="1129"/>
      <c r="M1336" s="351"/>
      <c r="N1336" s="23"/>
      <c r="O1336" s="143" t="s">
        <v>8029</v>
      </c>
      <c r="P1336" s="1131">
        <v>5</v>
      </c>
      <c r="Q1336" s="185">
        <v>20</v>
      </c>
      <c r="R1336" s="1138">
        <f>COUNTIF(PoderesDeCriatura_Adquiridos,Tablas!O1336)</f>
        <v>0</v>
      </c>
      <c r="S1336" s="185"/>
      <c r="T1336" s="1129"/>
      <c r="W1336" s="1161" t="s">
        <v>7584</v>
      </c>
      <c r="X1336" s="1152"/>
      <c r="Y1336" s="940" t="s">
        <v>7587</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664"/>
      <c r="C1337" s="1133"/>
      <c r="D1337" s="67"/>
      <c r="E1337" s="1136" t="s">
        <v>8432</v>
      </c>
      <c r="F1337" s="86">
        <v>10</v>
      </c>
      <c r="G1337" s="86">
        <v>10</v>
      </c>
      <c r="H1337" s="86">
        <f>COUNTIF(HabilidadesEsenciales_Adquiridas,Tablas!E1337)</f>
        <v>0</v>
      </c>
      <c r="I1337" s="1138">
        <v>1</v>
      </c>
      <c r="J1337" s="185"/>
      <c r="K1337" s="1129"/>
      <c r="M1337" s="351"/>
      <c r="N1337" s="23"/>
      <c r="O1337" s="143" t="s">
        <v>8030</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664"/>
      <c r="C1338" s="1133"/>
      <c r="D1338" s="67"/>
      <c r="E1338" s="1136" t="s">
        <v>8433</v>
      </c>
      <c r="F1338" s="86">
        <v>15</v>
      </c>
      <c r="G1338" s="86">
        <v>20</v>
      </c>
      <c r="H1338" s="86">
        <f>COUNTIF(HabilidadesEsenciales_Adquiridas,Tablas!E1338)</f>
        <v>0</v>
      </c>
      <c r="I1338" s="1138">
        <v>1</v>
      </c>
      <c r="J1338" s="185"/>
      <c r="K1338" s="1129"/>
      <c r="M1338" s="351"/>
      <c r="N1338" s="23"/>
      <c r="O1338" s="143" t="s">
        <v>8031</v>
      </c>
      <c r="P1338" s="1131">
        <v>0</v>
      </c>
      <c r="Q1338" s="185">
        <v>10</v>
      </c>
      <c r="R1338" s="1138">
        <f>COUNTIF(PoderesDeCriatura_Adquiridos,Tablas!O1338)</f>
        <v>0</v>
      </c>
      <c r="S1338" s="185"/>
      <c r="T1338" s="1129"/>
      <c r="W1338" s="1161" t="s">
        <v>1288</v>
      </c>
      <c r="X1338" s="1151" t="s">
        <v>7587</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664"/>
      <c r="C1339" s="1133"/>
      <c r="D1339" s="67"/>
      <c r="E1339" s="1136" t="s">
        <v>8434</v>
      </c>
      <c r="F1339" s="86">
        <v>20</v>
      </c>
      <c r="G1339" s="86">
        <v>30</v>
      </c>
      <c r="H1339" s="86">
        <f>COUNTIF(HabilidadesEsenciales_Adquiridas,Tablas!E1339)</f>
        <v>0</v>
      </c>
      <c r="I1339" s="1138">
        <v>1</v>
      </c>
      <c r="J1339" s="185"/>
      <c r="K1339" s="1129"/>
      <c r="M1339" s="351"/>
      <c r="N1339" s="23"/>
      <c r="O1339" s="143" t="s">
        <v>8032</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7172</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664"/>
      <c r="C1340" s="1133"/>
      <c r="D1340" s="67"/>
      <c r="E1340" s="1136" t="s">
        <v>8435</v>
      </c>
      <c r="F1340" s="86">
        <v>25</v>
      </c>
      <c r="G1340" s="86">
        <v>40</v>
      </c>
      <c r="H1340" s="86">
        <f>COUNTIF(HabilidadesEsenciales_Adquiridas,Tablas!E1340)</f>
        <v>0</v>
      </c>
      <c r="I1340" s="1138">
        <v>1</v>
      </c>
      <c r="J1340" s="185"/>
      <c r="K1340" s="1129"/>
      <c r="M1340" s="351"/>
      <c r="N1340" s="23"/>
      <c r="O1340" s="143" t="s">
        <v>8033</v>
      </c>
      <c r="P1340" s="1131">
        <v>10</v>
      </c>
      <c r="Q1340" s="185">
        <v>10</v>
      </c>
      <c r="R1340" s="1138">
        <f>COUNTIF(PoderesDeCriatura_Adquiridos,Tablas!O1340)</f>
        <v>0</v>
      </c>
      <c r="S1340" s="185"/>
      <c r="T1340" s="1129"/>
      <c r="W1340" s="1161" t="s">
        <v>1289</v>
      </c>
      <c r="X1340" s="1152"/>
      <c r="Y1340" s="940" t="str">
        <f t="shared" si="256"/>
        <v/>
      </c>
      <c r="Z1340" s="940" t="s">
        <v>7172</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664"/>
      <c r="C1341" s="1133"/>
      <c r="D1341" s="67"/>
      <c r="E1341" s="1136" t="s">
        <v>8436</v>
      </c>
      <c r="F1341" s="86">
        <v>30</v>
      </c>
      <c r="G1341" s="86">
        <v>50</v>
      </c>
      <c r="H1341" s="86">
        <f>COUNTIF(HabilidadesEsenciales_Adquiridas,Tablas!E1341)</f>
        <v>0</v>
      </c>
      <c r="I1341" s="1138">
        <v>1</v>
      </c>
      <c r="J1341" s="185"/>
      <c r="K1341" s="1129"/>
      <c r="M1341" s="351"/>
      <c r="N1341" s="23"/>
      <c r="O1341" s="143" t="s">
        <v>8034</v>
      </c>
      <c r="P1341" s="1131">
        <v>10</v>
      </c>
      <c r="Q1341" s="185">
        <v>10</v>
      </c>
      <c r="R1341" s="1138">
        <f>COUNTIF(PoderesDeCriatura_Adquiridos,Tablas!O1341)</f>
        <v>0</v>
      </c>
      <c r="S1341" s="185"/>
      <c r="T1341" s="1129"/>
      <c r="W1341" s="1161" t="s">
        <v>1294</v>
      </c>
      <c r="X1341" s="1152"/>
      <c r="Y1341" s="940" t="str">
        <f t="shared" si="256"/>
        <v/>
      </c>
      <c r="Z1341" s="940" t="s">
        <v>7172</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664"/>
      <c r="C1342" s="1133"/>
      <c r="D1342" s="67"/>
      <c r="E1342" s="1136" t="s">
        <v>2393</v>
      </c>
      <c r="F1342" s="86">
        <v>5</v>
      </c>
      <c r="G1342" s="86">
        <v>20</v>
      </c>
      <c r="H1342" s="86">
        <f>COUNTIF(HabilidadesEsenciales_Adquiridas,Tablas!E1342)</f>
        <v>0</v>
      </c>
      <c r="I1342" s="1138"/>
      <c r="J1342" s="185"/>
      <c r="K1342" s="1129"/>
      <c r="M1342" s="351"/>
      <c r="N1342" s="23"/>
      <c r="O1342" s="143" t="s">
        <v>8035</v>
      </c>
      <c r="P1342" s="1131">
        <v>10</v>
      </c>
      <c r="Q1342" s="185">
        <v>20</v>
      </c>
      <c r="R1342" s="1138">
        <f>COUNTIF(PoderesDeCriatura_Adquiridos,Tablas!O1342)</f>
        <v>0</v>
      </c>
      <c r="S1342" s="185"/>
      <c r="T1342" s="1129"/>
      <c r="W1342" s="1161" t="s">
        <v>2445</v>
      </c>
      <c r="X1342" s="1152"/>
      <c r="Y1342" s="940" t="str">
        <f t="shared" si="256"/>
        <v/>
      </c>
      <c r="Z1342" s="940" t="s">
        <v>7172</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664"/>
      <c r="C1343" s="1133"/>
      <c r="D1343" s="67"/>
      <c r="E1343" s="1136" t="s">
        <v>2394</v>
      </c>
      <c r="F1343" s="86">
        <v>5</v>
      </c>
      <c r="G1343" s="86">
        <v>20</v>
      </c>
      <c r="H1343" s="86">
        <f>COUNTIF(HabilidadesEsenciales_Adquiridas,Tablas!E1343)</f>
        <v>0</v>
      </c>
      <c r="I1343" s="1138"/>
      <c r="J1343" s="185"/>
      <c r="K1343" s="1129"/>
      <c r="M1343" s="351"/>
      <c r="N1343" s="23"/>
      <c r="O1343" s="143" t="s">
        <v>8036</v>
      </c>
      <c r="P1343" s="1131">
        <v>15</v>
      </c>
      <c r="Q1343" s="185">
        <v>40</v>
      </c>
      <c r="R1343" s="1138">
        <f>COUNTIF(PoderesDeCriatura_Adquiridos,Tablas!O1343)</f>
        <v>0</v>
      </c>
      <c r="S1343" s="185"/>
      <c r="T1343" s="1129"/>
      <c r="W1343" s="1161" t="s">
        <v>1292</v>
      </c>
      <c r="X1343" s="1152"/>
      <c r="Y1343" s="940" t="str">
        <f t="shared" si="256"/>
        <v/>
      </c>
      <c r="Z1343" s="940" t="s">
        <v>7172</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664"/>
      <c r="C1344" s="1133"/>
      <c r="D1344" s="67"/>
      <c r="E1344" s="1136" t="s">
        <v>1285</v>
      </c>
      <c r="F1344" s="86">
        <v>5</v>
      </c>
      <c r="G1344" s="86">
        <v>20</v>
      </c>
      <c r="H1344" s="86">
        <f>COUNTIF(HabilidadesEsenciales_Adquiridas,Tablas!E1344)</f>
        <v>0</v>
      </c>
      <c r="I1344" s="1138">
        <v>1</v>
      </c>
      <c r="J1344" s="185"/>
      <c r="K1344" s="1129"/>
      <c r="M1344" s="351"/>
      <c r="N1344" s="23"/>
      <c r="O1344" s="143" t="s">
        <v>8037</v>
      </c>
      <c r="P1344" s="1131">
        <v>15</v>
      </c>
      <c r="Q1344" s="185">
        <v>60</v>
      </c>
      <c r="R1344" s="1138">
        <f>COUNTIF(PoderesDeCriatura_Adquiridos,Tablas!O1344)</f>
        <v>0</v>
      </c>
      <c r="S1344" s="185"/>
      <c r="T1344" s="1129"/>
      <c r="W1344" s="1161" t="s">
        <v>1291</v>
      </c>
      <c r="X1344" s="1152"/>
      <c r="Y1344" s="940" t="str">
        <f t="shared" si="256"/>
        <v/>
      </c>
      <c r="Z1344" s="940" t="s">
        <v>7172</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664"/>
      <c r="C1345" s="1133"/>
      <c r="D1345" s="67"/>
      <c r="E1345" s="1136" t="s">
        <v>1286</v>
      </c>
      <c r="F1345" s="86">
        <v>0</v>
      </c>
      <c r="G1345" s="86">
        <v>0</v>
      </c>
      <c r="H1345" s="86"/>
      <c r="I1345" s="1138"/>
      <c r="J1345" s="185"/>
      <c r="K1345" s="1129"/>
      <c r="M1345" s="351"/>
      <c r="N1345" s="23"/>
      <c r="O1345" s="143" t="s">
        <v>8038</v>
      </c>
      <c r="P1345" s="1131">
        <v>20</v>
      </c>
      <c r="Q1345" s="185">
        <v>80</v>
      </c>
      <c r="R1345" s="1138">
        <f>COUNTIF(PoderesDeCriatura_Adquiridos,Tablas!O1345)</f>
        <v>0</v>
      </c>
      <c r="S1345" s="185"/>
      <c r="T1345" s="1129"/>
      <c r="W1345" s="1161" t="s">
        <v>1296</v>
      </c>
      <c r="X1345" s="1152"/>
      <c r="Y1345" s="940" t="str">
        <f t="shared" si="256"/>
        <v/>
      </c>
      <c r="Z1345" s="940" t="s">
        <v>7172</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664"/>
      <c r="C1346" s="1133"/>
      <c r="D1346" s="67"/>
      <c r="E1346" s="1136" t="s">
        <v>1774</v>
      </c>
      <c r="F1346" s="86">
        <v>5</v>
      </c>
      <c r="G1346" s="86">
        <v>30</v>
      </c>
      <c r="H1346" s="86">
        <f>COUNTIF(HabilidadesEsenciales_Adquiridas,Tablas!E1346)</f>
        <v>0</v>
      </c>
      <c r="I1346" s="1138"/>
      <c r="J1346" s="185"/>
      <c r="K1346" s="1129"/>
      <c r="M1346" s="351"/>
      <c r="N1346" s="23"/>
      <c r="O1346" s="143" t="s">
        <v>8039</v>
      </c>
      <c r="P1346" s="1131">
        <v>20</v>
      </c>
      <c r="Q1346" s="185">
        <v>100</v>
      </c>
      <c r="R1346" s="1138">
        <f>COUNTIF(PoderesDeCriatura_Adquiridos,Tablas!O1346)</f>
        <v>0</v>
      </c>
      <c r="S1346" s="185"/>
      <c r="T1346" s="1129"/>
      <c r="W1346" s="1161" t="s">
        <v>1295</v>
      </c>
      <c r="X1346" s="1152"/>
      <c r="Y1346" s="940" t="str">
        <f t="shared" si="256"/>
        <v/>
      </c>
      <c r="Z1346" s="940" t="s">
        <v>7172</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664"/>
      <c r="C1347" s="1133"/>
      <c r="D1347" s="67"/>
      <c r="E1347" s="1136" t="s">
        <v>1287</v>
      </c>
      <c r="F1347" s="86">
        <v>5</v>
      </c>
      <c r="G1347" s="86">
        <v>30</v>
      </c>
      <c r="H1347" s="86">
        <f>COUNTIF(HabilidadesEsenciales_Adquiridas,Tablas!E1347)</f>
        <v>0</v>
      </c>
      <c r="I1347" s="1138"/>
      <c r="J1347" s="185"/>
      <c r="K1347" s="1129"/>
      <c r="M1347" s="351"/>
      <c r="N1347" s="23"/>
      <c r="O1347" s="143" t="s">
        <v>8040</v>
      </c>
      <c r="P1347" s="1131">
        <v>25</v>
      </c>
      <c r="Q1347" s="185">
        <v>120</v>
      </c>
      <c r="R1347" s="1138">
        <f>COUNTIF(PoderesDeCriatura_Adquiridos,Tablas!O1347)</f>
        <v>0</v>
      </c>
      <c r="S1347" s="185"/>
      <c r="T1347" s="1129"/>
      <c r="W1347" s="1161" t="s">
        <v>1293</v>
      </c>
      <c r="X1347" s="1152"/>
      <c r="Y1347" s="940" t="str">
        <f t="shared" si="256"/>
        <v/>
      </c>
      <c r="Z1347" s="940" t="s">
        <v>7172</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664"/>
      <c r="C1348" s="1133"/>
      <c r="D1348" s="67"/>
      <c r="E1348" s="1136" t="s">
        <v>1288</v>
      </c>
      <c r="F1348" s="86">
        <v>5</v>
      </c>
      <c r="G1348" s="86">
        <v>20</v>
      </c>
      <c r="H1348" s="86">
        <f>COUNTIF(HabilidadesEsenciales_Adquiridas,Tablas!E1348)</f>
        <v>0</v>
      </c>
      <c r="I1348" s="1138"/>
      <c r="J1348" s="185"/>
      <c r="K1348" s="1129"/>
      <c r="M1348" s="351"/>
      <c r="N1348" s="23"/>
      <c r="O1348" s="143" t="s">
        <v>8041</v>
      </c>
      <c r="P1348" s="1131">
        <v>30</v>
      </c>
      <c r="Q1348" s="185">
        <v>140</v>
      </c>
      <c r="R1348" s="1138">
        <f>COUNTIF(PoderesDeCriatura_Adquiridos,Tablas!O1348)</f>
        <v>0</v>
      </c>
      <c r="S1348" s="185"/>
      <c r="T1348" s="1129"/>
      <c r="W1348" s="1161" t="s">
        <v>1290</v>
      </c>
      <c r="X1348" s="1152"/>
      <c r="Y1348" s="940" t="str">
        <f t="shared" si="256"/>
        <v/>
      </c>
      <c r="Z1348" s="940" t="s">
        <v>7172</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664"/>
      <c r="C1349" s="1133"/>
      <c r="D1349" s="67"/>
      <c r="E1349" s="1136" t="s">
        <v>2408</v>
      </c>
      <c r="F1349" s="86">
        <v>5</v>
      </c>
      <c r="G1349" s="86">
        <v>30</v>
      </c>
      <c r="H1349" s="86">
        <f>COUNTIF(HabilidadesEsenciales_Adquiridas,Tablas!E1349)</f>
        <v>0</v>
      </c>
      <c r="I1349" s="1138">
        <v>1</v>
      </c>
      <c r="J1349" s="185"/>
      <c r="K1349" s="1129"/>
      <c r="M1349" s="351"/>
      <c r="N1349" s="23"/>
      <c r="O1349" s="143" t="s">
        <v>8042</v>
      </c>
      <c r="P1349" s="1131">
        <v>35</v>
      </c>
      <c r="Q1349" s="185">
        <v>160</v>
      </c>
      <c r="R1349" s="1138">
        <f>COUNTIF(PoderesDeCriatura_Adquiridos,Tablas!O1349)</f>
        <v>0</v>
      </c>
      <c r="S1349" s="185"/>
      <c r="T1349" s="1129"/>
      <c r="W1349" s="1161" t="s">
        <v>7630</v>
      </c>
      <c r="X1349" s="1152"/>
      <c r="Y1349" s="940" t="str">
        <f>IF(Z1349="","",SUBSTITUTE(SUBSTITUTE("PodHab_"&amp;W1349," ",""),".",""))</f>
        <v>PodHab_Vulaelemento</v>
      </c>
      <c r="Z1349" s="1444" t="s">
        <v>8550</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664"/>
      <c r="C1350" s="1133"/>
      <c r="D1350" s="67"/>
      <c r="E1350" s="1136" t="s">
        <v>2409</v>
      </c>
      <c r="F1350" s="86">
        <v>5</v>
      </c>
      <c r="G1350" s="86">
        <v>20</v>
      </c>
      <c r="H1350" s="86">
        <f>COUNTIF(HabilidadesEsenciales_Adquiridas,Tablas!E1350)</f>
        <v>0</v>
      </c>
      <c r="I1350" s="1138">
        <v>1</v>
      </c>
      <c r="J1350" s="185"/>
      <c r="K1350" s="1129"/>
      <c r="M1350" s="351"/>
      <c r="N1350" s="23"/>
      <c r="O1350" s="143" t="s">
        <v>8043</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664"/>
      <c r="C1351" s="1133"/>
      <c r="D1351" s="67"/>
      <c r="E1351" s="1136" t="s">
        <v>8437</v>
      </c>
      <c r="F1351" s="86">
        <v>5</v>
      </c>
      <c r="G1351" s="86">
        <v>20</v>
      </c>
      <c r="H1351" s="86">
        <f>COUNTIF(HabilidadesEsenciales_Adquiridas,Tablas!E1351)</f>
        <v>0</v>
      </c>
      <c r="I1351" s="1138">
        <v>1</v>
      </c>
      <c r="J1351" s="185"/>
      <c r="K1351" s="1129"/>
      <c r="M1351" s="351"/>
      <c r="N1351" s="23"/>
      <c r="O1351" s="143" t="s">
        <v>8044</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7172</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664"/>
      <c r="C1352" s="1133"/>
      <c r="D1352" s="67"/>
      <c r="E1352" s="1136" t="s">
        <v>8438</v>
      </c>
      <c r="F1352" s="86">
        <v>5</v>
      </c>
      <c r="G1352" s="86">
        <v>20</v>
      </c>
      <c r="H1352" s="86">
        <f>COUNTIF(HabilidadesEsenciales_Adquiridas,Tablas!E1352)</f>
        <v>0</v>
      </c>
      <c r="I1352" s="1138">
        <v>1</v>
      </c>
      <c r="J1352" s="185"/>
      <c r="K1352" s="1129"/>
      <c r="M1352" s="351"/>
      <c r="N1352" s="23"/>
      <c r="O1352" s="143" t="s">
        <v>8045</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7172</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664"/>
      <c r="C1353" s="1133"/>
      <c r="D1353" s="67"/>
      <c r="E1353" s="1136" t="s">
        <v>8439</v>
      </c>
      <c r="F1353" s="86">
        <v>5</v>
      </c>
      <c r="G1353" s="86">
        <v>20</v>
      </c>
      <c r="H1353" s="86">
        <f>COUNTIF(HabilidadesEsenciales_Adquiridas,Tablas!E1353)</f>
        <v>0</v>
      </c>
      <c r="I1353" s="1138">
        <v>1</v>
      </c>
      <c r="J1353" s="185"/>
      <c r="K1353" s="1129"/>
      <c r="M1353" s="351"/>
      <c r="N1353" s="23"/>
      <c r="O1353" s="143" t="s">
        <v>8046</v>
      </c>
      <c r="P1353" s="1131">
        <v>10</v>
      </c>
      <c r="Q1353" s="185">
        <v>-10</v>
      </c>
      <c r="R1353" s="1138">
        <f>COUNTIF(PoderesDeCriatura_Adquiridos,Tablas!O1353)</f>
        <v>0</v>
      </c>
      <c r="S1353" s="185"/>
      <c r="T1353" s="1129"/>
      <c r="W1353" s="1161" t="s">
        <v>2458</v>
      </c>
      <c r="X1353" s="1152"/>
      <c r="Y1353" s="940" t="str">
        <f t="shared" si="256"/>
        <v/>
      </c>
      <c r="Z1353" s="940" t="s">
        <v>7172</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664"/>
      <c r="C1354" s="1133"/>
      <c r="D1354" s="67"/>
      <c r="E1354" s="1136" t="s">
        <v>8440</v>
      </c>
      <c r="F1354" s="86">
        <v>5</v>
      </c>
      <c r="G1354" s="86">
        <v>20</v>
      </c>
      <c r="H1354" s="86">
        <f>COUNTIF(HabilidadesEsenciales_Adquiridas,Tablas!E1354)</f>
        <v>0</v>
      </c>
      <c r="I1354" s="1138">
        <v>1</v>
      </c>
      <c r="J1354" s="185"/>
      <c r="K1354" s="1129"/>
      <c r="M1354" s="351"/>
      <c r="N1354" s="23"/>
      <c r="O1354" s="143" t="s">
        <v>8047</v>
      </c>
      <c r="P1354" s="1131">
        <v>10</v>
      </c>
      <c r="Q1354" s="185">
        <v>-30</v>
      </c>
      <c r="R1354" s="1138">
        <f>COUNTIF(PoderesDeCriatura_Adquiridos,Tablas!O1354)</f>
        <v>0</v>
      </c>
      <c r="S1354" s="185"/>
      <c r="T1354" s="1129"/>
      <c r="W1354" s="1161" t="s">
        <v>1299</v>
      </c>
      <c r="X1354" s="1152"/>
      <c r="Y1354" s="940" t="str">
        <f t="shared" si="256"/>
        <v/>
      </c>
      <c r="Z1354" s="940" t="s">
        <v>7172</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664"/>
      <c r="C1355" s="1133"/>
      <c r="D1355" s="67"/>
      <c r="E1355" s="1136" t="s">
        <v>8441</v>
      </c>
      <c r="F1355" s="86">
        <v>5</v>
      </c>
      <c r="G1355" s="86">
        <v>20</v>
      </c>
      <c r="H1355" s="86">
        <f>COUNTIF(HabilidadesEsenciales_Adquiridas,Tablas!E1355)</f>
        <v>0</v>
      </c>
      <c r="I1355" s="1138">
        <v>1</v>
      </c>
      <c r="J1355" s="185"/>
      <c r="K1355" s="1129"/>
      <c r="M1355" s="351"/>
      <c r="N1355" s="23"/>
      <c r="O1355" s="143" t="s">
        <v>8048</v>
      </c>
      <c r="P1355" s="1131">
        <v>10</v>
      </c>
      <c r="Q1355" s="185">
        <v>-50</v>
      </c>
      <c r="R1355" s="1138">
        <f>COUNTIF(PoderesDeCriatura_Adquiridos,Tablas!O1355)</f>
        <v>0</v>
      </c>
      <c r="S1355" s="185"/>
      <c r="T1355" s="1129"/>
      <c r="W1355" s="1161" t="s">
        <v>2461</v>
      </c>
      <c r="X1355" s="1152"/>
      <c r="Y1355" s="940" t="str">
        <f t="shared" si="256"/>
        <v/>
      </c>
      <c r="Z1355" s="940" t="s">
        <v>7172</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664"/>
      <c r="C1356" s="1133"/>
      <c r="D1356" s="67"/>
      <c r="E1356" s="1136" t="s">
        <v>8442</v>
      </c>
      <c r="F1356" s="86">
        <v>5</v>
      </c>
      <c r="G1356" s="86">
        <v>20</v>
      </c>
      <c r="H1356" s="86">
        <f>COUNTIF(HabilidadesEsenciales_Adquiridas,Tablas!E1356)</f>
        <v>0</v>
      </c>
      <c r="I1356" s="1138">
        <v>1</v>
      </c>
      <c r="J1356" s="185"/>
      <c r="K1356" s="1129"/>
      <c r="M1356" s="351"/>
      <c r="N1356" s="23"/>
      <c r="O1356" s="143" t="s">
        <v>8049</v>
      </c>
      <c r="P1356" s="1131">
        <v>10</v>
      </c>
      <c r="Q1356" s="185">
        <v>-30</v>
      </c>
      <c r="R1356" s="1138">
        <f>COUNTIF(PoderesDeCriatura_Adquiridos,Tablas!O1356)</f>
        <v>0</v>
      </c>
      <c r="S1356" s="185"/>
      <c r="T1356" s="1129"/>
      <c r="W1356" s="1161" t="s">
        <v>2456</v>
      </c>
      <c r="X1356" s="1152"/>
      <c r="Y1356" s="940" t="str">
        <f t="shared" si="256"/>
        <v/>
      </c>
      <c r="Z1356" s="940" t="s">
        <v>7172</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664"/>
      <c r="C1357" s="1133"/>
      <c r="D1357" s="67"/>
      <c r="E1357" s="1136" t="s">
        <v>8443</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2457</v>
      </c>
      <c r="X1357" s="1152"/>
      <c r="Y1357" s="940" t="str">
        <f t="shared" si="256"/>
        <v/>
      </c>
      <c r="Z1357" s="940" t="s">
        <v>7172</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664"/>
      <c r="C1358" s="1133"/>
      <c r="D1358" s="67"/>
      <c r="E1358" s="1136" t="s">
        <v>8444</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7581</v>
      </c>
      <c r="W1358" s="1161" t="s">
        <v>1301</v>
      </c>
      <c r="X1358" s="1152"/>
      <c r="Y1358" s="940" t="str">
        <f t="shared" si="256"/>
        <v/>
      </c>
      <c r="Z1358" s="940" t="s">
        <v>7172</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664"/>
      <c r="C1359" s="1133"/>
      <c r="D1359" s="67"/>
      <c r="E1359" s="1136" t="s">
        <v>8445</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7172</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664"/>
      <c r="C1360" s="1133"/>
      <c r="D1360" s="67"/>
      <c r="E1360" s="1136" t="s">
        <v>8446</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2466</v>
      </c>
      <c r="X1360" s="1152"/>
      <c r="Y1360" s="940" t="str">
        <f t="shared" si="256"/>
        <v/>
      </c>
      <c r="Z1360" s="940" t="s">
        <v>7172</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664"/>
      <c r="C1361" s="1133"/>
      <c r="D1361" s="67"/>
      <c r="E1361" s="1136" t="s">
        <v>8447</v>
      </c>
      <c r="F1361" s="86">
        <v>5</v>
      </c>
      <c r="G1361" s="86">
        <v>20</v>
      </c>
      <c r="H1361" s="86">
        <f>COUNTIF(HabilidadesEsenciales_Adquiridas,Tablas!E1361)</f>
        <v>0</v>
      </c>
      <c r="I1361" s="1138">
        <v>1</v>
      </c>
      <c r="J1361" s="185"/>
      <c r="K1361" s="1129"/>
      <c r="M1361" s="351"/>
      <c r="N1361" s="23"/>
      <c r="O1361" s="143" t="s">
        <v>8050</v>
      </c>
      <c r="P1361" s="1131">
        <v>0</v>
      </c>
      <c r="Q1361" s="185">
        <v>40</v>
      </c>
      <c r="R1361" s="1138">
        <f>COUNTIF(PoderesDeCriatura_Adquiridos,Tablas!O1361)</f>
        <v>0</v>
      </c>
      <c r="S1361" s="185">
        <f t="array" ref="S1361">MAX(R1361:R1365*VALUE(RIGHT(O1361:O1365,2)))</f>
        <v>0</v>
      </c>
      <c r="T1361" s="1129" t="s">
        <v>8796</v>
      </c>
      <c r="W1361" s="1161" t="s">
        <v>2465</v>
      </c>
      <c r="X1361" s="1152"/>
      <c r="Y1361" s="940" t="str">
        <f t="shared" si="256"/>
        <v/>
      </c>
      <c r="Z1361" s="940" t="s">
        <v>7172</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664"/>
      <c r="C1362" s="1133"/>
      <c r="D1362" s="67"/>
      <c r="E1362" s="1136" t="s">
        <v>8448</v>
      </c>
      <c r="F1362" s="86">
        <v>5</v>
      </c>
      <c r="G1362" s="86">
        <v>20</v>
      </c>
      <c r="H1362" s="86">
        <f>COUNTIF(HabilidadesEsenciales_Adquiridas,Tablas!E1362)</f>
        <v>0</v>
      </c>
      <c r="I1362" s="1138">
        <v>1</v>
      </c>
      <c r="J1362" s="185"/>
      <c r="K1362" s="1129"/>
      <c r="M1362" s="351"/>
      <c r="N1362" s="23"/>
      <c r="O1362" s="143" t="s">
        <v>8051</v>
      </c>
      <c r="P1362" s="1131">
        <v>0</v>
      </c>
      <c r="Q1362" s="185">
        <v>60</v>
      </c>
      <c r="R1362" s="1138">
        <f>COUNTIF(PoderesDeCriatura_Adquiridos,Tablas!O1362)</f>
        <v>0</v>
      </c>
      <c r="S1362" s="185"/>
      <c r="T1362" s="1129"/>
      <c r="W1362" s="1161" t="s">
        <v>1303</v>
      </c>
      <c r="X1362" s="1152"/>
      <c r="Y1362" s="940" t="str">
        <f t="shared" si="256"/>
        <v/>
      </c>
      <c r="Z1362" s="940" t="s">
        <v>7172</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664"/>
      <c r="C1363" s="1133"/>
      <c r="D1363" s="67"/>
      <c r="E1363" s="1136" t="s">
        <v>8449</v>
      </c>
      <c r="F1363" s="86">
        <v>5</v>
      </c>
      <c r="G1363" s="86">
        <v>20</v>
      </c>
      <c r="H1363" s="86">
        <f>COUNTIF(HabilidadesEsenciales_Adquiridas,Tablas!E1363)</f>
        <v>0</v>
      </c>
      <c r="I1363" s="1138">
        <v>1</v>
      </c>
      <c r="J1363" s="185"/>
      <c r="K1363" s="1129"/>
      <c r="M1363" s="351"/>
      <c r="N1363" s="23"/>
      <c r="O1363" s="143" t="s">
        <v>8052</v>
      </c>
      <c r="P1363" s="1131">
        <v>0</v>
      </c>
      <c r="Q1363" s="185">
        <v>80</v>
      </c>
      <c r="R1363" s="1138">
        <f>COUNTIF(PoderesDeCriatura_Adquiridos,Tablas!O1363)</f>
        <v>0</v>
      </c>
      <c r="S1363" s="185"/>
      <c r="T1363" s="1129"/>
      <c r="W1363" s="1161" t="s">
        <v>2473</v>
      </c>
      <c r="X1363" s="1152"/>
      <c r="Y1363" s="940" t="str">
        <f t="shared" si="256"/>
        <v/>
      </c>
      <c r="Z1363" s="940" t="s">
        <v>7172</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664"/>
      <c r="C1364" s="1133"/>
      <c r="D1364" s="67"/>
      <c r="E1364" s="1136" t="s">
        <v>2427</v>
      </c>
      <c r="F1364" s="86">
        <v>5</v>
      </c>
      <c r="G1364" s="86">
        <v>30</v>
      </c>
      <c r="H1364" s="86">
        <f>COUNTIF(HabilidadesEsenciales_Adquiridas,Tablas!E1364)</f>
        <v>0</v>
      </c>
      <c r="I1364" s="1138"/>
      <c r="J1364" s="185"/>
      <c r="K1364" s="1129"/>
      <c r="M1364" s="351"/>
      <c r="N1364" s="23"/>
      <c r="O1364" s="143" t="s">
        <v>8053</v>
      </c>
      <c r="P1364" s="1131">
        <v>0</v>
      </c>
      <c r="Q1364" s="185">
        <v>100</v>
      </c>
      <c r="R1364" s="1138">
        <f>COUNTIF(PoderesDeCriatura_Adquiridos,Tablas!O1364)</f>
        <v>0</v>
      </c>
      <c r="S1364" s="185"/>
      <c r="T1364" s="1129"/>
      <c r="W1364" s="1161" t="s">
        <v>2500</v>
      </c>
      <c r="X1364" s="1152"/>
      <c r="Y1364" s="940" t="str">
        <f t="shared" si="256"/>
        <v/>
      </c>
      <c r="Z1364" s="940" t="s">
        <v>7172</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664"/>
      <c r="C1365" s="1133"/>
      <c r="D1365" s="67"/>
      <c r="E1365" s="1136" t="s">
        <v>1289</v>
      </c>
      <c r="F1365" s="86">
        <v>0</v>
      </c>
      <c r="G1365" s="86">
        <v>0</v>
      </c>
      <c r="H1365" s="86"/>
      <c r="I1365" s="1138"/>
      <c r="J1365" s="185"/>
      <c r="K1365" s="1129"/>
      <c r="M1365" s="351"/>
      <c r="N1365" s="23"/>
      <c r="O1365" s="143" t="s">
        <v>8054</v>
      </c>
      <c r="P1365" s="1131">
        <v>10</v>
      </c>
      <c r="Q1365" s="185">
        <v>120</v>
      </c>
      <c r="R1365" s="1138">
        <f>COUNTIF(PoderesDeCriatura_Adquiridos,Tablas!O1365)</f>
        <v>0</v>
      </c>
      <c r="S1365" s="185"/>
      <c r="T1365" s="1129"/>
      <c r="W1365" s="1161" t="s">
        <v>1306</v>
      </c>
      <c r="X1365" s="1152"/>
      <c r="Y1365" s="940" t="str">
        <f t="shared" si="256"/>
        <v/>
      </c>
      <c r="Z1365" s="940" t="s">
        <v>7172</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664"/>
      <c r="C1366" s="1133"/>
      <c r="D1366" s="67"/>
      <c r="E1366" s="1136" t="s">
        <v>1290</v>
      </c>
      <c r="F1366" s="86">
        <v>0</v>
      </c>
      <c r="G1366" s="86">
        <v>-10</v>
      </c>
      <c r="H1366" s="86">
        <f>COUNTIF(HabilidadesEsenciales_Adquiridas,Tablas!E1366)</f>
        <v>0</v>
      </c>
      <c r="I1366" s="1138"/>
      <c r="J1366" s="185"/>
      <c r="K1366" s="1129"/>
      <c r="M1366" s="351"/>
      <c r="N1366" s="23"/>
      <c r="O1366" s="143" t="s">
        <v>8055</v>
      </c>
      <c r="P1366" s="1131">
        <v>10</v>
      </c>
      <c r="Q1366" s="185">
        <v>20</v>
      </c>
      <c r="R1366" s="1138">
        <f>COUNTIF(PoderesDeCriatura_Adquiridos,Tablas!O1366)</f>
        <v>0</v>
      </c>
      <c r="S1366" s="185">
        <f t="array" ref="S1366">MAX(R1366:R1372*VALUE(RIGHT(O1366:O1372,2)))</f>
        <v>0</v>
      </c>
      <c r="T1366" s="1129" t="s">
        <v>8797</v>
      </c>
      <c r="W1366" s="1161" t="s">
        <v>2493</v>
      </c>
      <c r="X1366" s="1152"/>
      <c r="Y1366" s="940" t="str">
        <f t="shared" si="256"/>
        <v/>
      </c>
      <c r="Z1366" s="940" t="s">
        <v>7172</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664"/>
      <c r="C1367" s="1133"/>
      <c r="D1367" s="67"/>
      <c r="E1367" s="1136" t="s">
        <v>1291</v>
      </c>
      <c r="F1367" s="86">
        <v>0</v>
      </c>
      <c r="G1367" s="86">
        <v>-20</v>
      </c>
      <c r="H1367" s="86">
        <f>COUNTIF(HabilidadesEsenciales_Adquiridas,Tablas!E1367)</f>
        <v>0</v>
      </c>
      <c r="I1367" s="1138"/>
      <c r="J1367" s="185"/>
      <c r="K1367" s="1129"/>
      <c r="M1367" s="351"/>
      <c r="N1367" s="23"/>
      <c r="O1367" s="143" t="s">
        <v>8056</v>
      </c>
      <c r="P1367" s="1131">
        <v>15</v>
      </c>
      <c r="Q1367" s="185">
        <v>40</v>
      </c>
      <c r="R1367" s="1138">
        <f>COUNTIF(PoderesDeCriatura_Adquiridos,Tablas!O1367)</f>
        <v>0</v>
      </c>
      <c r="S1367" s="185"/>
      <c r="T1367" s="1129"/>
      <c r="W1367" s="1161" t="s">
        <v>1305</v>
      </c>
      <c r="X1367" s="1152"/>
      <c r="Y1367" s="940" t="str">
        <f t="shared" si="256"/>
        <v/>
      </c>
      <c r="Z1367" s="940" t="s">
        <v>7172</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664"/>
      <c r="C1368" s="1133"/>
      <c r="D1368" s="67"/>
      <c r="E1368" s="1136" t="s">
        <v>1292</v>
      </c>
      <c r="F1368" s="86">
        <v>10</v>
      </c>
      <c r="G1368" s="86">
        <v>-10</v>
      </c>
      <c r="H1368" s="86">
        <f>COUNTIF(HabilidadesEsenciales_Adquiridas,Tablas!E1368)</f>
        <v>0</v>
      </c>
      <c r="I1368" s="1138"/>
      <c r="J1368" s="185"/>
      <c r="K1368" s="1129"/>
      <c r="M1368" s="351"/>
      <c r="N1368" s="23"/>
      <c r="O1368" s="143" t="s">
        <v>8057</v>
      </c>
      <c r="P1368" s="1131">
        <v>20</v>
      </c>
      <c r="Q1368" s="185">
        <v>60</v>
      </c>
      <c r="R1368" s="1138">
        <f>COUNTIF(PoderesDeCriatura_Adquiridos,Tablas!O1368)</f>
        <v>0</v>
      </c>
      <c r="S1368" s="185"/>
      <c r="T1368" s="1129"/>
      <c r="W1368" s="1161" t="s">
        <v>2513</v>
      </c>
      <c r="X1368" s="1152"/>
      <c r="Y1368" s="940" t="str">
        <f t="shared" si="256"/>
        <v/>
      </c>
      <c r="Z1368" s="940" t="s">
        <v>7172</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664"/>
      <c r="C1369" s="1133"/>
      <c r="D1369" s="67"/>
      <c r="E1369" s="1136" t="s">
        <v>1293</v>
      </c>
      <c r="F1369" s="86">
        <v>10</v>
      </c>
      <c r="G1369" s="86">
        <v>-20</v>
      </c>
      <c r="H1369" s="86">
        <f>COUNTIF(HabilidadesEsenciales_Adquiridas,Tablas!E1369)</f>
        <v>0</v>
      </c>
      <c r="I1369" s="1138"/>
      <c r="J1369" s="185"/>
      <c r="K1369" s="1129"/>
      <c r="M1369" s="351"/>
      <c r="N1369" s="23"/>
      <c r="O1369" s="143" t="s">
        <v>8058</v>
      </c>
      <c r="P1369" s="1131">
        <v>20</v>
      </c>
      <c r="Q1369" s="185">
        <v>80</v>
      </c>
      <c r="R1369" s="1138">
        <f>COUNTIF(PoderesDeCriatura_Adquiridos,Tablas!O1369)</f>
        <v>0</v>
      </c>
      <c r="S1369" s="185"/>
      <c r="T1369" s="1129"/>
      <c r="W1369" s="1161" t="s">
        <v>2497</v>
      </c>
      <c r="X1369" s="1152"/>
      <c r="Y1369" s="940" t="str">
        <f t="shared" si="256"/>
        <v/>
      </c>
      <c r="Z1369" s="940" t="s">
        <v>7172</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664"/>
      <c r="C1370" s="1133"/>
      <c r="D1370" s="67"/>
      <c r="E1370" s="1136" t="s">
        <v>1294</v>
      </c>
      <c r="F1370" s="86">
        <v>0</v>
      </c>
      <c r="G1370" s="86">
        <v>-10</v>
      </c>
      <c r="H1370" s="86">
        <f>COUNTIF(HabilidadesEsenciales_Adquiridas,Tablas!E1370)</f>
        <v>0</v>
      </c>
      <c r="I1370" s="1138"/>
      <c r="J1370" s="185"/>
      <c r="K1370" s="1129"/>
      <c r="M1370" s="351"/>
      <c r="N1370" s="23"/>
      <c r="O1370" s="143" t="s">
        <v>8059</v>
      </c>
      <c r="P1370" s="1131">
        <v>25</v>
      </c>
      <c r="Q1370" s="185">
        <v>100</v>
      </c>
      <c r="R1370" s="1138">
        <f>COUNTIF(PoderesDeCriatura_Adquiridos,Tablas!O1370)</f>
        <v>0</v>
      </c>
      <c r="S1370" s="185"/>
      <c r="T1370" s="1129"/>
      <c r="U1370">
        <v>3</v>
      </c>
      <c r="W1370" s="1161" t="s">
        <v>2392</v>
      </c>
      <c r="X1370" s="1152"/>
      <c r="Y1370" s="940" t="str">
        <f t="shared" si="256"/>
        <v/>
      </c>
      <c r="Z1370" s="940" t="s">
        <v>7172</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664"/>
      <c r="C1371" s="1133"/>
      <c r="D1371" s="67"/>
      <c r="E1371" s="1136" t="s">
        <v>2445</v>
      </c>
      <c r="F1371" s="86">
        <v>0</v>
      </c>
      <c r="G1371" s="86">
        <v>-20</v>
      </c>
      <c r="H1371" s="86">
        <f>COUNTIF(HabilidadesEsenciales_Adquiridas,Tablas!E1371)</f>
        <v>0</v>
      </c>
      <c r="I1371" s="1138"/>
      <c r="J1371" s="185"/>
      <c r="K1371" s="1129"/>
      <c r="M1371" s="351"/>
      <c r="N1371" s="23"/>
      <c r="O1371" s="143" t="s">
        <v>8060</v>
      </c>
      <c r="P1371" s="1131">
        <v>30</v>
      </c>
      <c r="Q1371" s="185">
        <v>120</v>
      </c>
      <c r="R1371" s="1138">
        <f>COUNTIF(PoderesDeCriatura_Adquiridos,Tablas!O1371)</f>
        <v>0</v>
      </c>
      <c r="S1371" s="185"/>
      <c r="T1371" s="1129"/>
      <c r="U1371">
        <v>3</v>
      </c>
      <c r="W1371" s="1161" t="s">
        <v>1304</v>
      </c>
      <c r="X1371" s="1152"/>
      <c r="Y1371" s="940" t="str">
        <f t="shared" si="256"/>
        <v/>
      </c>
      <c r="Z1371" s="940" t="s">
        <v>7172</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664"/>
      <c r="C1372" s="1133"/>
      <c r="D1372" s="67"/>
      <c r="E1372" s="1136" t="s">
        <v>1295</v>
      </c>
      <c r="F1372" s="86">
        <v>0</v>
      </c>
      <c r="G1372" s="86">
        <v>-10</v>
      </c>
      <c r="H1372" s="86">
        <f>COUNTIF(HabilidadesEsenciales_Adquiridas,Tablas!E1372)</f>
        <v>0</v>
      </c>
      <c r="I1372" s="1138"/>
      <c r="J1372" s="185"/>
      <c r="K1372" s="1129"/>
      <c r="M1372" s="351"/>
      <c r="N1372" s="23"/>
      <c r="O1372" s="143" t="s">
        <v>8061</v>
      </c>
      <c r="P1372" s="1131">
        <v>35</v>
      </c>
      <c r="Q1372" s="185">
        <v>140</v>
      </c>
      <c r="R1372" s="1138">
        <f>COUNTIF(PoderesDeCriatura_Adquiridos,Tablas!O1372)</f>
        <v>0</v>
      </c>
      <c r="S1372" s="185"/>
      <c r="T1372" s="1129"/>
      <c r="U1372">
        <v>3</v>
      </c>
      <c r="W1372" s="1161" t="s">
        <v>2350</v>
      </c>
      <c r="X1372" s="1152"/>
      <c r="Y1372" s="940" t="str">
        <f t="shared" si="256"/>
        <v/>
      </c>
      <c r="Z1372" s="940" t="s">
        <v>7172</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664"/>
      <c r="C1373" s="1133"/>
      <c r="D1373" s="67"/>
      <c r="E1373" s="1136" t="s">
        <v>1296</v>
      </c>
      <c r="F1373" s="86">
        <v>10</v>
      </c>
      <c r="G1373" s="86">
        <v>-20</v>
      </c>
      <c r="H1373" s="86">
        <f>COUNTIF(HabilidadesEsenciales_Adquiridas,Tablas!E1373)</f>
        <v>0</v>
      </c>
      <c r="I1373" s="1138"/>
      <c r="J1373" s="185"/>
      <c r="K1373" s="1129"/>
      <c r="M1373" s="351"/>
      <c r="N1373" s="23"/>
      <c r="O1373" s="143" t="s">
        <v>8062</v>
      </c>
      <c r="P1373" s="1131">
        <v>10</v>
      </c>
      <c r="Q1373" s="185">
        <v>-20</v>
      </c>
      <c r="R1373" s="1138">
        <f>COUNTIF(PoderesDeCriatura_Adquiridos,Tablas!O1373)</f>
        <v>0</v>
      </c>
      <c r="S1373" s="185"/>
      <c r="T1373" s="1129"/>
      <c r="U1373">
        <v>3</v>
      </c>
      <c r="W1373" s="1161" t="s">
        <v>2486</v>
      </c>
      <c r="X1373" s="1152"/>
      <c r="Y1373" s="940" t="str">
        <f t="shared" si="256"/>
        <v/>
      </c>
      <c r="Z1373" s="940" t="s">
        <v>7172</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664"/>
      <c r="C1374" s="1133"/>
      <c r="D1374" s="67"/>
      <c r="E1374" s="1136" t="s">
        <v>7585</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7172</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664"/>
      <c r="C1375" s="1133"/>
      <c r="D1375" s="23"/>
      <c r="E1375" s="1136" t="s">
        <v>7586</v>
      </c>
      <c r="F1375" s="86">
        <v>20</v>
      </c>
      <c r="G1375" s="86">
        <v>-20</v>
      </c>
      <c r="H1375" s="86">
        <f>COUNTIF(HabilidadesEsenciales_Adquiridas,Tablas!E1375)</f>
        <v>0</v>
      </c>
      <c r="I1375" s="1138"/>
      <c r="J1375" s="185"/>
      <c r="K1375" s="1129"/>
      <c r="M1375" s="351"/>
      <c r="N1375" s="23"/>
      <c r="O1375" s="143" t="s">
        <v>8063</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7172</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664"/>
      <c r="C1376" s="1133"/>
      <c r="D1376" s="67"/>
      <c r="E1376" s="1136" t="s">
        <v>1297</v>
      </c>
      <c r="F1376" s="86">
        <v>10</v>
      </c>
      <c r="G1376" s="86">
        <v>-20</v>
      </c>
      <c r="H1376" s="86">
        <f>COUNTIF(HabilidadesEsenciales_Adquiridas,Tablas!E1376)</f>
        <v>0</v>
      </c>
      <c r="I1376" s="1138"/>
      <c r="J1376" s="185"/>
      <c r="K1376" s="1129"/>
      <c r="M1376" s="351"/>
      <c r="N1376" s="23"/>
      <c r="O1376" s="143" t="s">
        <v>8064</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7172</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664"/>
      <c r="C1377" s="1133"/>
      <c r="D1377" s="67"/>
      <c r="E1377" s="1136" t="s">
        <v>1298</v>
      </c>
      <c r="F1377" s="86">
        <v>0</v>
      </c>
      <c r="G1377" s="86">
        <v>0</v>
      </c>
      <c r="H1377" s="86"/>
      <c r="I1377" s="1138"/>
      <c r="J1377" s="185"/>
      <c r="K1377" s="1129"/>
      <c r="M1377" s="351"/>
      <c r="N1377" s="23"/>
      <c r="O1377" s="143" t="s">
        <v>8065</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7172</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664"/>
      <c r="C1378" s="1133"/>
      <c r="D1378" s="67"/>
      <c r="E1378" s="1136" t="s">
        <v>2456</v>
      </c>
      <c r="F1378" s="86">
        <v>5</v>
      </c>
      <c r="G1378" s="86">
        <v>-10</v>
      </c>
      <c r="H1378" s="86">
        <f>COUNTIF(HabilidadesEsenciales_Adquiridas,Tablas!E1378)</f>
        <v>0</v>
      </c>
      <c r="I1378" s="1138"/>
      <c r="J1378" s="185"/>
      <c r="K1378" s="1129"/>
      <c r="M1378" s="351"/>
      <c r="N1378" s="23"/>
      <c r="O1378" s="143" t="s">
        <v>8066</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664"/>
      <c r="C1379" s="1133"/>
      <c r="D1379" s="67"/>
      <c r="E1379" s="1136" t="s">
        <v>2457</v>
      </c>
      <c r="F1379" s="86">
        <v>5</v>
      </c>
      <c r="G1379" s="86">
        <v>-10</v>
      </c>
      <c r="H1379" s="86">
        <f>COUNTIF(HabilidadesEsenciales_Adquiridas,Tablas!E1379)</f>
        <v>0</v>
      </c>
      <c r="I1379" s="1138"/>
      <c r="J1379" s="185"/>
      <c r="K1379" s="1129"/>
      <c r="M1379" s="351"/>
      <c r="N1379" s="23"/>
      <c r="O1379" s="143" t="s">
        <v>8067</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664"/>
      <c r="C1380" s="1133"/>
      <c r="D1380" s="67"/>
      <c r="E1380" s="1136" t="s">
        <v>1299</v>
      </c>
      <c r="F1380" s="86">
        <v>5</v>
      </c>
      <c r="G1380" s="86">
        <v>-10</v>
      </c>
      <c r="H1380" s="86">
        <f>COUNTIF(HabilidadesEsenciales_Adquiridas,Tablas!E1380)</f>
        <v>0</v>
      </c>
      <c r="I1380" s="1138">
        <v>1</v>
      </c>
      <c r="J1380" s="185"/>
      <c r="K1380" s="1129"/>
      <c r="M1380" s="351"/>
      <c r="N1380" s="23"/>
      <c r="O1380" s="143" t="s">
        <v>8068</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664"/>
      <c r="C1381" s="1133"/>
      <c r="D1381" s="67"/>
      <c r="E1381" s="1136" t="s">
        <v>2461</v>
      </c>
      <c r="F1381" s="86">
        <v>5</v>
      </c>
      <c r="G1381" s="86">
        <v>-30</v>
      </c>
      <c r="H1381" s="86">
        <f>COUNTIF(HabilidadesEsenciales_Adquiridas,Tablas!E1381)</f>
        <v>0</v>
      </c>
      <c r="I1381" s="1138">
        <v>1</v>
      </c>
      <c r="J1381" s="185"/>
      <c r="K1381" s="1129"/>
      <c r="M1381" s="351"/>
      <c r="N1381" s="23"/>
      <c r="O1381" s="143" t="s">
        <v>8069</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664"/>
      <c r="C1382" s="1133"/>
      <c r="D1382" s="67"/>
      <c r="E1382" s="1136" t="s">
        <v>2458</v>
      </c>
      <c r="F1382" s="86">
        <v>5</v>
      </c>
      <c r="G1382" s="86">
        <v>-10</v>
      </c>
      <c r="H1382" s="86">
        <f>COUNTIF(HabilidadesEsenciales_Adquiridas,Tablas!E1382)</f>
        <v>0</v>
      </c>
      <c r="I1382" s="1138"/>
      <c r="J1382" s="185"/>
      <c r="K1382" s="1129"/>
      <c r="M1382" s="351"/>
      <c r="N1382" s="23"/>
      <c r="O1382" s="143" t="s">
        <v>8070</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664"/>
      <c r="C1383" s="1133"/>
      <c r="D1383" s="67"/>
      <c r="E1383" s="1136" t="s">
        <v>1300</v>
      </c>
      <c r="F1383" s="86">
        <v>5</v>
      </c>
      <c r="G1383" s="86">
        <v>-20</v>
      </c>
      <c r="H1383" s="86">
        <f>COUNTIF(HabilidadesEsenciales_Adquiridas,Tablas!E1383)</f>
        <v>0</v>
      </c>
      <c r="I1383" s="1138"/>
      <c r="J1383" s="185"/>
      <c r="K1383" s="1129"/>
      <c r="M1383" s="351"/>
      <c r="N1383" s="23"/>
      <c r="O1383" s="143" t="s">
        <v>8071</v>
      </c>
      <c r="P1383" s="1131">
        <v>10</v>
      </c>
      <c r="Q1383" s="185">
        <v>10</v>
      </c>
      <c r="R1383" s="1138">
        <f>COUNTIF(PoderesDeCriatura_Adquiridos,Tablas!O1383)</f>
        <v>0</v>
      </c>
      <c r="S1383" s="185">
        <f t="array" ref="S1383">MAX(R1383:R1392*{10;20;30;40;50;-10;-20;-30;-40;-50})</f>
        <v>0</v>
      </c>
      <c r="T1383" s="1129" t="s">
        <v>1475</v>
      </c>
      <c r="U1383">
        <v>4</v>
      </c>
      <c r="W1383" s="1165" t="s">
        <v>8341</v>
      </c>
      <c r="X1383" s="1166"/>
      <c r="Y1383" s="1167"/>
      <c r="Z1383" s="1167"/>
      <c r="AA1383" s="1167"/>
      <c r="AB1383" s="1167"/>
      <c r="AC1383" s="1167" t="s">
        <v>8340</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664"/>
      <c r="C1384" s="1133"/>
      <c r="D1384" s="67"/>
      <c r="E1384" s="1136" t="s">
        <v>1301</v>
      </c>
      <c r="F1384" s="86">
        <v>0</v>
      </c>
      <c r="G1384" s="86">
        <v>0</v>
      </c>
      <c r="H1384" s="86"/>
      <c r="I1384" s="1138"/>
      <c r="J1384" s="185"/>
      <c r="K1384" s="1129"/>
      <c r="M1384" s="351"/>
      <c r="N1384" s="23"/>
      <c r="O1384" s="143" t="s">
        <v>8072</v>
      </c>
      <c r="P1384" s="1131">
        <v>15</v>
      </c>
      <c r="Q1384" s="185">
        <v>20</v>
      </c>
      <c r="R1384" s="1138">
        <f>COUNTIF(PoderesDeCriatura_Adquiridos,Tablas!O1384)</f>
        <v>0</v>
      </c>
      <c r="S1384" s="185"/>
      <c r="T1384" s="1129"/>
      <c r="U1384">
        <v>4</v>
      </c>
      <c r="X1384" s="624"/>
    </row>
    <row r="1385" spans="1:80" ht="12.75" customHeight="1" x14ac:dyDescent="0.2">
      <c r="A1385" s="242">
        <v>1385</v>
      </c>
      <c r="B1385" s="5664"/>
      <c r="C1385" s="1133"/>
      <c r="D1385" s="67"/>
      <c r="E1385" s="1136" t="s">
        <v>2465</v>
      </c>
      <c r="F1385" s="86">
        <v>5</v>
      </c>
      <c r="G1385" s="86">
        <v>-10</v>
      </c>
      <c r="H1385" s="86">
        <f>COUNTIF(HabilidadesEsenciales_Adquiridas,Tablas!E1385)</f>
        <v>0</v>
      </c>
      <c r="I1385" s="1138">
        <v>1</v>
      </c>
      <c r="J1385" s="185"/>
      <c r="K1385" s="1129"/>
      <c r="M1385" s="351"/>
      <c r="N1385" s="23"/>
      <c r="O1385" s="143" t="s">
        <v>8073</v>
      </c>
      <c r="P1385" s="1131">
        <v>20</v>
      </c>
      <c r="Q1385" s="185">
        <v>30</v>
      </c>
      <c r="R1385" s="1138">
        <f>COUNTIF(PoderesDeCriatura_Adquiridos,Tablas!O1385)</f>
        <v>0</v>
      </c>
      <c r="S1385" s="185"/>
      <c r="T1385" s="1129"/>
      <c r="U1385">
        <v>4</v>
      </c>
    </row>
    <row r="1386" spans="1:80" ht="12.75" customHeight="1" x14ac:dyDescent="0.2">
      <c r="A1386" s="242">
        <v>1386</v>
      </c>
      <c r="B1386" s="5664"/>
      <c r="C1386" s="1133"/>
      <c r="D1386" s="67"/>
      <c r="E1386" s="1136" t="s">
        <v>2466</v>
      </c>
      <c r="F1386" s="86">
        <v>5</v>
      </c>
      <c r="G1386" s="86">
        <v>-10</v>
      </c>
      <c r="H1386" s="86">
        <f>COUNTIF(HabilidadesEsenciales_Adquiridas,Tablas!E1386)</f>
        <v>0</v>
      </c>
      <c r="I1386" s="1138"/>
      <c r="J1386" s="185"/>
      <c r="K1386" s="1129"/>
      <c r="M1386" s="351"/>
      <c r="N1386" s="23"/>
      <c r="O1386" s="143" t="s">
        <v>8074</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664"/>
      <c r="C1387" s="1133"/>
      <c r="D1387" s="67"/>
      <c r="E1387" s="1136" t="s">
        <v>1302</v>
      </c>
      <c r="F1387" s="86">
        <v>5</v>
      </c>
      <c r="G1387" s="86">
        <v>-20</v>
      </c>
      <c r="H1387" s="86">
        <f>COUNTIF(HabilidadesEsenciales_Adquiridas,Tablas!E1387)</f>
        <v>0</v>
      </c>
      <c r="I1387" s="1138"/>
      <c r="J1387" s="185"/>
      <c r="K1387" s="1129"/>
      <c r="M1387" s="351"/>
      <c r="N1387" s="23"/>
      <c r="O1387" s="143" t="s">
        <v>8075</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664"/>
      <c r="C1388" s="1133"/>
      <c r="D1388" s="67"/>
      <c r="E1388" s="1136" t="s">
        <v>1303</v>
      </c>
      <c r="F1388" s="86">
        <v>0</v>
      </c>
      <c r="G1388" s="86">
        <v>0</v>
      </c>
      <c r="H1388" s="86"/>
      <c r="I1388" s="1138"/>
      <c r="J1388" s="185"/>
      <c r="K1388" s="1129"/>
      <c r="M1388" s="351"/>
      <c r="N1388" s="23"/>
      <c r="O1388" s="143" t="s">
        <v>8076</v>
      </c>
      <c r="P1388" s="1131">
        <v>10</v>
      </c>
      <c r="Q1388" s="185">
        <v>-10</v>
      </c>
      <c r="R1388" s="1138">
        <f>COUNTIF(PoderesDeCriatura_Adquiridos,Tablas!O1388)</f>
        <v>0</v>
      </c>
      <c r="S1388" s="185"/>
      <c r="T1388" s="1129"/>
      <c r="U1388">
        <v>5</v>
      </c>
      <c r="Y1388"/>
    </row>
    <row r="1389" spans="1:80" ht="12.75" customHeight="1" x14ac:dyDescent="0.2">
      <c r="A1389" s="242">
        <v>1389</v>
      </c>
      <c r="B1389" s="5664"/>
      <c r="C1389" s="1133"/>
      <c r="D1389" s="67"/>
      <c r="E1389" s="1136" t="s">
        <v>2350</v>
      </c>
      <c r="F1389" s="86">
        <v>20</v>
      </c>
      <c r="G1389" s="86">
        <v>40</v>
      </c>
      <c r="H1389" s="86">
        <f>COUNTIF(HabilidadesEsenciales_Adquiridas,Tablas!E1389)</f>
        <v>0</v>
      </c>
      <c r="I1389" s="1138"/>
      <c r="J1389" s="185"/>
      <c r="K1389" s="1129"/>
      <c r="M1389" s="351"/>
      <c r="N1389" s="23"/>
      <c r="O1389" s="143" t="s">
        <v>8077</v>
      </c>
      <c r="P1389" s="1131">
        <v>10</v>
      </c>
      <c r="Q1389" s="185">
        <v>-15</v>
      </c>
      <c r="R1389" s="1138">
        <f>COUNTIF(PoderesDeCriatura_Adquiridos,Tablas!O1389)</f>
        <v>0</v>
      </c>
      <c r="S1389" s="185"/>
      <c r="T1389" s="1129"/>
      <c r="U1389">
        <v>5</v>
      </c>
      <c r="Y1389"/>
    </row>
    <row r="1390" spans="1:80" ht="12.75" customHeight="1" x14ac:dyDescent="0.2">
      <c r="A1390" s="242">
        <v>1390</v>
      </c>
      <c r="B1390" s="5664"/>
      <c r="C1390" s="1133"/>
      <c r="D1390" s="67"/>
      <c r="E1390" s="1136" t="s">
        <v>1304</v>
      </c>
      <c r="F1390" s="86">
        <v>20</v>
      </c>
      <c r="G1390" s="86">
        <v>20</v>
      </c>
      <c r="H1390" s="86">
        <f>COUNTIF(HabilidadesEsenciales_Adquiridas,Tablas!E1390)</f>
        <v>0</v>
      </c>
      <c r="I1390" s="1138"/>
      <c r="J1390" s="185"/>
      <c r="K1390" s="1129"/>
      <c r="M1390" s="351"/>
      <c r="N1390" s="23"/>
      <c r="O1390" s="143" t="s">
        <v>8078</v>
      </c>
      <c r="P1390" s="1131">
        <v>10</v>
      </c>
      <c r="Q1390" s="185">
        <v>-20</v>
      </c>
      <c r="R1390" s="1138">
        <f>COUNTIF(PoderesDeCriatura_Adquiridos,Tablas!O1390)</f>
        <v>0</v>
      </c>
      <c r="S1390" s="185"/>
      <c r="T1390" s="1129"/>
      <c r="U1390">
        <v>5</v>
      </c>
      <c r="Y1390"/>
    </row>
    <row r="1391" spans="1:80" ht="12.75" customHeight="1" x14ac:dyDescent="0.2">
      <c r="A1391" s="242">
        <v>1391</v>
      </c>
      <c r="B1391" s="5664"/>
      <c r="C1391" s="1133"/>
      <c r="D1391" s="67"/>
      <c r="E1391" s="1136" t="s">
        <v>2392</v>
      </c>
      <c r="F1391" s="86">
        <v>10</v>
      </c>
      <c r="G1391" s="86">
        <v>10</v>
      </c>
      <c r="H1391" s="86">
        <f>COUNTIF(HabilidadesEsenciales_Adquiridas,Tablas!E1391)</f>
        <v>0</v>
      </c>
      <c r="I1391" s="1138"/>
      <c r="J1391" s="185"/>
      <c r="K1391" s="1129"/>
      <c r="M1391" s="351"/>
      <c r="N1391" s="23"/>
      <c r="O1391" s="143" t="s">
        <v>8079</v>
      </c>
      <c r="P1391" s="1131">
        <v>20</v>
      </c>
      <c r="Q1391" s="185">
        <v>-25</v>
      </c>
      <c r="R1391" s="1138">
        <f>COUNTIF(PoderesDeCriatura_Adquiridos,Tablas!O1391)</f>
        <v>0</v>
      </c>
      <c r="S1391" s="185"/>
      <c r="T1391" s="1129"/>
      <c r="U1391">
        <v>5</v>
      </c>
      <c r="Y1391"/>
    </row>
    <row r="1392" spans="1:80" ht="12.75" customHeight="1" x14ac:dyDescent="0.2">
      <c r="A1392" s="242">
        <v>1392</v>
      </c>
      <c r="B1392" s="5664"/>
      <c r="C1392" s="1133"/>
      <c r="D1392" s="67"/>
      <c r="E1392" s="1136" t="s">
        <v>2473</v>
      </c>
      <c r="F1392" s="86">
        <v>5</v>
      </c>
      <c r="G1392" s="86">
        <v>20</v>
      </c>
      <c r="H1392" s="86">
        <f>COUNTIF(HabilidadesEsenciales_Adquiridas,Tablas!E1392)</f>
        <v>0</v>
      </c>
      <c r="I1392" s="1138"/>
      <c r="J1392" s="185"/>
      <c r="K1392" s="1129"/>
      <c r="M1392" s="351"/>
      <c r="N1392" s="23"/>
      <c r="O1392" s="143" t="s">
        <v>8080</v>
      </c>
      <c r="P1392" s="1131">
        <v>20</v>
      </c>
      <c r="Q1392" s="185">
        <v>-30</v>
      </c>
      <c r="R1392" s="1138">
        <f>COUNTIF(PoderesDeCriatura_Adquiridos,Tablas!O1392)</f>
        <v>0</v>
      </c>
      <c r="S1392" s="185"/>
      <c r="T1392" s="1129"/>
      <c r="U1392">
        <v>5</v>
      </c>
      <c r="Y1392"/>
    </row>
    <row r="1393" spans="1:25" ht="12.75" customHeight="1" x14ac:dyDescent="0.2">
      <c r="A1393" s="242">
        <v>1393</v>
      </c>
      <c r="B1393" s="5664"/>
      <c r="C1393" s="1133"/>
      <c r="D1393" s="67"/>
      <c r="E1393" s="1136" t="s">
        <v>2486</v>
      </c>
      <c r="F1393" s="86">
        <v>0</v>
      </c>
      <c r="G1393" s="86">
        <v>10</v>
      </c>
      <c r="H1393" s="86">
        <f>COUNTIF(HabilidadesEsenciales_Adquiridas,Tablas!E1393)</f>
        <v>0</v>
      </c>
      <c r="I1393" s="1138"/>
      <c r="J1393" s="185"/>
      <c r="K1393" s="1129"/>
      <c r="M1393" s="351"/>
      <c r="N1393" s="23"/>
      <c r="O1393" s="143" t="s">
        <v>8081</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664"/>
      <c r="C1394" s="1133"/>
      <c r="D1394" s="67"/>
      <c r="E1394" s="1136" t="s">
        <v>2493</v>
      </c>
      <c r="F1394" s="86">
        <v>10</v>
      </c>
      <c r="G1394" s="86">
        <v>20</v>
      </c>
      <c r="H1394" s="86">
        <f>COUNTIF(HabilidadesEsenciales_Adquiridas,Tablas!E1394)</f>
        <v>0</v>
      </c>
      <c r="I1394" s="1138">
        <v>1</v>
      </c>
      <c r="J1394" s="185"/>
      <c r="K1394" s="1129"/>
      <c r="M1394" s="351"/>
      <c r="N1394" s="23"/>
      <c r="O1394" s="143" t="s">
        <v>8082</v>
      </c>
      <c r="P1394" s="1131">
        <v>15</v>
      </c>
      <c r="Q1394" s="185">
        <v>20</v>
      </c>
      <c r="R1394" s="1138">
        <f>COUNTIF(PoderesDeCriatura_Adquiridos,Tablas!O1394)</f>
        <v>0</v>
      </c>
      <c r="S1394" s="185"/>
      <c r="T1394" s="1129"/>
      <c r="U1394">
        <v>5</v>
      </c>
      <c r="Y1394"/>
    </row>
    <row r="1395" spans="1:25" ht="12.75" customHeight="1" x14ac:dyDescent="0.2">
      <c r="A1395" s="242">
        <v>1395</v>
      </c>
      <c r="B1395" s="5664"/>
      <c r="C1395" s="1133"/>
      <c r="D1395" s="67"/>
      <c r="E1395" s="1136" t="s">
        <v>2497</v>
      </c>
      <c r="F1395" s="86">
        <v>10</v>
      </c>
      <c r="G1395" s="86">
        <v>20</v>
      </c>
      <c r="H1395" s="86">
        <f>COUNTIF(HabilidadesEsenciales_Adquiridas,Tablas!E1395)</f>
        <v>0</v>
      </c>
      <c r="I1395" s="1138"/>
      <c r="J1395" s="185"/>
      <c r="K1395" s="1129"/>
      <c r="M1395" s="351"/>
      <c r="N1395" s="23"/>
      <c r="O1395" s="143" t="s">
        <v>8083</v>
      </c>
      <c r="P1395" s="1131">
        <v>20</v>
      </c>
      <c r="Q1395" s="185">
        <v>30</v>
      </c>
      <c r="R1395" s="1138">
        <f>COUNTIF(PoderesDeCriatura_Adquiridos,Tablas!O1395)</f>
        <v>0</v>
      </c>
      <c r="S1395" s="185"/>
      <c r="T1395" s="1129"/>
      <c r="U1395">
        <v>5</v>
      </c>
      <c r="Y1395"/>
    </row>
    <row r="1396" spans="1:25" ht="12.75" customHeight="1" x14ac:dyDescent="0.2">
      <c r="A1396" s="242">
        <v>1396</v>
      </c>
      <c r="B1396" s="5664"/>
      <c r="C1396" s="1133"/>
      <c r="D1396" s="67"/>
      <c r="E1396" s="1136" t="s">
        <v>2500</v>
      </c>
      <c r="F1396" s="86">
        <v>15</v>
      </c>
      <c r="G1396" s="86">
        <v>30</v>
      </c>
      <c r="H1396" s="86">
        <f>COUNTIF(HabilidadesEsenciales_Adquiridas,Tablas!E1396)</f>
        <v>0</v>
      </c>
      <c r="I1396" s="1138"/>
      <c r="J1396" s="185"/>
      <c r="K1396" s="1129"/>
      <c r="M1396" s="351"/>
      <c r="N1396" s="23"/>
      <c r="O1396" s="143" t="s">
        <v>8084</v>
      </c>
      <c r="P1396" s="1131">
        <v>25</v>
      </c>
      <c r="Q1396" s="185">
        <v>40</v>
      </c>
      <c r="R1396" s="1138">
        <f>COUNTIF(PoderesDeCriatura_Adquiridos,Tablas!O1396)</f>
        <v>0</v>
      </c>
      <c r="S1396" s="185"/>
      <c r="T1396" s="1129"/>
      <c r="U1396">
        <v>5</v>
      </c>
    </row>
    <row r="1397" spans="1:25" ht="12.75" customHeight="1" x14ac:dyDescent="0.2">
      <c r="A1397" s="242">
        <v>1397</v>
      </c>
      <c r="B1397" s="5664"/>
      <c r="C1397" s="1133"/>
      <c r="D1397" s="67"/>
      <c r="E1397" s="1136" t="s">
        <v>1305</v>
      </c>
      <c r="F1397" s="86">
        <v>10</v>
      </c>
      <c r="G1397" s="86">
        <v>20</v>
      </c>
      <c r="H1397" s="86">
        <f>COUNTIF(HabilidadesEsenciales_Adquiridas,Tablas!E1397)</f>
        <v>0</v>
      </c>
      <c r="I1397" s="1138"/>
      <c r="J1397" s="185"/>
      <c r="K1397" s="1129"/>
      <c r="M1397" s="351"/>
      <c r="N1397" s="23"/>
      <c r="O1397" s="143" t="s">
        <v>8085</v>
      </c>
      <c r="P1397" s="1131">
        <v>35</v>
      </c>
      <c r="Q1397" s="185">
        <v>50</v>
      </c>
      <c r="R1397" s="1138">
        <f>COUNTIF(PoderesDeCriatura_Adquiridos,Tablas!O1397)</f>
        <v>0</v>
      </c>
      <c r="S1397" s="185"/>
      <c r="T1397" s="1129"/>
      <c r="U1397">
        <v>5</v>
      </c>
    </row>
    <row r="1398" spans="1:25" ht="12.75" customHeight="1" x14ac:dyDescent="0.2">
      <c r="A1398" s="242">
        <v>1398</v>
      </c>
      <c r="B1398" s="5664"/>
      <c r="C1398" s="1133"/>
      <c r="D1398" s="67"/>
      <c r="E1398" s="1136" t="s">
        <v>2513</v>
      </c>
      <c r="F1398" s="86">
        <v>5</v>
      </c>
      <c r="G1398" s="86">
        <v>20</v>
      </c>
      <c r="H1398" s="86">
        <f>COUNTIF(HabilidadesEsenciales_Adquiridas,Tablas!E1398)</f>
        <v>0</v>
      </c>
      <c r="I1398" s="1138">
        <v>1</v>
      </c>
      <c r="J1398" s="185"/>
      <c r="K1398" s="1129"/>
      <c r="M1398" s="351"/>
      <c r="N1398" s="23"/>
      <c r="O1398" s="143" t="s">
        <v>8086</v>
      </c>
      <c r="P1398" s="1131">
        <v>10</v>
      </c>
      <c r="Q1398" s="185">
        <v>-10</v>
      </c>
      <c r="R1398" s="1138">
        <f>COUNTIF(PoderesDeCriatura_Adquiridos,Tablas!O1398)</f>
        <v>0</v>
      </c>
      <c r="S1398" s="185"/>
      <c r="T1398" s="1129"/>
      <c r="U1398">
        <v>6</v>
      </c>
    </row>
    <row r="1399" spans="1:25" ht="12.75" customHeight="1" x14ac:dyDescent="0.2">
      <c r="A1399" s="242">
        <v>1399</v>
      </c>
      <c r="B1399" s="5664"/>
      <c r="C1399" s="1133"/>
      <c r="D1399" s="67"/>
      <c r="E1399" s="1136" t="s">
        <v>1306</v>
      </c>
      <c r="F1399" s="86">
        <v>0</v>
      </c>
      <c r="G1399" s="86">
        <v>20</v>
      </c>
      <c r="H1399" s="86">
        <f>COUNTIF(HabilidadesEsenciales_Adquiridas,Tablas!E1399)</f>
        <v>0</v>
      </c>
      <c r="I1399" s="1138">
        <v>1</v>
      </c>
      <c r="J1399" s="185"/>
      <c r="K1399" s="1129"/>
      <c r="M1399" s="351"/>
      <c r="N1399" s="23"/>
      <c r="O1399" s="143" t="s">
        <v>8087</v>
      </c>
      <c r="P1399" s="1131">
        <v>10</v>
      </c>
      <c r="Q1399" s="185">
        <v>-15</v>
      </c>
      <c r="R1399" s="1138">
        <f>COUNTIF(PoderesDeCriatura_Adquiridos,Tablas!O1399)</f>
        <v>0</v>
      </c>
      <c r="S1399" s="185"/>
      <c r="T1399" s="1129"/>
      <c r="U1399">
        <v>6</v>
      </c>
    </row>
    <row r="1400" spans="1:25" ht="12.75" customHeight="1" x14ac:dyDescent="0.2">
      <c r="A1400" s="242">
        <v>1400</v>
      </c>
      <c r="B1400" s="5664"/>
      <c r="C1400" s="1133"/>
      <c r="D1400" s="67"/>
      <c r="E1400" s="1136" t="s">
        <v>1307</v>
      </c>
      <c r="F1400" s="86">
        <v>0</v>
      </c>
      <c r="G1400" s="86">
        <v>0</v>
      </c>
      <c r="H1400" s="86"/>
      <c r="I1400" s="1138"/>
      <c r="J1400" s="185"/>
      <c r="K1400" s="1129"/>
      <c r="M1400" s="351"/>
      <c r="N1400" s="23"/>
      <c r="O1400" s="143" t="s">
        <v>8088</v>
      </c>
      <c r="P1400" s="1131">
        <v>10</v>
      </c>
      <c r="Q1400" s="185">
        <v>-20</v>
      </c>
      <c r="R1400" s="1138">
        <f>COUNTIF(PoderesDeCriatura_Adquiridos,Tablas!O1400)</f>
        <v>0</v>
      </c>
      <c r="S1400" s="185"/>
      <c r="T1400" s="1129"/>
      <c r="U1400">
        <v>6</v>
      </c>
    </row>
    <row r="1401" spans="1:25" ht="12.75" customHeight="1" x14ac:dyDescent="0.2">
      <c r="A1401" s="242">
        <v>1401</v>
      </c>
      <c r="B1401" s="5664"/>
      <c r="C1401" s="1133"/>
      <c r="D1401" s="67"/>
      <c r="E1401" s="1136" t="s">
        <v>1308</v>
      </c>
      <c r="F1401" s="86">
        <v>0</v>
      </c>
      <c r="G1401" s="86">
        <v>-30</v>
      </c>
      <c r="H1401" s="86">
        <f>COUNTIF(HabilidadesEsenciales_Adquiridas,Tablas!E1401)</f>
        <v>0</v>
      </c>
      <c r="I1401" s="1138"/>
      <c r="J1401" s="185"/>
      <c r="K1401" s="1129"/>
      <c r="M1401" s="351"/>
      <c r="N1401" s="23"/>
      <c r="O1401" s="143" t="s">
        <v>8089</v>
      </c>
      <c r="P1401" s="1131">
        <v>20</v>
      </c>
      <c r="Q1401" s="185">
        <v>-25</v>
      </c>
      <c r="R1401" s="1138">
        <f>COUNTIF(PoderesDeCriatura_Adquiridos,Tablas!O1401)</f>
        <v>0</v>
      </c>
      <c r="S1401" s="185"/>
      <c r="T1401" s="1129"/>
      <c r="U1401">
        <v>6</v>
      </c>
    </row>
    <row r="1402" spans="1:25" ht="12.75" customHeight="1" x14ac:dyDescent="0.2">
      <c r="A1402" s="242">
        <v>1402</v>
      </c>
      <c r="B1402" s="5664"/>
      <c r="C1402" s="1133"/>
      <c r="D1402" s="67"/>
      <c r="E1402" s="1136" t="s">
        <v>1309</v>
      </c>
      <c r="F1402" s="86">
        <v>0</v>
      </c>
      <c r="G1402" s="86">
        <v>-20</v>
      </c>
      <c r="H1402" s="86">
        <f>COUNTIF(HabilidadesEsenciales_Adquiridas,Tablas!E1402)</f>
        <v>0</v>
      </c>
      <c r="I1402" s="1138"/>
      <c r="J1402" s="185"/>
      <c r="K1402" s="1129"/>
      <c r="M1402" s="351"/>
      <c r="N1402" s="23"/>
      <c r="O1402" s="143" t="s">
        <v>8090</v>
      </c>
      <c r="P1402" s="1131">
        <v>20</v>
      </c>
      <c r="Q1402" s="185">
        <v>-30</v>
      </c>
      <c r="R1402" s="1138">
        <f>COUNTIF(PoderesDeCriatura_Adquiridos,Tablas!O1402)</f>
        <v>0</v>
      </c>
      <c r="S1402" s="185"/>
      <c r="T1402" s="1129"/>
      <c r="U1402">
        <v>6</v>
      </c>
    </row>
    <row r="1403" spans="1:25" ht="12.75" customHeight="1" x14ac:dyDescent="0.2">
      <c r="A1403" s="242">
        <v>1403</v>
      </c>
      <c r="B1403" s="5664"/>
      <c r="C1403" s="1133"/>
      <c r="D1403" s="67"/>
      <c r="E1403" s="1136" t="s">
        <v>7589</v>
      </c>
      <c r="F1403" s="86"/>
      <c r="G1403" s="86"/>
      <c r="H1403" s="86"/>
      <c r="I1403" s="1138"/>
      <c r="J1403" s="185"/>
      <c r="K1403" s="1129"/>
      <c r="M1403" s="351"/>
      <c r="N1403" s="23"/>
      <c r="O1403" s="143" t="s">
        <v>8091</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664"/>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8092</v>
      </c>
      <c r="P1404" s="1131">
        <v>0</v>
      </c>
      <c r="Q1404" s="185">
        <v>20</v>
      </c>
      <c r="R1404" s="1138">
        <f>COUNTIF(PoderesDeCriatura_Adquiridos,Tablas!O1404)</f>
        <v>0</v>
      </c>
      <c r="S1404" s="185"/>
      <c r="T1404" s="1129"/>
      <c r="U1404">
        <v>6</v>
      </c>
    </row>
    <row r="1405" spans="1:25" ht="12.75" customHeight="1" x14ac:dyDescent="0.2">
      <c r="A1405" s="242">
        <v>1405</v>
      </c>
      <c r="B1405" s="5664"/>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8093</v>
      </c>
      <c r="P1405" s="1131">
        <v>0</v>
      </c>
      <c r="Q1405" s="185">
        <v>30</v>
      </c>
      <c r="R1405" s="1138">
        <f>COUNTIF(PoderesDeCriatura_Adquiridos,Tablas!O1405)</f>
        <v>0</v>
      </c>
      <c r="S1405" s="185"/>
      <c r="T1405" s="1129"/>
      <c r="U1405">
        <v>6</v>
      </c>
    </row>
    <row r="1406" spans="1:25" ht="12.75" customHeight="1" x14ac:dyDescent="0.2">
      <c r="A1406" s="242">
        <v>1406</v>
      </c>
      <c r="B1406" s="5664"/>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8094</v>
      </c>
      <c r="P1406" s="1131">
        <v>5</v>
      </c>
      <c r="Q1406" s="185">
        <v>40</v>
      </c>
      <c r="R1406" s="1138">
        <f>COUNTIF(PoderesDeCriatura_Adquiridos,Tablas!O1406)</f>
        <v>0</v>
      </c>
      <c r="S1406" s="185"/>
      <c r="T1406" s="1129"/>
      <c r="U1406">
        <v>6</v>
      </c>
    </row>
    <row r="1407" spans="1:25" ht="12.75" customHeight="1" x14ac:dyDescent="0.2">
      <c r="A1407" s="242">
        <v>1407</v>
      </c>
      <c r="B1407" s="5664"/>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8095</v>
      </c>
      <c r="P1407" s="1131">
        <v>10</v>
      </c>
      <c r="Q1407" s="185">
        <v>60</v>
      </c>
      <c r="R1407" s="1138">
        <f>COUNTIF(PoderesDeCriatura_Adquiridos,Tablas!O1407)</f>
        <v>0</v>
      </c>
      <c r="S1407" s="185"/>
      <c r="T1407" s="1129"/>
      <c r="U1407">
        <v>6</v>
      </c>
    </row>
    <row r="1408" spans="1:25" ht="12.75" customHeight="1" thickBot="1" x14ac:dyDescent="0.25">
      <c r="A1408" s="242">
        <v>1408</v>
      </c>
      <c r="B1408" s="5664"/>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8096</v>
      </c>
      <c r="P1408" s="1131">
        <v>15</v>
      </c>
      <c r="Q1408" s="185">
        <v>100</v>
      </c>
      <c r="R1408" s="1138">
        <f>COUNTIF(PoderesDeCriatura_Adquiridos,Tablas!O1408)</f>
        <v>0</v>
      </c>
      <c r="S1408" s="185"/>
      <c r="T1408" s="1129"/>
      <c r="U1408">
        <v>6</v>
      </c>
    </row>
    <row r="1409" spans="1:21" ht="12.75" customHeight="1" x14ac:dyDescent="0.2">
      <c r="A1409" s="242">
        <v>1409</v>
      </c>
      <c r="B1409" s="5664"/>
      <c r="C1409" s="624"/>
      <c r="H1409"/>
      <c r="M1409" s="351"/>
      <c r="N1409" s="23"/>
      <c r="O1409" s="143" t="s">
        <v>8097</v>
      </c>
      <c r="P1409" s="1131">
        <v>20</v>
      </c>
      <c r="Q1409" s="185">
        <v>140</v>
      </c>
      <c r="R1409" s="1138">
        <f>COUNTIF(PoderesDeCriatura_Adquiridos,Tablas!O1409)</f>
        <v>0</v>
      </c>
      <c r="S1409" s="185"/>
      <c r="T1409" s="1129"/>
      <c r="U1409">
        <v>6</v>
      </c>
    </row>
    <row r="1410" spans="1:21" ht="12.75" customHeight="1" x14ac:dyDescent="0.2">
      <c r="A1410" s="242">
        <v>1410</v>
      </c>
      <c r="B1410" s="5664"/>
      <c r="C1410" s="624"/>
      <c r="H1410"/>
      <c r="M1410" s="351"/>
      <c r="N1410" s="23"/>
      <c r="O1410" s="143" t="s">
        <v>8098</v>
      </c>
      <c r="P1410" s="1131">
        <v>25</v>
      </c>
      <c r="Q1410" s="185">
        <v>160</v>
      </c>
      <c r="R1410" s="1138">
        <f>COUNTIF(PoderesDeCriatura_Adquiridos,Tablas!O1410)</f>
        <v>0</v>
      </c>
      <c r="S1410" s="185"/>
      <c r="T1410" s="1129"/>
      <c r="U1410">
        <v>6</v>
      </c>
    </row>
    <row r="1411" spans="1:21" ht="12.75" customHeight="1" x14ac:dyDescent="0.2">
      <c r="A1411" s="242">
        <v>1411</v>
      </c>
      <c r="B1411" s="5664"/>
      <c r="C1411" s="624"/>
      <c r="H1411"/>
      <c r="M1411" s="351"/>
      <c r="N1411" s="23"/>
      <c r="O1411" s="143" t="s">
        <v>8099</v>
      </c>
      <c r="P1411" s="1131">
        <v>35</v>
      </c>
      <c r="Q1411" s="185">
        <v>180</v>
      </c>
      <c r="R1411" s="1138">
        <f>COUNTIF(PoderesDeCriatura_Adquiridos,Tablas!O1411)</f>
        <v>0</v>
      </c>
      <c r="S1411" s="185"/>
      <c r="T1411" s="1129"/>
    </row>
    <row r="1412" spans="1:21" ht="12.75" customHeight="1" x14ac:dyDescent="0.2">
      <c r="A1412" s="242">
        <v>1412</v>
      </c>
      <c r="B1412" s="5664"/>
      <c r="C1412" s="624"/>
      <c r="H1412"/>
      <c r="M1412" s="351"/>
      <c r="N1412" s="23"/>
      <c r="O1412" s="143" t="s">
        <v>8100</v>
      </c>
      <c r="P1412" s="1131">
        <v>45</v>
      </c>
      <c r="Q1412" s="185">
        <v>200</v>
      </c>
      <c r="R1412" s="1138">
        <f>COUNTIF(PoderesDeCriatura_Adquiridos,Tablas!O1412)</f>
        <v>0</v>
      </c>
      <c r="S1412" s="185"/>
      <c r="T1412" s="1129"/>
    </row>
    <row r="1413" spans="1:21" ht="12.75" customHeight="1" x14ac:dyDescent="0.2">
      <c r="A1413" s="242">
        <v>1413</v>
      </c>
      <c r="B1413" s="5664"/>
      <c r="C1413" s="624"/>
      <c r="H1413"/>
      <c r="M1413" s="351"/>
      <c r="N1413" s="23"/>
      <c r="O1413" s="143" t="s">
        <v>8101</v>
      </c>
      <c r="P1413" s="1131">
        <v>50</v>
      </c>
      <c r="Q1413" s="185">
        <v>220</v>
      </c>
      <c r="R1413" s="1138">
        <f>COUNTIF(PoderesDeCriatura_Adquiridos,Tablas!O1413)</f>
        <v>0</v>
      </c>
      <c r="S1413" s="185"/>
      <c r="T1413" s="1129"/>
      <c r="U1413" s="274"/>
    </row>
    <row r="1414" spans="1:21" ht="12.75" customHeight="1" x14ac:dyDescent="0.2">
      <c r="A1414" s="242">
        <v>1414</v>
      </c>
      <c r="B1414" s="5664"/>
      <c r="C1414" s="624"/>
      <c r="H1414"/>
      <c r="M1414" s="351"/>
      <c r="N1414" s="23"/>
      <c r="O1414" s="143" t="s">
        <v>8102</v>
      </c>
      <c r="P1414" s="1131">
        <v>0</v>
      </c>
      <c r="Q1414" s="185">
        <v>-10</v>
      </c>
      <c r="R1414" s="1138">
        <f>COUNTIF(PoderesDeCriatura_Adquiridos,Tablas!O1414)</f>
        <v>0</v>
      </c>
      <c r="S1414" s="185"/>
      <c r="T1414" s="1129"/>
      <c r="U1414" s="274"/>
    </row>
    <row r="1415" spans="1:21" ht="12.75" customHeight="1" x14ac:dyDescent="0.2">
      <c r="A1415" s="242">
        <v>1415</v>
      </c>
      <c r="B1415" s="5664"/>
      <c r="C1415" s="624"/>
      <c r="H1415"/>
      <c r="M1415" s="351"/>
      <c r="N1415" s="23"/>
      <c r="O1415" s="143" t="s">
        <v>8103</v>
      </c>
      <c r="P1415" s="1131">
        <v>10</v>
      </c>
      <c r="Q1415" s="185">
        <v>-40</v>
      </c>
      <c r="R1415" s="1138">
        <f>COUNTIF(PoderesDeCriatura_Adquiridos,Tablas!O1415)</f>
        <v>0</v>
      </c>
      <c r="S1415" s="185"/>
      <c r="T1415" s="1129"/>
      <c r="U1415" s="274"/>
    </row>
    <row r="1416" spans="1:21" ht="12.75" customHeight="1" x14ac:dyDescent="0.2">
      <c r="A1416" s="242">
        <v>1416</v>
      </c>
      <c r="B1416" s="5664"/>
      <c r="C1416" s="624"/>
      <c r="H1416"/>
      <c r="M1416" s="351"/>
      <c r="N1416" s="23"/>
      <c r="O1416" s="143" t="s">
        <v>8104</v>
      </c>
      <c r="P1416" s="1131">
        <v>10</v>
      </c>
      <c r="Q1416" s="185">
        <v>-30</v>
      </c>
      <c r="R1416" s="1138">
        <f>COUNTIF(PoderesDeCriatura_Adquiridos,Tablas!O1416)</f>
        <v>0</v>
      </c>
      <c r="S1416" s="185"/>
      <c r="T1416" s="1129"/>
      <c r="U1416" s="274"/>
    </row>
    <row r="1417" spans="1:21" ht="12.75" customHeight="1" x14ac:dyDescent="0.2">
      <c r="A1417" s="242">
        <v>1417</v>
      </c>
      <c r="B1417" s="5664"/>
      <c r="C1417" s="624"/>
      <c r="H1417"/>
      <c r="M1417" s="351"/>
      <c r="N1417" s="23"/>
      <c r="O1417" s="143" t="s">
        <v>8105</v>
      </c>
      <c r="P1417" s="1131">
        <v>10</v>
      </c>
      <c r="Q1417" s="185">
        <v>-40</v>
      </c>
      <c r="R1417" s="1138">
        <f>COUNTIF(PoderesDeCriatura_Adquiridos,Tablas!O1417)</f>
        <v>0</v>
      </c>
      <c r="S1417" s="185">
        <f t="array" ref="S1417">MIN(R1417:R1420*{-10;-25;-50;-100})</f>
        <v>0</v>
      </c>
      <c r="T1417" s="1129" t="s">
        <v>7318</v>
      </c>
      <c r="U1417" s="274"/>
    </row>
    <row r="1418" spans="1:21" ht="12.75" customHeight="1" x14ac:dyDescent="0.2">
      <c r="A1418" s="242">
        <v>1418</v>
      </c>
      <c r="B1418" s="5664"/>
      <c r="C1418" s="624"/>
      <c r="H1418"/>
      <c r="M1418" s="351"/>
      <c r="N1418" s="23"/>
      <c r="O1418" s="143" t="s">
        <v>8106</v>
      </c>
      <c r="P1418" s="1131">
        <v>10</v>
      </c>
      <c r="Q1418" s="185">
        <v>-45</v>
      </c>
      <c r="R1418" s="1138">
        <f>COUNTIF(PoderesDeCriatura_Adquiridos,Tablas!O1418)</f>
        <v>0</v>
      </c>
      <c r="S1418" s="185"/>
      <c r="T1418" s="1129"/>
      <c r="U1418" s="274"/>
    </row>
    <row r="1419" spans="1:21" ht="12.75" customHeight="1" x14ac:dyDescent="0.2">
      <c r="A1419" s="242">
        <v>1419</v>
      </c>
      <c r="B1419" s="5664"/>
      <c r="C1419" s="624"/>
      <c r="H1419"/>
      <c r="M1419" s="351"/>
      <c r="N1419" s="23"/>
      <c r="O1419" s="143" t="s">
        <v>8107</v>
      </c>
      <c r="P1419" s="1131">
        <v>10</v>
      </c>
      <c r="Q1419" s="185">
        <v>-50</v>
      </c>
      <c r="R1419" s="1138">
        <f>COUNTIF(PoderesDeCriatura_Adquiridos,Tablas!O1419)</f>
        <v>0</v>
      </c>
      <c r="S1419" s="185"/>
      <c r="T1419" s="1129"/>
      <c r="U1419" s="274"/>
    </row>
    <row r="1420" spans="1:21" ht="12.75" customHeight="1" x14ac:dyDescent="0.2">
      <c r="A1420" s="242">
        <v>1420</v>
      </c>
      <c r="B1420" s="5664"/>
      <c r="C1420" s="624"/>
      <c r="H1420"/>
      <c r="M1420" s="351"/>
      <c r="N1420" s="23"/>
      <c r="O1420" s="143" t="s">
        <v>8108</v>
      </c>
      <c r="P1420" s="1131">
        <v>10</v>
      </c>
      <c r="Q1420" s="185">
        <v>-60</v>
      </c>
      <c r="R1420" s="1138">
        <f>COUNTIF(PoderesDeCriatura_Adquiridos,Tablas!O1420)</f>
        <v>0</v>
      </c>
      <c r="S1420" s="185"/>
      <c r="T1420" s="1129"/>
      <c r="U1420" s="274"/>
    </row>
    <row r="1421" spans="1:21" ht="12.75" customHeight="1" x14ac:dyDescent="0.2">
      <c r="A1421" s="242">
        <v>1421</v>
      </c>
      <c r="B1421" s="5664"/>
      <c r="C1421" s="624"/>
      <c r="H1421"/>
      <c r="M1421" s="351"/>
      <c r="N1421" s="23"/>
      <c r="O1421" s="143" t="s">
        <v>1328</v>
      </c>
      <c r="P1421" s="1131"/>
      <c r="Q1421" s="185"/>
      <c r="R1421" s="1138"/>
      <c r="S1421" s="185"/>
      <c r="T1421" s="1129"/>
      <c r="U1421" s="274"/>
    </row>
    <row r="1422" spans="1:21" ht="12.75" customHeight="1" x14ac:dyDescent="0.2">
      <c r="A1422" s="242">
        <v>1422</v>
      </c>
      <c r="B1422" s="5664"/>
      <c r="C1422" s="624"/>
      <c r="H1422"/>
      <c r="M1422" s="351"/>
      <c r="N1422" s="23"/>
      <c r="O1422" s="143" t="s">
        <v>8716</v>
      </c>
      <c r="P1422" s="1131">
        <v>15</v>
      </c>
      <c r="Q1422" s="185">
        <v>40</v>
      </c>
      <c r="R1422" s="1138">
        <f>COUNTIF(PoderesDeCriatura_Adquiridos,Tablas!O1422)</f>
        <v>0</v>
      </c>
      <c r="S1422" s="185"/>
      <c r="T1422" s="1129"/>
      <c r="U1422" s="274"/>
    </row>
    <row r="1423" spans="1:21" ht="12.75" customHeight="1" x14ac:dyDescent="0.2">
      <c r="A1423" s="242">
        <v>1423</v>
      </c>
      <c r="B1423" s="5664"/>
      <c r="C1423" s="624"/>
      <c r="H1423"/>
      <c r="M1423" s="351"/>
      <c r="N1423" s="23"/>
      <c r="O1423" s="143" t="s">
        <v>8717</v>
      </c>
      <c r="P1423" s="1131">
        <v>20</v>
      </c>
      <c r="Q1423" s="185">
        <v>60</v>
      </c>
      <c r="R1423" s="1138">
        <f>COUNTIF(PoderesDeCriatura_Adquiridos,Tablas!O1423)</f>
        <v>0</v>
      </c>
      <c r="S1423" s="185"/>
      <c r="T1423" s="1129"/>
      <c r="U1423" s="274"/>
    </row>
    <row r="1424" spans="1:21" ht="12.75" customHeight="1" x14ac:dyDescent="0.2">
      <c r="A1424" s="242">
        <v>1424</v>
      </c>
      <c r="B1424" s="5664"/>
      <c r="C1424" s="624"/>
      <c r="H1424"/>
      <c r="M1424" s="351"/>
      <c r="N1424" s="23"/>
      <c r="O1424" s="143" t="s">
        <v>8718</v>
      </c>
      <c r="P1424" s="1131">
        <v>20</v>
      </c>
      <c r="Q1424" s="185">
        <v>80</v>
      </c>
      <c r="R1424" s="1138">
        <f>COUNTIF(PoderesDeCriatura_Adquiridos,Tablas!O1424)</f>
        <v>0</v>
      </c>
      <c r="S1424" s="185"/>
      <c r="T1424" s="1129"/>
      <c r="U1424" s="274"/>
    </row>
    <row r="1425" spans="1:21" ht="12.75" customHeight="1" x14ac:dyDescent="0.2">
      <c r="A1425" s="242">
        <v>1425</v>
      </c>
      <c r="B1425" s="5664"/>
      <c r="C1425" s="624"/>
      <c r="H1425"/>
      <c r="M1425" s="351"/>
      <c r="N1425" s="23"/>
      <c r="O1425" s="143" t="s">
        <v>8719</v>
      </c>
      <c r="P1425" s="1131">
        <v>25</v>
      </c>
      <c r="Q1425" s="185">
        <v>100</v>
      </c>
      <c r="R1425" s="1138">
        <f>COUNTIF(PoderesDeCriatura_Adquiridos,Tablas!O1425)</f>
        <v>0</v>
      </c>
      <c r="S1425" s="185"/>
      <c r="T1425" s="1129"/>
      <c r="U1425" s="274"/>
    </row>
    <row r="1426" spans="1:21" ht="12.75" customHeight="1" x14ac:dyDescent="0.2">
      <c r="A1426" s="242">
        <v>1426</v>
      </c>
      <c r="B1426" s="5664"/>
      <c r="C1426" s="624"/>
      <c r="H1426"/>
      <c r="M1426" s="351"/>
      <c r="N1426" s="23"/>
      <c r="O1426" s="143" t="s">
        <v>8720</v>
      </c>
      <c r="P1426" s="1131">
        <v>30</v>
      </c>
      <c r="Q1426" s="185">
        <v>140</v>
      </c>
      <c r="R1426" s="1138">
        <f>COUNTIF(PoderesDeCriatura_Adquiridos,Tablas!O1426)</f>
        <v>0</v>
      </c>
      <c r="S1426" s="185"/>
      <c r="T1426" s="1129"/>
      <c r="U1426" s="274"/>
    </row>
    <row r="1427" spans="1:21" ht="12.75" customHeight="1" x14ac:dyDescent="0.2">
      <c r="A1427" s="242">
        <v>1427</v>
      </c>
      <c r="B1427" s="5664"/>
      <c r="C1427" s="624"/>
      <c r="H1427"/>
      <c r="M1427" s="351"/>
      <c r="N1427" s="23"/>
      <c r="O1427" s="143" t="s">
        <v>8721</v>
      </c>
      <c r="P1427" s="1131">
        <v>35</v>
      </c>
      <c r="Q1427" s="185">
        <v>180</v>
      </c>
      <c r="R1427" s="1138">
        <f>COUNTIF(PoderesDeCriatura_Adquiridos,Tablas!O1427)</f>
        <v>0</v>
      </c>
      <c r="S1427" s="185"/>
      <c r="T1427" s="1129"/>
      <c r="U1427" s="274"/>
    </row>
    <row r="1428" spans="1:21" ht="12.75" customHeight="1" x14ac:dyDescent="0.2">
      <c r="A1428" s="242">
        <v>1428</v>
      </c>
      <c r="B1428" s="5664"/>
      <c r="C1428" s="624"/>
      <c r="H1428"/>
      <c r="M1428" s="351"/>
      <c r="N1428" s="23"/>
      <c r="O1428" s="143" t="s">
        <v>8722</v>
      </c>
      <c r="P1428" s="1131">
        <v>15</v>
      </c>
      <c r="Q1428" s="185">
        <v>30</v>
      </c>
      <c r="R1428" s="1138">
        <f>COUNTIF(PoderesDeCriatura_Adquiridos,Tablas!O1428)</f>
        <v>0</v>
      </c>
      <c r="S1428" s="185"/>
      <c r="T1428" s="1129"/>
      <c r="U1428" s="274"/>
    </row>
    <row r="1429" spans="1:21" ht="12.75" customHeight="1" x14ac:dyDescent="0.2">
      <c r="A1429" s="242">
        <v>1429</v>
      </c>
      <c r="B1429" s="5664"/>
      <c r="C1429" s="624"/>
      <c r="H1429"/>
      <c r="M1429" s="351"/>
      <c r="N1429" s="23"/>
      <c r="O1429" s="143" t="s">
        <v>8723</v>
      </c>
      <c r="P1429" s="1131">
        <v>15</v>
      </c>
      <c r="Q1429" s="185">
        <v>40</v>
      </c>
      <c r="R1429" s="1138">
        <f>COUNTIF(PoderesDeCriatura_Adquiridos,Tablas!O1429)</f>
        <v>0</v>
      </c>
      <c r="S1429" s="185"/>
      <c r="T1429" s="1129"/>
      <c r="U1429" s="274"/>
    </row>
    <row r="1430" spans="1:21" ht="12.75" customHeight="1" x14ac:dyDescent="0.2">
      <c r="A1430" s="242">
        <v>1430</v>
      </c>
      <c r="B1430" s="5664"/>
      <c r="C1430" s="624"/>
      <c r="H1430"/>
      <c r="M1430" s="351"/>
      <c r="N1430" s="23"/>
      <c r="O1430" s="143" t="s">
        <v>8724</v>
      </c>
      <c r="P1430" s="1131">
        <v>20</v>
      </c>
      <c r="Q1430" s="185">
        <v>50</v>
      </c>
      <c r="R1430" s="1138">
        <f>COUNTIF(PoderesDeCriatura_Adquiridos,Tablas!O1430)</f>
        <v>0</v>
      </c>
      <c r="S1430" s="185"/>
      <c r="T1430" s="1129"/>
      <c r="U1430" s="274"/>
    </row>
    <row r="1431" spans="1:21" ht="12.75" customHeight="1" x14ac:dyDescent="0.2">
      <c r="A1431" s="242">
        <v>1431</v>
      </c>
      <c r="B1431" s="5664"/>
      <c r="C1431" s="624"/>
      <c r="H1431"/>
      <c r="M1431" s="351"/>
      <c r="N1431" s="23"/>
      <c r="O1431" s="143" t="s">
        <v>8725</v>
      </c>
      <c r="P1431" s="1131">
        <v>20</v>
      </c>
      <c r="Q1431" s="185">
        <v>75</v>
      </c>
      <c r="R1431" s="1138">
        <f>COUNTIF(PoderesDeCriatura_Adquiridos,Tablas!O1431)</f>
        <v>0</v>
      </c>
      <c r="S1431" s="185"/>
      <c r="T1431" s="1129"/>
      <c r="U1431" s="274"/>
    </row>
    <row r="1432" spans="1:21" ht="12.75" customHeight="1" x14ac:dyDescent="0.2">
      <c r="A1432" s="242">
        <v>1432</v>
      </c>
      <c r="B1432" s="5664"/>
      <c r="C1432" s="624"/>
      <c r="H1432"/>
      <c r="M1432" s="351"/>
      <c r="N1432" s="23"/>
      <c r="O1432" s="143" t="s">
        <v>8726</v>
      </c>
      <c r="P1432" s="1131">
        <v>25</v>
      </c>
      <c r="Q1432" s="185">
        <v>100</v>
      </c>
      <c r="R1432" s="1138">
        <f>COUNTIF(PoderesDeCriatura_Adquiridos,Tablas!O1432)</f>
        <v>0</v>
      </c>
      <c r="S1432" s="185"/>
      <c r="T1432" s="1129"/>
      <c r="U1432" s="274"/>
    </row>
    <row r="1433" spans="1:21" ht="12.75" customHeight="1" x14ac:dyDescent="0.2">
      <c r="A1433" s="242">
        <v>1433</v>
      </c>
      <c r="B1433" s="5664"/>
      <c r="C1433" s="624"/>
      <c r="H1433"/>
      <c r="M1433" s="351"/>
      <c r="N1433" s="23"/>
      <c r="O1433" s="143" t="s">
        <v>8727</v>
      </c>
      <c r="P1433" s="1131">
        <v>30</v>
      </c>
      <c r="Q1433" s="185">
        <v>125</v>
      </c>
      <c r="R1433" s="1138">
        <f>COUNTIF(PoderesDeCriatura_Adquiridos,Tablas!O1433)</f>
        <v>0</v>
      </c>
      <c r="S1433" s="185"/>
      <c r="T1433" s="1129"/>
      <c r="U1433" s="274"/>
    </row>
    <row r="1434" spans="1:21" ht="12.75" customHeight="1" x14ac:dyDescent="0.2">
      <c r="A1434" s="242">
        <v>1434</v>
      </c>
      <c r="B1434" s="5664"/>
      <c r="C1434" s="624"/>
      <c r="H1434"/>
      <c r="M1434" s="351"/>
      <c r="N1434" s="23"/>
      <c r="O1434" s="143" t="s">
        <v>8728</v>
      </c>
      <c r="P1434" s="1131">
        <v>35</v>
      </c>
      <c r="Q1434" s="185">
        <v>150</v>
      </c>
      <c r="R1434" s="1138">
        <f>COUNTIF(PoderesDeCriatura_Adquiridos,Tablas!O1434)</f>
        <v>0</v>
      </c>
      <c r="S1434" s="185"/>
      <c r="T1434" s="1129"/>
      <c r="U1434" s="274"/>
    </row>
    <row r="1435" spans="1:21" ht="12.75" customHeight="1" x14ac:dyDescent="0.2">
      <c r="A1435" s="242">
        <v>1435</v>
      </c>
      <c r="B1435" s="5664"/>
      <c r="C1435" s="624"/>
      <c r="H1435"/>
      <c r="M1435" s="351"/>
      <c r="N1435" s="23"/>
      <c r="O1435" s="143" t="s">
        <v>8729</v>
      </c>
      <c r="P1435" s="1131">
        <v>15</v>
      </c>
      <c r="Q1435" s="185">
        <v>60</v>
      </c>
      <c r="R1435" s="1138">
        <f>COUNTIF(PoderesDeCriatura_Adquiridos,Tablas!O1435)</f>
        <v>0</v>
      </c>
      <c r="S1435" s="185"/>
      <c r="T1435" s="1129"/>
      <c r="U1435" s="274"/>
    </row>
    <row r="1436" spans="1:21" ht="12.75" customHeight="1" x14ac:dyDescent="0.2">
      <c r="A1436" s="242">
        <v>1436</v>
      </c>
      <c r="B1436" s="5664"/>
      <c r="C1436" s="624"/>
      <c r="H1436"/>
      <c r="M1436" s="351"/>
      <c r="N1436" s="23"/>
      <c r="O1436" s="143" t="s">
        <v>8730</v>
      </c>
      <c r="P1436" s="1131">
        <v>20</v>
      </c>
      <c r="Q1436" s="185">
        <v>80</v>
      </c>
      <c r="R1436" s="1138">
        <f>COUNTIF(PoderesDeCriatura_Adquiridos,Tablas!O1436)</f>
        <v>0</v>
      </c>
      <c r="S1436" s="185"/>
      <c r="T1436" s="1129"/>
      <c r="U1436" s="274"/>
    </row>
    <row r="1437" spans="1:21" ht="12.75" customHeight="1" x14ac:dyDescent="0.2">
      <c r="A1437" s="242">
        <v>1437</v>
      </c>
      <c r="B1437" s="5664"/>
      <c r="C1437" s="624"/>
      <c r="H1437"/>
      <c r="M1437" s="351"/>
      <c r="N1437" s="23"/>
      <c r="O1437" s="143" t="s">
        <v>8731</v>
      </c>
      <c r="P1437" s="1131">
        <v>25</v>
      </c>
      <c r="Q1437" s="185">
        <v>120</v>
      </c>
      <c r="R1437" s="1138">
        <f>COUNTIF(PoderesDeCriatura_Adquiridos,Tablas!O1437)</f>
        <v>0</v>
      </c>
      <c r="S1437" s="185"/>
      <c r="T1437" s="1129"/>
      <c r="U1437" s="274"/>
    </row>
    <row r="1438" spans="1:21" ht="12.75" customHeight="1" x14ac:dyDescent="0.2">
      <c r="A1438" s="242">
        <v>1438</v>
      </c>
      <c r="B1438" s="5664"/>
      <c r="C1438" s="624"/>
      <c r="H1438"/>
      <c r="M1438" s="351"/>
      <c r="N1438" s="23"/>
      <c r="O1438" s="143" t="s">
        <v>8732</v>
      </c>
      <c r="P1438" s="1131">
        <v>30</v>
      </c>
      <c r="Q1438" s="185">
        <v>140</v>
      </c>
      <c r="R1438" s="1138">
        <f>COUNTIF(PoderesDeCriatura_Adquiridos,Tablas!O1438)</f>
        <v>0</v>
      </c>
      <c r="S1438" s="185"/>
      <c r="T1438" s="1129"/>
      <c r="U1438" s="274"/>
    </row>
    <row r="1439" spans="1:21" ht="12.75" customHeight="1" x14ac:dyDescent="0.2">
      <c r="A1439" s="242">
        <v>1439</v>
      </c>
      <c r="B1439" s="5664"/>
      <c r="C1439" s="624"/>
      <c r="H1439"/>
      <c r="M1439" s="351"/>
      <c r="N1439" s="23"/>
      <c r="O1439" s="143" t="s">
        <v>8109</v>
      </c>
      <c r="P1439" s="1131">
        <v>15</v>
      </c>
      <c r="Q1439" s="185">
        <v>-30</v>
      </c>
      <c r="R1439" s="1138">
        <f>COUNTIF(PoderesDeCriatura_Adquiridos,Tablas!O1439)</f>
        <v>0</v>
      </c>
      <c r="S1439" s="185"/>
      <c r="T1439" s="1129"/>
      <c r="U1439" s="274"/>
    </row>
    <row r="1440" spans="1:21" ht="12.75" customHeight="1" x14ac:dyDescent="0.2">
      <c r="A1440" s="242">
        <v>1440</v>
      </c>
      <c r="B1440" s="5664"/>
      <c r="C1440" s="624"/>
      <c r="H1440"/>
      <c r="M1440" s="351"/>
      <c r="N1440" s="23"/>
      <c r="O1440" s="143" t="s">
        <v>8110</v>
      </c>
      <c r="P1440" s="1131">
        <v>15</v>
      </c>
      <c r="Q1440" s="185">
        <v>-20</v>
      </c>
      <c r="R1440" s="1138">
        <f>COUNTIF(PoderesDeCriatura_Adquiridos,Tablas!O1440)</f>
        <v>0</v>
      </c>
      <c r="S1440" s="185"/>
      <c r="T1440" s="1129"/>
      <c r="U1440" s="274"/>
    </row>
    <row r="1441" spans="1:21" ht="12.75" customHeight="1" x14ac:dyDescent="0.2">
      <c r="A1441" s="242">
        <v>1441</v>
      </c>
      <c r="B1441" s="5664"/>
      <c r="C1441" s="624"/>
      <c r="H1441"/>
      <c r="M1441" s="351"/>
      <c r="N1441" s="23"/>
      <c r="O1441" s="143" t="s">
        <v>8111</v>
      </c>
      <c r="P1441" s="1131">
        <v>15</v>
      </c>
      <c r="Q1441" s="185">
        <v>-10</v>
      </c>
      <c r="R1441" s="1138">
        <f>COUNTIF(PoderesDeCriatura_Adquiridos,Tablas!O1441)</f>
        <v>0</v>
      </c>
      <c r="S1441" s="185"/>
      <c r="T1441" s="1129"/>
      <c r="U1441" s="274"/>
    </row>
    <row r="1442" spans="1:21" ht="12.75" customHeight="1" x14ac:dyDescent="0.2">
      <c r="A1442" s="242">
        <v>1442</v>
      </c>
      <c r="B1442" s="5664"/>
      <c r="C1442" s="624"/>
      <c r="H1442"/>
      <c r="M1442" s="351"/>
      <c r="N1442" s="23"/>
      <c r="O1442" s="143" t="s">
        <v>8112</v>
      </c>
      <c r="P1442" s="1131">
        <v>15</v>
      </c>
      <c r="Q1442" s="185">
        <v>-10</v>
      </c>
      <c r="R1442" s="1138">
        <f>COUNTIF(PoderesDeCriatura_Adquiridos,Tablas!O1442)</f>
        <v>0</v>
      </c>
      <c r="S1442" s="185"/>
      <c r="T1442" s="1129"/>
      <c r="U1442" s="274"/>
    </row>
    <row r="1443" spans="1:21" ht="12.75" customHeight="1" x14ac:dyDescent="0.2">
      <c r="A1443" s="242">
        <v>1443</v>
      </c>
      <c r="B1443" s="5664"/>
      <c r="C1443" s="624"/>
      <c r="H1443"/>
      <c r="M1443" s="351"/>
      <c r="N1443" s="23"/>
      <c r="O1443" s="143" t="s">
        <v>8113</v>
      </c>
      <c r="P1443" s="1131">
        <v>15</v>
      </c>
      <c r="Q1443" s="185">
        <v>-20</v>
      </c>
      <c r="R1443" s="1138">
        <f>COUNTIF(PoderesDeCriatura_Adquiridos,Tablas!O1443)</f>
        <v>0</v>
      </c>
      <c r="S1443" s="185"/>
      <c r="T1443" s="1129"/>
      <c r="U1443" s="274"/>
    </row>
    <row r="1444" spans="1:21" ht="12.75" customHeight="1" x14ac:dyDescent="0.2">
      <c r="A1444" s="242">
        <v>1444</v>
      </c>
      <c r="B1444" s="5664"/>
      <c r="C1444" s="624"/>
      <c r="H1444"/>
      <c r="M1444" s="351"/>
      <c r="N1444" s="23"/>
      <c r="O1444" s="143" t="s">
        <v>8114</v>
      </c>
      <c r="P1444" s="1131">
        <v>15</v>
      </c>
      <c r="Q1444" s="185">
        <v>-10</v>
      </c>
      <c r="R1444" s="1138">
        <f>COUNTIF(PoderesDeCriatura_Adquiridos,Tablas!O1444)</f>
        <v>0</v>
      </c>
      <c r="S1444" s="185"/>
      <c r="T1444" s="1129"/>
      <c r="U1444" s="274"/>
    </row>
    <row r="1445" spans="1:21" ht="12.75" customHeight="1" x14ac:dyDescent="0.2">
      <c r="A1445" s="242">
        <v>1445</v>
      </c>
      <c r="B1445" s="5664"/>
      <c r="C1445" s="624"/>
      <c r="H1445"/>
      <c r="M1445" s="351"/>
      <c r="N1445" s="23"/>
      <c r="O1445" s="143" t="s">
        <v>8115</v>
      </c>
      <c r="P1445" s="1131">
        <v>20</v>
      </c>
      <c r="Q1445" s="185">
        <v>-10</v>
      </c>
      <c r="R1445" s="1138">
        <f>COUNTIF(PoderesDeCriatura_Adquiridos,Tablas!O1445)</f>
        <v>0</v>
      </c>
      <c r="S1445" s="185"/>
      <c r="T1445" s="1129"/>
      <c r="U1445" s="274"/>
    </row>
    <row r="1446" spans="1:21" ht="12.75" customHeight="1" x14ac:dyDescent="0.2">
      <c r="A1446" s="242">
        <v>1446</v>
      </c>
      <c r="B1446" s="5664"/>
      <c r="C1446" s="624"/>
      <c r="H1446"/>
      <c r="M1446" s="351"/>
      <c r="N1446" s="23"/>
      <c r="O1446" s="143" t="s">
        <v>8116</v>
      </c>
      <c r="P1446" s="1131">
        <v>25</v>
      </c>
      <c r="Q1446" s="185">
        <v>-10</v>
      </c>
      <c r="R1446" s="1138">
        <f>COUNTIF(PoderesDeCriatura_Adquiridos,Tablas!O1446)</f>
        <v>0</v>
      </c>
      <c r="S1446" s="185"/>
      <c r="T1446" s="1129"/>
      <c r="U1446" s="274"/>
    </row>
    <row r="1447" spans="1:21" ht="12.75" customHeight="1" x14ac:dyDescent="0.2">
      <c r="A1447" s="242">
        <v>1447</v>
      </c>
      <c r="B1447" s="5664"/>
      <c r="C1447" s="624"/>
      <c r="H1447"/>
      <c r="M1447" s="351"/>
      <c r="N1447" s="23"/>
      <c r="O1447" s="143" t="s">
        <v>8615</v>
      </c>
      <c r="P1447" s="1131">
        <v>20</v>
      </c>
      <c r="Q1447" s="185">
        <v>-10</v>
      </c>
      <c r="R1447" s="1138">
        <f>COUNTIF(PoderesDeCriatura_Adquiridos,Tablas!O1447)</f>
        <v>0</v>
      </c>
      <c r="S1447" s="185"/>
      <c r="T1447" s="1129"/>
      <c r="U1447" s="274"/>
    </row>
    <row r="1448" spans="1:21" ht="12.75" customHeight="1" x14ac:dyDescent="0.2">
      <c r="A1448" s="242">
        <v>1448</v>
      </c>
      <c r="B1448" s="5664"/>
      <c r="C1448" s="624"/>
      <c r="H1448"/>
      <c r="M1448" s="351"/>
      <c r="N1448" s="23"/>
      <c r="O1448" s="143" t="s">
        <v>8616</v>
      </c>
      <c r="P1448" s="1131">
        <v>20</v>
      </c>
      <c r="Q1448" s="185">
        <v>-10</v>
      </c>
      <c r="R1448" s="1138">
        <f>COUNTIF(PoderesDeCriatura_Adquiridos,Tablas!O1448)</f>
        <v>0</v>
      </c>
      <c r="S1448" s="185"/>
      <c r="T1448" s="1129"/>
      <c r="U1448" s="274"/>
    </row>
    <row r="1449" spans="1:21" ht="12.75" customHeight="1" x14ac:dyDescent="0.2">
      <c r="A1449" s="242">
        <v>1449</v>
      </c>
      <c r="B1449" s="5664"/>
      <c r="C1449" s="624"/>
      <c r="H1449"/>
      <c r="M1449" s="351"/>
      <c r="N1449" s="23"/>
      <c r="O1449" s="1" t="s">
        <v>8117</v>
      </c>
      <c r="P1449" s="1131">
        <v>20</v>
      </c>
      <c r="Q1449" s="185">
        <v>-20</v>
      </c>
      <c r="R1449" s="1138">
        <f>COUNTIF(PoderesDeCriatura_Adquiridos,Tablas!O1449)</f>
        <v>0</v>
      </c>
      <c r="S1449" s="185"/>
      <c r="T1449" s="1129"/>
      <c r="U1449" s="274"/>
    </row>
    <row r="1450" spans="1:21" ht="12.75" customHeight="1" x14ac:dyDescent="0.2">
      <c r="A1450" s="242">
        <v>1450</v>
      </c>
      <c r="B1450" s="5664"/>
      <c r="C1450" s="624"/>
      <c r="H1450"/>
      <c r="M1450" s="351"/>
      <c r="N1450" s="23"/>
      <c r="O1450" s="143" t="s">
        <v>8118</v>
      </c>
      <c r="P1450" s="1131">
        <v>20</v>
      </c>
      <c r="Q1450" s="185">
        <v>-15</v>
      </c>
      <c r="R1450" s="1138">
        <f>COUNTIF(PoderesDeCriatura_Adquiridos,Tablas!O1450)</f>
        <v>0</v>
      </c>
      <c r="S1450" s="185"/>
      <c r="T1450" s="1129"/>
      <c r="U1450" s="274"/>
    </row>
    <row r="1451" spans="1:21" ht="12.75" customHeight="1" x14ac:dyDescent="0.2">
      <c r="A1451" s="242">
        <v>1451</v>
      </c>
      <c r="B1451" s="5664"/>
      <c r="C1451" s="624"/>
      <c r="H1451"/>
      <c r="M1451" s="351"/>
      <c r="N1451" s="23"/>
      <c r="O1451" s="143" t="s">
        <v>8119</v>
      </c>
      <c r="P1451" s="1131">
        <v>20</v>
      </c>
      <c r="Q1451" s="185">
        <v>-10</v>
      </c>
      <c r="R1451" s="1138">
        <f>COUNTIF(PoderesDeCriatura_Adquiridos,Tablas!O1451)</f>
        <v>0</v>
      </c>
      <c r="S1451" s="185"/>
      <c r="T1451" s="1129"/>
      <c r="U1451" s="274"/>
    </row>
    <row r="1452" spans="1:21" ht="12.75" customHeight="1" x14ac:dyDescent="0.2">
      <c r="A1452" s="242">
        <v>1452</v>
      </c>
      <c r="B1452" s="5664"/>
      <c r="C1452" s="624"/>
      <c r="H1452"/>
      <c r="M1452" s="351"/>
      <c r="N1452" s="23"/>
      <c r="O1452" s="143" t="s">
        <v>8120</v>
      </c>
      <c r="P1452" s="1131">
        <v>20</v>
      </c>
      <c r="Q1452" s="185">
        <v>-30</v>
      </c>
      <c r="R1452" s="1138">
        <f>COUNTIF(PoderesDeCriatura_Adquiridos,Tablas!O1452)</f>
        <v>0</v>
      </c>
      <c r="S1452" s="185"/>
      <c r="T1452" s="1129"/>
      <c r="U1452" s="274"/>
    </row>
    <row r="1453" spans="1:21" ht="12.75" customHeight="1" x14ac:dyDescent="0.2">
      <c r="A1453" s="242">
        <v>1453</v>
      </c>
      <c r="B1453" s="5664"/>
      <c r="C1453" s="624"/>
      <c r="H1453"/>
      <c r="M1453" s="351"/>
      <c r="N1453" s="23"/>
      <c r="O1453" s="143" t="s">
        <v>8121</v>
      </c>
      <c r="P1453" s="1131">
        <v>20</v>
      </c>
      <c r="Q1453" s="185">
        <v>-10</v>
      </c>
      <c r="R1453" s="1138">
        <f>COUNTIF(PoderesDeCriatura_Adquiridos,Tablas!O1453)</f>
        <v>0</v>
      </c>
      <c r="S1453" s="185"/>
      <c r="T1453" s="1129"/>
      <c r="U1453" s="274"/>
    </row>
    <row r="1454" spans="1:21" ht="12.75" customHeight="1" x14ac:dyDescent="0.2">
      <c r="A1454" s="242">
        <v>1454</v>
      </c>
      <c r="B1454" s="5664"/>
      <c r="C1454" s="624"/>
      <c r="H1454"/>
      <c r="M1454" s="351"/>
      <c r="N1454" s="23"/>
      <c r="O1454" s="143" t="s">
        <v>8122</v>
      </c>
      <c r="P1454" s="1131">
        <v>20</v>
      </c>
      <c r="Q1454" s="185">
        <v>-15</v>
      </c>
      <c r="R1454" s="1138">
        <f>COUNTIF(PoderesDeCriatura_Adquiridos,Tablas!O1454)</f>
        <v>0</v>
      </c>
      <c r="S1454" s="185"/>
      <c r="T1454" s="1129"/>
      <c r="U1454" s="274"/>
    </row>
    <row r="1455" spans="1:21" ht="12.75" customHeight="1" x14ac:dyDescent="0.2">
      <c r="A1455" s="242">
        <v>1455</v>
      </c>
      <c r="B1455" s="5664"/>
      <c r="C1455" s="624"/>
      <c r="H1455"/>
      <c r="M1455" s="351"/>
      <c r="N1455" s="23"/>
      <c r="O1455" s="143" t="s">
        <v>8123</v>
      </c>
      <c r="P1455" s="1131">
        <v>20</v>
      </c>
      <c r="Q1455" s="185">
        <v>-20</v>
      </c>
      <c r="R1455" s="1138">
        <f>COUNTIF(PoderesDeCriatura_Adquiridos,Tablas!O1455)</f>
        <v>0</v>
      </c>
      <c r="S1455" s="185"/>
      <c r="T1455" s="1129"/>
      <c r="U1455" s="274"/>
    </row>
    <row r="1456" spans="1:21" ht="12.75" customHeight="1" x14ac:dyDescent="0.2">
      <c r="A1456" s="242">
        <v>1456</v>
      </c>
      <c r="B1456" s="5664"/>
      <c r="C1456" s="624"/>
      <c r="H1456"/>
      <c r="M1456" s="351"/>
      <c r="N1456" s="23"/>
      <c r="O1456" s="143" t="s">
        <v>8124</v>
      </c>
      <c r="P1456" s="1131">
        <v>20</v>
      </c>
      <c r="Q1456" s="185">
        <v>-25</v>
      </c>
      <c r="R1456" s="1138">
        <f>COUNTIF(PoderesDeCriatura_Adquiridos,Tablas!O1456)</f>
        <v>0</v>
      </c>
      <c r="S1456" s="185"/>
      <c r="T1456" s="1129"/>
      <c r="U1456" s="274"/>
    </row>
    <row r="1457" spans="1:21" ht="12.75" customHeight="1" x14ac:dyDescent="0.2">
      <c r="A1457" s="242">
        <v>1457</v>
      </c>
      <c r="B1457" s="5664"/>
      <c r="C1457" s="624"/>
      <c r="H1457"/>
      <c r="M1457" s="351"/>
      <c r="N1457" s="23"/>
      <c r="O1457" s="143" t="s">
        <v>8125</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664"/>
      <c r="C1458" s="624"/>
      <c r="H1458"/>
      <c r="M1458" s="351"/>
      <c r="N1458" s="23"/>
      <c r="O1458" s="143" t="s">
        <v>8126</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664"/>
      <c r="C1459" s="624"/>
      <c r="H1459"/>
      <c r="M1459" s="351"/>
      <c r="N1459" s="23"/>
      <c r="O1459" s="143" t="s">
        <v>8127</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664"/>
      <c r="C1460" s="624"/>
      <c r="H1460"/>
      <c r="M1460" s="351"/>
      <c r="N1460" s="23"/>
      <c r="O1460" s="143" t="s">
        <v>8128</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664"/>
      <c r="C1461" s="624"/>
      <c r="H1461"/>
      <c r="M1461" s="351"/>
      <c r="N1461" s="23"/>
      <c r="O1461" s="143" t="s">
        <v>8129</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664"/>
      <c r="C1462" s="624"/>
      <c r="H1462"/>
      <c r="M1462" s="351"/>
      <c r="N1462" s="23"/>
      <c r="O1462" s="143" t="s">
        <v>8130</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664"/>
      <c r="C1463" s="624"/>
      <c r="H1463"/>
      <c r="M1463" s="351"/>
      <c r="N1463" s="23"/>
      <c r="O1463" s="143" t="s">
        <v>8131</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664"/>
      <c r="C1464" s="624"/>
      <c r="H1464"/>
      <c r="M1464" s="351"/>
      <c r="N1464" s="23"/>
      <c r="O1464" s="143" t="s">
        <v>1329</v>
      </c>
      <c r="P1464" s="1131"/>
      <c r="Q1464" s="185"/>
      <c r="R1464" s="1138"/>
      <c r="S1464" s="185"/>
      <c r="T1464" s="1129"/>
    </row>
    <row r="1465" spans="1:21" ht="12.75" customHeight="1" x14ac:dyDescent="0.2">
      <c r="A1465" s="242">
        <v>1465</v>
      </c>
      <c r="B1465" s="5664"/>
      <c r="C1465" s="624"/>
      <c r="H1465"/>
      <c r="M1465" s="351"/>
      <c r="N1465" s="23"/>
      <c r="O1465" s="143" t="s">
        <v>8132</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664"/>
      <c r="C1466" s="624"/>
      <c r="H1466"/>
      <c r="M1466" s="351"/>
      <c r="N1466" s="23"/>
      <c r="O1466" s="143" t="s">
        <v>8133</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664"/>
      <c r="C1467" s="624"/>
      <c r="H1467"/>
      <c r="M1467" s="351"/>
      <c r="N1467" s="23"/>
      <c r="O1467" s="143" t="s">
        <v>8134</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664"/>
      <c r="C1468" s="624"/>
      <c r="H1468"/>
      <c r="M1468" s="351"/>
      <c r="N1468" s="23"/>
      <c r="O1468" s="143" t="s">
        <v>8135</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664"/>
      <c r="C1469" s="624"/>
      <c r="H1469"/>
      <c r="M1469" s="351"/>
      <c r="N1469" s="23"/>
      <c r="O1469" s="143" t="s">
        <v>8136</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664"/>
      <c r="C1470" s="624"/>
      <c r="H1470"/>
      <c r="M1470" s="351"/>
      <c r="N1470" s="23"/>
      <c r="O1470" s="143" t="s">
        <v>8137</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664"/>
      <c r="C1471" s="624"/>
      <c r="H1471"/>
      <c r="M1471" s="351"/>
      <c r="N1471" s="23"/>
      <c r="O1471" s="143" t="s">
        <v>8138</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664"/>
      <c r="C1472" s="624"/>
      <c r="H1472"/>
      <c r="M1472" s="351"/>
      <c r="N1472" s="23"/>
      <c r="O1472" s="143" t="s">
        <v>8139</v>
      </c>
      <c r="P1472" s="1131">
        <v>25</v>
      </c>
      <c r="Q1472" s="185">
        <v>100</v>
      </c>
      <c r="R1472" s="1138">
        <f>COUNTIF(PoderesDeCriatura_Adquiridos,Tablas!O1472)</f>
        <v>0</v>
      </c>
      <c r="S1472" s="185"/>
      <c r="T1472" s="1129"/>
      <c r="U1472" s="274"/>
    </row>
    <row r="1473" spans="1:21" ht="12.75" customHeight="1" x14ac:dyDescent="0.2">
      <c r="A1473" s="242">
        <v>1473</v>
      </c>
      <c r="B1473" s="5664"/>
      <c r="C1473" s="624"/>
      <c r="H1473"/>
      <c r="M1473" s="351"/>
      <c r="N1473" s="23"/>
      <c r="O1473" s="143" t="s">
        <v>8140</v>
      </c>
      <c r="P1473" s="1131">
        <v>30</v>
      </c>
      <c r="Q1473" s="185">
        <v>120</v>
      </c>
      <c r="R1473" s="1138">
        <f>COUNTIF(PoderesDeCriatura_Adquiridos,Tablas!O1473)</f>
        <v>0</v>
      </c>
      <c r="S1473" s="185"/>
      <c r="T1473" s="1129"/>
      <c r="U1473" s="274"/>
    </row>
    <row r="1474" spans="1:21" ht="12.75" customHeight="1" x14ac:dyDescent="0.2">
      <c r="A1474" s="242">
        <v>1474</v>
      </c>
      <c r="B1474" s="5664"/>
      <c r="C1474" s="624"/>
      <c r="H1474"/>
      <c r="M1474" s="351"/>
      <c r="N1474" s="23"/>
      <c r="O1474" s="143" t="s">
        <v>8141</v>
      </c>
      <c r="P1474" s="1131">
        <v>35</v>
      </c>
      <c r="Q1474" s="185">
        <v>140</v>
      </c>
      <c r="R1474" s="1138">
        <f>COUNTIF(PoderesDeCriatura_Adquiridos,Tablas!O1474)</f>
        <v>0</v>
      </c>
      <c r="S1474" s="185"/>
      <c r="T1474" s="1129"/>
      <c r="U1474" s="274"/>
    </row>
    <row r="1475" spans="1:21" ht="12.75" customHeight="1" x14ac:dyDescent="0.2">
      <c r="A1475" s="242">
        <v>1475</v>
      </c>
      <c r="B1475" s="5664"/>
      <c r="C1475" s="624"/>
      <c r="H1475"/>
      <c r="M1475" s="351"/>
      <c r="N1475" s="23"/>
      <c r="O1475" s="143" t="s">
        <v>8142</v>
      </c>
      <c r="P1475" s="1131">
        <v>40</v>
      </c>
      <c r="Q1475" s="185">
        <v>180</v>
      </c>
      <c r="R1475" s="1138">
        <f>COUNTIF(PoderesDeCriatura_Adquiridos,Tablas!O1475)</f>
        <v>0</v>
      </c>
      <c r="S1475" s="185"/>
      <c r="T1475" s="1129"/>
      <c r="U1475" s="274"/>
    </row>
    <row r="1476" spans="1:21" ht="12.75" customHeight="1" x14ac:dyDescent="0.2">
      <c r="A1476" s="242">
        <v>1476</v>
      </c>
      <c r="B1476" s="5664"/>
      <c r="C1476" s="624"/>
      <c r="H1476"/>
      <c r="M1476" s="351"/>
      <c r="N1476" s="23"/>
      <c r="O1476" s="143" t="s">
        <v>8143</v>
      </c>
      <c r="P1476" s="1131">
        <v>0</v>
      </c>
      <c r="Q1476" s="185">
        <v>-10</v>
      </c>
      <c r="R1476" s="1138">
        <f>COUNTIF(PoderesDeCriatura_Adquiridos,Tablas!O1476)</f>
        <v>0</v>
      </c>
      <c r="S1476" s="185"/>
      <c r="T1476" s="1129"/>
      <c r="U1476" s="274"/>
    </row>
    <row r="1477" spans="1:21" ht="12.75" customHeight="1" x14ac:dyDescent="0.2">
      <c r="A1477" s="242">
        <v>1477</v>
      </c>
      <c r="B1477" s="5664"/>
      <c r="C1477" s="624"/>
      <c r="H1477"/>
      <c r="M1477" s="351"/>
      <c r="N1477" s="23"/>
      <c r="O1477" s="143" t="s">
        <v>8144</v>
      </c>
      <c r="P1477" s="1131">
        <v>0</v>
      </c>
      <c r="Q1477" s="185">
        <v>-10</v>
      </c>
      <c r="R1477" s="1138">
        <f>COUNTIF(PoderesDeCriatura_Adquiridos,Tablas!O1477)</f>
        <v>0</v>
      </c>
      <c r="S1477" s="185"/>
      <c r="T1477" s="1129"/>
      <c r="U1477" s="274"/>
    </row>
    <row r="1478" spans="1:21" ht="12.75" customHeight="1" x14ac:dyDescent="0.2">
      <c r="A1478" s="242">
        <v>1478</v>
      </c>
      <c r="B1478" s="5664"/>
      <c r="C1478" s="624"/>
      <c r="H1478"/>
      <c r="M1478" s="351"/>
      <c r="N1478" s="23"/>
      <c r="O1478" s="143" t="s">
        <v>8145</v>
      </c>
      <c r="P1478" s="1131">
        <v>0</v>
      </c>
      <c r="Q1478" s="185">
        <v>-10</v>
      </c>
      <c r="R1478" s="1138">
        <f>COUNTIF(PoderesDeCriatura_Adquiridos,Tablas!O1478)</f>
        <v>0</v>
      </c>
      <c r="S1478" s="185"/>
      <c r="T1478" s="1129"/>
      <c r="U1478" s="274"/>
    </row>
    <row r="1479" spans="1:21" ht="12.75" customHeight="1" x14ac:dyDescent="0.2">
      <c r="A1479" s="242">
        <v>1479</v>
      </c>
      <c r="B1479" s="5664"/>
      <c r="C1479" s="624"/>
      <c r="H1479"/>
      <c r="M1479" s="351"/>
      <c r="N1479" s="23"/>
      <c r="O1479" s="143" t="s">
        <v>8146</v>
      </c>
      <c r="P1479" s="1131">
        <v>0</v>
      </c>
      <c r="Q1479" s="185">
        <v>-10</v>
      </c>
      <c r="R1479" s="1138">
        <f>COUNTIF(PoderesDeCriatura_Adquiridos,Tablas!O1479)</f>
        <v>0</v>
      </c>
      <c r="S1479" s="185"/>
      <c r="T1479" s="1129"/>
      <c r="U1479" s="274"/>
    </row>
    <row r="1480" spans="1:21" ht="12.75" customHeight="1" x14ac:dyDescent="0.2">
      <c r="A1480" s="242">
        <v>1480</v>
      </c>
      <c r="B1480" s="5664"/>
      <c r="C1480" s="624"/>
      <c r="H1480"/>
      <c r="M1480" s="351"/>
      <c r="N1480" s="23"/>
      <c r="O1480" s="143" t="s">
        <v>8147</v>
      </c>
      <c r="P1480" s="1131">
        <v>0</v>
      </c>
      <c r="Q1480" s="185">
        <v>-10</v>
      </c>
      <c r="R1480" s="1138">
        <f>COUNTIF(PoderesDeCriatura_Adquiridos,Tablas!O1480)</f>
        <v>0</v>
      </c>
      <c r="S1480" s="185"/>
      <c r="T1480" s="1129"/>
      <c r="U1480" s="274"/>
    </row>
    <row r="1481" spans="1:21" ht="12.75" customHeight="1" x14ac:dyDescent="0.2">
      <c r="A1481" s="242">
        <v>1481</v>
      </c>
      <c r="B1481" s="5664"/>
      <c r="C1481" s="624"/>
      <c r="H1481"/>
      <c r="M1481" s="351"/>
      <c r="N1481" s="23"/>
      <c r="O1481" s="143" t="s">
        <v>8148</v>
      </c>
      <c r="P1481" s="1131">
        <v>0</v>
      </c>
      <c r="Q1481" s="185">
        <v>-10</v>
      </c>
      <c r="R1481" s="1138">
        <f>COUNTIF(PoderesDeCriatura_Adquiridos,Tablas!O1481)</f>
        <v>0</v>
      </c>
      <c r="S1481" s="185"/>
      <c r="T1481" s="1129"/>
      <c r="U1481" s="274"/>
    </row>
    <row r="1482" spans="1:21" ht="12.75" customHeight="1" x14ac:dyDescent="0.2">
      <c r="A1482" s="242">
        <v>1482</v>
      </c>
      <c r="B1482" s="5664"/>
      <c r="C1482" s="624"/>
      <c r="H1482"/>
      <c r="M1482" s="351"/>
      <c r="N1482" s="23"/>
      <c r="O1482" s="143" t="s">
        <v>8149</v>
      </c>
      <c r="P1482" s="1131">
        <v>0</v>
      </c>
      <c r="Q1482" s="185">
        <v>-10</v>
      </c>
      <c r="R1482" s="1138">
        <f>COUNTIF(PoderesDeCriatura_Adquiridos,Tablas!O1482)</f>
        <v>0</v>
      </c>
      <c r="S1482" s="185"/>
      <c r="T1482" s="1129"/>
      <c r="U1482" s="274"/>
    </row>
    <row r="1483" spans="1:21" ht="12.75" customHeight="1" x14ac:dyDescent="0.2">
      <c r="A1483" s="242">
        <v>1483</v>
      </c>
      <c r="B1483" s="5664"/>
      <c r="C1483" s="624"/>
      <c r="H1483"/>
      <c r="M1483" s="351"/>
      <c r="N1483" s="23"/>
      <c r="O1483" s="143" t="s">
        <v>8150</v>
      </c>
      <c r="P1483" s="1131">
        <v>5</v>
      </c>
      <c r="Q1483" s="185">
        <v>10</v>
      </c>
      <c r="R1483" s="1138">
        <f>COUNTIF(PoderesDeCriatura_Adquiridos,Tablas!O1483)</f>
        <v>0</v>
      </c>
      <c r="S1483" s="185"/>
      <c r="T1483" s="1129"/>
      <c r="U1483" s="274"/>
    </row>
    <row r="1484" spans="1:21" ht="12.75" customHeight="1" x14ac:dyDescent="0.2">
      <c r="A1484" s="242">
        <v>1484</v>
      </c>
      <c r="B1484" s="5664"/>
      <c r="C1484" s="624"/>
      <c r="H1484"/>
      <c r="M1484" s="351"/>
      <c r="N1484" s="23"/>
      <c r="O1484" s="143" t="s">
        <v>8151</v>
      </c>
      <c r="P1484" s="1131">
        <v>10</v>
      </c>
      <c r="Q1484" s="185">
        <v>20</v>
      </c>
      <c r="R1484" s="1138">
        <f>COUNTIF(PoderesDeCriatura_Adquiridos,Tablas!O1484)</f>
        <v>0</v>
      </c>
      <c r="S1484" s="185"/>
      <c r="T1484" s="1129"/>
      <c r="U1484" s="274"/>
    </row>
    <row r="1485" spans="1:21" ht="12.75" customHeight="1" x14ac:dyDescent="0.2">
      <c r="A1485" s="242">
        <v>1485</v>
      </c>
      <c r="B1485" s="5664"/>
      <c r="C1485" s="624"/>
      <c r="H1485"/>
      <c r="M1485" s="351"/>
      <c r="N1485" s="23"/>
      <c r="O1485" s="143" t="s">
        <v>8152</v>
      </c>
      <c r="P1485" s="1131">
        <v>15</v>
      </c>
      <c r="Q1485" s="185">
        <v>30</v>
      </c>
      <c r="R1485" s="1138">
        <f>COUNTIF(PoderesDeCriatura_Adquiridos,Tablas!O1485)</f>
        <v>0</v>
      </c>
      <c r="S1485" s="185"/>
      <c r="T1485" s="1129"/>
      <c r="U1485" s="274"/>
    </row>
    <row r="1486" spans="1:21" ht="12.75" customHeight="1" x14ac:dyDescent="0.2">
      <c r="A1486" s="242">
        <v>1486</v>
      </c>
      <c r="B1486" s="5664"/>
      <c r="C1486" s="624"/>
      <c r="H1486"/>
      <c r="M1486" s="351"/>
      <c r="N1486" s="23"/>
      <c r="O1486" s="143" t="s">
        <v>8153</v>
      </c>
      <c r="P1486" s="1131">
        <v>20</v>
      </c>
      <c r="Q1486" s="185">
        <v>40</v>
      </c>
      <c r="R1486" s="1138">
        <f>COUNTIF(PoderesDeCriatura_Adquiridos,Tablas!O1486)</f>
        <v>0</v>
      </c>
      <c r="S1486" s="185"/>
      <c r="T1486" s="1129"/>
      <c r="U1486" s="274"/>
    </row>
    <row r="1487" spans="1:21" ht="12.75" customHeight="1" x14ac:dyDescent="0.2">
      <c r="A1487" s="242">
        <v>1487</v>
      </c>
      <c r="B1487" s="5664"/>
      <c r="C1487" s="624"/>
      <c r="H1487"/>
      <c r="M1487" s="351"/>
      <c r="N1487" s="23"/>
      <c r="O1487" s="143" t="s">
        <v>8154</v>
      </c>
      <c r="P1487" s="1131">
        <v>25</v>
      </c>
      <c r="Q1487" s="185">
        <v>50</v>
      </c>
      <c r="R1487" s="1138">
        <f>COUNTIF(PoderesDeCriatura_Adquiridos,Tablas!O1487)</f>
        <v>0</v>
      </c>
      <c r="S1487" s="185"/>
      <c r="T1487" s="1129"/>
      <c r="U1487" s="274"/>
    </row>
    <row r="1488" spans="1:21" ht="12.75" customHeight="1" x14ac:dyDescent="0.2">
      <c r="A1488" s="242">
        <v>1488</v>
      </c>
      <c r="B1488" s="5664"/>
      <c r="C1488" s="624"/>
      <c r="H1488"/>
      <c r="M1488" s="351"/>
      <c r="N1488" s="23"/>
      <c r="O1488" s="143" t="s">
        <v>8155</v>
      </c>
      <c r="P1488" s="1131">
        <v>30</v>
      </c>
      <c r="Q1488" s="185">
        <v>60</v>
      </c>
      <c r="R1488" s="1138">
        <f>COUNTIF(PoderesDeCriatura_Adquiridos,Tablas!O1488)</f>
        <v>0</v>
      </c>
      <c r="S1488" s="185"/>
      <c r="T1488" s="1129"/>
      <c r="U1488" s="274"/>
    </row>
    <row r="1489" spans="1:21" ht="12.75" customHeight="1" x14ac:dyDescent="0.2">
      <c r="A1489" s="242">
        <v>1489</v>
      </c>
      <c r="B1489" s="5664"/>
      <c r="C1489" s="624"/>
      <c r="H1489"/>
      <c r="M1489" s="351"/>
      <c r="N1489" s="23"/>
      <c r="O1489" s="143" t="s">
        <v>8156</v>
      </c>
      <c r="P1489" s="1131">
        <v>35</v>
      </c>
      <c r="Q1489" s="185">
        <v>70</v>
      </c>
      <c r="R1489" s="1138">
        <f>COUNTIF(PoderesDeCriatura_Adquiridos,Tablas!O1489)</f>
        <v>0</v>
      </c>
      <c r="S1489" s="185"/>
      <c r="T1489" s="1129"/>
      <c r="U1489" s="274"/>
    </row>
    <row r="1490" spans="1:21" ht="12.75" customHeight="1" x14ac:dyDescent="0.2">
      <c r="A1490" s="242">
        <v>1490</v>
      </c>
      <c r="B1490" s="5664"/>
      <c r="C1490" s="624"/>
      <c r="H1490"/>
      <c r="M1490" s="351"/>
      <c r="N1490" s="23"/>
      <c r="O1490" s="143" t="s">
        <v>8157</v>
      </c>
      <c r="P1490" s="1131">
        <v>40</v>
      </c>
      <c r="Q1490" s="185">
        <v>80</v>
      </c>
      <c r="R1490" s="1138">
        <f>COUNTIF(PoderesDeCriatura_Adquiridos,Tablas!O1490)</f>
        <v>0</v>
      </c>
      <c r="S1490" s="185"/>
      <c r="T1490" s="1129"/>
      <c r="U1490" s="274"/>
    </row>
    <row r="1491" spans="1:21" ht="12.75" customHeight="1" x14ac:dyDescent="0.2">
      <c r="A1491" s="242">
        <v>1491</v>
      </c>
      <c r="B1491" s="5664"/>
      <c r="C1491" s="624"/>
      <c r="H1491"/>
      <c r="M1491" s="351"/>
      <c r="N1491" s="23"/>
      <c r="O1491" s="143" t="s">
        <v>1330</v>
      </c>
      <c r="P1491" s="1131"/>
      <c r="Q1491" s="185"/>
      <c r="R1491" s="1138"/>
      <c r="S1491" s="185"/>
      <c r="T1491" s="1129"/>
      <c r="U1491" s="274"/>
    </row>
    <row r="1492" spans="1:21" ht="12.75" customHeight="1" x14ac:dyDescent="0.2">
      <c r="A1492" s="242">
        <v>1492</v>
      </c>
      <c r="B1492" s="5664"/>
      <c r="C1492" s="624"/>
      <c r="H1492"/>
      <c r="M1492" s="351"/>
      <c r="N1492" s="23"/>
      <c r="O1492" s="143" t="s">
        <v>8158</v>
      </c>
      <c r="P1492" s="1131">
        <v>30</v>
      </c>
      <c r="Q1492" s="185">
        <v>30</v>
      </c>
      <c r="R1492" s="1138">
        <f>COUNTIF(PoderesDeCriatura_Adquiridos,Tablas!O1492)</f>
        <v>0</v>
      </c>
      <c r="S1492" s="185"/>
      <c r="T1492" s="1129"/>
      <c r="U1492" s="274"/>
    </row>
    <row r="1493" spans="1:21" ht="12.75" customHeight="1" x14ac:dyDescent="0.2">
      <c r="A1493" s="242">
        <v>1493</v>
      </c>
      <c r="B1493" s="5664"/>
      <c r="C1493" s="624"/>
      <c r="H1493"/>
      <c r="M1493" s="351"/>
      <c r="N1493" s="23"/>
      <c r="O1493" s="143" t="s">
        <v>8159</v>
      </c>
      <c r="P1493" s="1131">
        <v>20</v>
      </c>
      <c r="Q1493" s="185">
        <v>20</v>
      </c>
      <c r="R1493" s="1138">
        <f>COUNTIF(PoderesDeCriatura_Adquiridos,Tablas!O1493)</f>
        <v>0</v>
      </c>
      <c r="S1493" s="185"/>
      <c r="T1493" s="1129"/>
      <c r="U1493" s="274"/>
    </row>
    <row r="1494" spans="1:21" ht="12.75" customHeight="1" x14ac:dyDescent="0.2">
      <c r="A1494" s="242">
        <v>1494</v>
      </c>
      <c r="B1494" s="5664"/>
      <c r="C1494" s="624"/>
      <c r="H1494"/>
      <c r="M1494" s="351"/>
      <c r="N1494" s="23"/>
      <c r="O1494" s="143" t="s">
        <v>8160</v>
      </c>
      <c r="P1494" s="1131">
        <v>30</v>
      </c>
      <c r="Q1494" s="185">
        <v>60</v>
      </c>
      <c r="R1494" s="1138">
        <f>COUNTIF(PoderesDeCriatura_Adquiridos,Tablas!O1494)</f>
        <v>0</v>
      </c>
      <c r="S1494" s="185"/>
      <c r="T1494" s="1129"/>
      <c r="U1494" s="274"/>
    </row>
    <row r="1495" spans="1:21" ht="12.75" customHeight="1" x14ac:dyDescent="0.2">
      <c r="A1495" s="242">
        <v>1495</v>
      </c>
      <c r="B1495" s="5664"/>
      <c r="C1495" s="624"/>
      <c r="H1495"/>
      <c r="M1495" s="351"/>
      <c r="N1495" s="23"/>
      <c r="O1495" s="143" t="s">
        <v>0</v>
      </c>
      <c r="P1495" s="1131"/>
      <c r="Q1495" s="185"/>
      <c r="R1495" s="1138"/>
      <c r="S1495" s="185"/>
      <c r="T1495" s="1129"/>
      <c r="U1495" s="274"/>
    </row>
    <row r="1496" spans="1:21" ht="12.75" customHeight="1" x14ac:dyDescent="0.2">
      <c r="A1496" s="242">
        <v>1496</v>
      </c>
      <c r="B1496" s="5664"/>
      <c r="C1496" s="624"/>
      <c r="H1496"/>
      <c r="M1496" s="351"/>
      <c r="N1496" s="23"/>
      <c r="O1496" s="143" t="s">
        <v>8161</v>
      </c>
      <c r="P1496" s="1131">
        <v>20</v>
      </c>
      <c r="Q1496" s="185">
        <v>80</v>
      </c>
      <c r="R1496" s="1138">
        <f>COUNTIF(PoderesDeCriatura_Adquiridos,Tablas!O1496)</f>
        <v>0</v>
      </c>
      <c r="S1496" s="185"/>
      <c r="T1496" s="1129"/>
      <c r="U1496" s="274"/>
    </row>
    <row r="1497" spans="1:21" ht="12.75" customHeight="1" x14ac:dyDescent="0.2">
      <c r="A1497" s="242">
        <v>1497</v>
      </c>
      <c r="B1497" s="5664"/>
      <c r="C1497" s="624"/>
      <c r="H1497"/>
      <c r="M1497" s="351"/>
      <c r="N1497" s="23"/>
      <c r="O1497" s="143" t="s">
        <v>8162</v>
      </c>
      <c r="P1497" s="1131">
        <v>20</v>
      </c>
      <c r="Q1497" s="185">
        <v>100</v>
      </c>
      <c r="R1497" s="1138">
        <f>COUNTIF(PoderesDeCriatura_Adquiridos,Tablas!O1497)</f>
        <v>0</v>
      </c>
      <c r="S1497" s="185"/>
      <c r="T1497" s="1129"/>
      <c r="U1497" s="274"/>
    </row>
    <row r="1498" spans="1:21" ht="12.75" customHeight="1" x14ac:dyDescent="0.2">
      <c r="A1498" s="242">
        <v>1498</v>
      </c>
      <c r="B1498" s="5664"/>
      <c r="C1498" s="624"/>
      <c r="H1498"/>
      <c r="M1498" s="351"/>
      <c r="N1498" s="23"/>
      <c r="O1498" s="143" t="s">
        <v>8163</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664"/>
      <c r="C1499" s="624"/>
      <c r="H1499"/>
      <c r="M1499" s="351"/>
      <c r="N1499" s="23"/>
      <c r="O1499" s="143" t="s">
        <v>8164</v>
      </c>
      <c r="P1499" s="1131">
        <v>20</v>
      </c>
      <c r="Q1499" s="185">
        <v>10</v>
      </c>
      <c r="R1499" s="1138">
        <f>COUNTIF(PoderesDeCriatura_Adquiridos,Tablas!O1499)</f>
        <v>0</v>
      </c>
      <c r="S1499" s="185"/>
      <c r="T1499" s="1129"/>
      <c r="U1499" s="274"/>
    </row>
    <row r="1500" spans="1:21" ht="12.75" customHeight="1" x14ac:dyDescent="0.2">
      <c r="A1500" s="242">
        <v>1500</v>
      </c>
      <c r="B1500" s="5664"/>
      <c r="C1500" s="624"/>
      <c r="H1500"/>
      <c r="M1500" s="351"/>
      <c r="N1500" s="23"/>
      <c r="O1500" s="143" t="s">
        <v>8165</v>
      </c>
      <c r="P1500" s="1131">
        <v>20</v>
      </c>
      <c r="Q1500" s="185">
        <v>-20</v>
      </c>
      <c r="R1500" s="1138">
        <f>COUNTIF(PoderesDeCriatura_Adquiridos,Tablas!O1500)</f>
        <v>0</v>
      </c>
      <c r="S1500" s="185"/>
      <c r="T1500" s="1129"/>
      <c r="U1500" s="274"/>
    </row>
    <row r="1501" spans="1:21" ht="12.75" customHeight="1" x14ac:dyDescent="0.2">
      <c r="A1501" s="242">
        <v>1501</v>
      </c>
      <c r="B1501" s="5664"/>
      <c r="C1501" s="624"/>
      <c r="H1501"/>
      <c r="M1501" s="351"/>
      <c r="N1501" s="23"/>
      <c r="O1501" s="143" t="s">
        <v>8166</v>
      </c>
      <c r="P1501" s="1126">
        <v>0</v>
      </c>
      <c r="Q1501" s="95">
        <v>0</v>
      </c>
      <c r="R1501" s="1138">
        <f>COUNTIF(PoderesDeCriatura_Adquiridos,Tablas!O1501)</f>
        <v>0</v>
      </c>
      <c r="S1501" s="185"/>
      <c r="T1501" s="1129"/>
      <c r="U1501" s="274"/>
    </row>
    <row r="1502" spans="1:21" ht="12.75" customHeight="1" x14ac:dyDescent="0.2">
      <c r="A1502" s="242">
        <v>1502</v>
      </c>
      <c r="B1502" s="5664"/>
      <c r="C1502" s="624"/>
      <c r="H1502"/>
      <c r="M1502" s="351"/>
      <c r="N1502" s="23"/>
      <c r="O1502" s="143" t="s">
        <v>8167</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664"/>
      <c r="C1503" s="624"/>
      <c r="H1503"/>
      <c r="M1503" s="351"/>
      <c r="N1503" s="23"/>
      <c r="O1503" s="143" t="s">
        <v>8168</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664"/>
      <c r="C1504" s="624"/>
      <c r="H1504"/>
      <c r="M1504" s="351"/>
      <c r="N1504" s="23"/>
      <c r="O1504" s="143" t="s">
        <v>8169</v>
      </c>
      <c r="P1504" s="1131">
        <v>10</v>
      </c>
      <c r="Q1504" s="185">
        <v>-30</v>
      </c>
      <c r="R1504" s="1138">
        <f>COUNTIF(PoderesDeCriatura_Adquiridos,Tablas!O1504)</f>
        <v>0</v>
      </c>
      <c r="S1504" s="185"/>
      <c r="T1504" s="1129"/>
      <c r="U1504" s="274"/>
    </row>
    <row r="1505" spans="1:21" ht="12.75" customHeight="1" x14ac:dyDescent="0.2">
      <c r="A1505" s="242">
        <v>1505</v>
      </c>
      <c r="B1505" s="5664"/>
      <c r="C1505" s="624"/>
      <c r="H1505"/>
      <c r="M1505" s="351"/>
      <c r="N1505" s="23"/>
      <c r="O1505" s="143" t="s">
        <v>8170</v>
      </c>
      <c r="P1505" s="1131">
        <v>10</v>
      </c>
      <c r="Q1505" s="185">
        <v>-10</v>
      </c>
      <c r="R1505" s="1138">
        <f>COUNTIF(PoderesDeCriatura_Adquiridos,Tablas!O1505)</f>
        <v>0</v>
      </c>
      <c r="S1505" s="185"/>
      <c r="T1505" s="1129"/>
      <c r="U1505" s="274"/>
    </row>
    <row r="1506" spans="1:21" ht="12.75" customHeight="1" x14ac:dyDescent="0.2">
      <c r="A1506" s="242">
        <v>1506</v>
      </c>
      <c r="B1506" s="5664"/>
      <c r="C1506" s="624"/>
      <c r="H1506"/>
      <c r="M1506" s="351"/>
      <c r="N1506" s="23"/>
      <c r="O1506" s="143" t="s">
        <v>8171</v>
      </c>
      <c r="P1506" s="1131">
        <v>10</v>
      </c>
      <c r="Q1506" s="185">
        <v>-20</v>
      </c>
      <c r="R1506" s="1138">
        <f>COUNTIF(PoderesDeCriatura_Adquiridos,Tablas!O1506)</f>
        <v>0</v>
      </c>
      <c r="S1506" s="185"/>
      <c r="T1506" s="1129"/>
      <c r="U1506" s="274"/>
    </row>
    <row r="1507" spans="1:21" ht="12.75" customHeight="1" x14ac:dyDescent="0.2">
      <c r="A1507" s="242">
        <v>1507</v>
      </c>
      <c r="B1507" s="5664"/>
      <c r="C1507" s="624"/>
      <c r="H1507"/>
      <c r="M1507" s="351"/>
      <c r="N1507" s="23"/>
      <c r="O1507" s="143" t="s">
        <v>8172</v>
      </c>
      <c r="P1507" s="1131">
        <v>10</v>
      </c>
      <c r="Q1507" s="185">
        <v>-30</v>
      </c>
      <c r="R1507" s="1138">
        <f>COUNTIF(PoderesDeCriatura_Adquiridos,Tablas!O1507)</f>
        <v>0</v>
      </c>
      <c r="S1507" s="185"/>
      <c r="T1507" s="1129"/>
      <c r="U1507" s="274"/>
    </row>
    <row r="1508" spans="1:21" ht="12.75" customHeight="1" x14ac:dyDescent="0.2">
      <c r="A1508" s="242">
        <v>1508</v>
      </c>
      <c r="B1508" s="5664"/>
      <c r="C1508" s="624"/>
      <c r="H1508"/>
      <c r="M1508" s="351"/>
      <c r="N1508" s="23"/>
      <c r="O1508" s="143" t="s">
        <v>8173</v>
      </c>
      <c r="P1508" s="1131">
        <v>10</v>
      </c>
      <c r="Q1508" s="185">
        <v>-40</v>
      </c>
      <c r="R1508" s="1138">
        <f>COUNTIF(PoderesDeCriatura_Adquiridos,Tablas!O1508)</f>
        <v>0</v>
      </c>
      <c r="S1508" s="185"/>
      <c r="T1508" s="1129"/>
      <c r="U1508" s="274"/>
    </row>
    <row r="1509" spans="1:21" ht="12.75" customHeight="1" x14ac:dyDescent="0.2">
      <c r="A1509" s="242">
        <v>1509</v>
      </c>
      <c r="B1509" s="5664"/>
      <c r="C1509" s="624"/>
      <c r="H1509"/>
      <c r="M1509" s="351"/>
      <c r="N1509" s="23"/>
      <c r="O1509" s="143" t="s">
        <v>8174</v>
      </c>
      <c r="P1509" s="1131">
        <v>10</v>
      </c>
      <c r="Q1509" s="185">
        <v>-50</v>
      </c>
      <c r="R1509" s="1138">
        <f>COUNTIF(PoderesDeCriatura_Adquiridos,Tablas!O1509)</f>
        <v>0</v>
      </c>
      <c r="S1509" s="185"/>
      <c r="T1509" s="1129"/>
      <c r="U1509" s="274"/>
    </row>
    <row r="1510" spans="1:21" ht="12.75" customHeight="1" x14ac:dyDescent="0.2">
      <c r="A1510" s="242">
        <v>1510</v>
      </c>
      <c r="B1510" s="5664"/>
      <c r="C1510" s="624"/>
      <c r="H1510"/>
      <c r="M1510" s="351"/>
      <c r="N1510" s="23"/>
      <c r="O1510" s="143" t="s">
        <v>8175</v>
      </c>
      <c r="P1510" s="1126">
        <v>0</v>
      </c>
      <c r="Q1510" s="95">
        <v>0</v>
      </c>
      <c r="R1510" s="1138">
        <f>COUNTIF(PoderesDeCriatura_Adquiridos,Tablas!O1510)</f>
        <v>0</v>
      </c>
      <c r="S1510" s="185"/>
      <c r="T1510" s="1129"/>
      <c r="U1510" s="274"/>
    </row>
    <row r="1511" spans="1:21" ht="12.75" customHeight="1" x14ac:dyDescent="0.2">
      <c r="A1511" s="242">
        <v>1511</v>
      </c>
      <c r="B1511" s="5664"/>
      <c r="C1511" s="624"/>
      <c r="H1511"/>
      <c r="M1511" s="351"/>
      <c r="N1511" s="23"/>
      <c r="O1511" s="143" t="s">
        <v>8176</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664"/>
      <c r="C1512" s="624"/>
      <c r="H1512"/>
      <c r="M1512" s="351"/>
      <c r="N1512" s="23"/>
      <c r="O1512" s="143" t="s">
        <v>8177</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664"/>
      <c r="C1513" s="624"/>
      <c r="H1513"/>
      <c r="M1513" s="351"/>
      <c r="N1513" s="23"/>
      <c r="O1513" s="143" t="s">
        <v>8178</v>
      </c>
      <c r="P1513" s="1131">
        <v>10</v>
      </c>
      <c r="Q1513" s="185">
        <v>-30</v>
      </c>
      <c r="R1513" s="1138">
        <f>COUNTIF(PoderesDeCriatura_Adquiridos,Tablas!O1513)</f>
        <v>0</v>
      </c>
      <c r="S1513" s="185"/>
      <c r="T1513" s="1129"/>
      <c r="U1513" s="274"/>
    </row>
    <row r="1514" spans="1:21" ht="12.75" customHeight="1" x14ac:dyDescent="0.2">
      <c r="A1514" s="242">
        <v>1514</v>
      </c>
      <c r="B1514" s="5664"/>
      <c r="C1514" s="624"/>
      <c r="H1514"/>
      <c r="M1514" s="351"/>
      <c r="N1514" s="23"/>
      <c r="O1514" s="143" t="s">
        <v>8179</v>
      </c>
      <c r="P1514" s="1131">
        <v>10</v>
      </c>
      <c r="Q1514" s="185">
        <v>-10</v>
      </c>
      <c r="R1514" s="1138">
        <f>COUNTIF(PoderesDeCriatura_Adquiridos,Tablas!O1514)</f>
        <v>0</v>
      </c>
      <c r="S1514" s="185"/>
      <c r="T1514" s="1129"/>
      <c r="U1514" s="274"/>
    </row>
    <row r="1515" spans="1:21" ht="12.75" customHeight="1" x14ac:dyDescent="0.2">
      <c r="A1515" s="242">
        <v>1515</v>
      </c>
      <c r="B1515" s="5664"/>
      <c r="C1515" s="624"/>
      <c r="H1515"/>
      <c r="M1515" s="351"/>
      <c r="N1515" s="23"/>
      <c r="O1515" s="143" t="s">
        <v>8180</v>
      </c>
      <c r="P1515" s="1131">
        <v>10</v>
      </c>
      <c r="Q1515" s="185">
        <v>-20</v>
      </c>
      <c r="R1515" s="1138">
        <f>COUNTIF(PoderesDeCriatura_Adquiridos,Tablas!O1515)</f>
        <v>0</v>
      </c>
      <c r="S1515" s="185"/>
      <c r="T1515" s="1129"/>
      <c r="U1515" s="274"/>
    </row>
    <row r="1516" spans="1:21" ht="12.75" customHeight="1" x14ac:dyDescent="0.2">
      <c r="A1516" s="242">
        <v>1516</v>
      </c>
      <c r="B1516" s="5664"/>
      <c r="C1516" s="624"/>
      <c r="H1516"/>
      <c r="M1516" s="351"/>
      <c r="N1516" s="23"/>
      <c r="O1516" s="143" t="s">
        <v>8181</v>
      </c>
      <c r="P1516" s="1131">
        <v>10</v>
      </c>
      <c r="Q1516" s="185">
        <v>-30</v>
      </c>
      <c r="R1516" s="1138">
        <f>COUNTIF(PoderesDeCriatura_Adquiridos,Tablas!O1516)</f>
        <v>0</v>
      </c>
      <c r="S1516" s="185"/>
      <c r="T1516" s="1129"/>
      <c r="U1516" s="274"/>
    </row>
    <row r="1517" spans="1:21" ht="12.75" customHeight="1" x14ac:dyDescent="0.2">
      <c r="A1517" s="242">
        <v>1517</v>
      </c>
      <c r="B1517" s="5664"/>
      <c r="C1517" s="624"/>
      <c r="H1517"/>
      <c r="M1517" s="351"/>
      <c r="N1517" s="23"/>
      <c r="O1517" s="143" t="s">
        <v>8182</v>
      </c>
      <c r="P1517" s="1131">
        <v>10</v>
      </c>
      <c r="Q1517" s="185">
        <v>-40</v>
      </c>
      <c r="R1517" s="1138">
        <f>COUNTIF(PoderesDeCriatura_Adquiridos,Tablas!O1517)</f>
        <v>0</v>
      </c>
      <c r="S1517" s="185"/>
      <c r="T1517" s="1129"/>
      <c r="U1517" s="274"/>
    </row>
    <row r="1518" spans="1:21" ht="12.75" customHeight="1" x14ac:dyDescent="0.2">
      <c r="A1518" s="242">
        <v>1518</v>
      </c>
      <c r="B1518" s="5664"/>
      <c r="C1518" s="624"/>
      <c r="H1518"/>
      <c r="M1518" s="351"/>
      <c r="N1518" s="23"/>
      <c r="O1518" s="143" t="s">
        <v>8183</v>
      </c>
      <c r="P1518" s="1131">
        <v>10</v>
      </c>
      <c r="Q1518" s="185">
        <v>-50</v>
      </c>
      <c r="R1518" s="1138">
        <f>COUNTIF(PoderesDeCriatura_Adquiridos,Tablas!O1518)</f>
        <v>0</v>
      </c>
      <c r="S1518" s="185"/>
      <c r="T1518" s="1129"/>
      <c r="U1518" s="274"/>
    </row>
    <row r="1519" spans="1:21" ht="12.75" customHeight="1" x14ac:dyDescent="0.2">
      <c r="A1519" s="242">
        <v>1519</v>
      </c>
      <c r="B1519" s="5664"/>
      <c r="C1519" s="624"/>
      <c r="H1519"/>
      <c r="M1519" s="351"/>
      <c r="N1519" s="23"/>
      <c r="O1519" s="143" t="s">
        <v>8184</v>
      </c>
      <c r="P1519" s="1131">
        <v>15</v>
      </c>
      <c r="Q1519" s="185">
        <v>40</v>
      </c>
      <c r="R1519" s="1138">
        <f>COUNTIF(PoderesDeCriatura_Adquiridos,Tablas!O1519)</f>
        <v>0</v>
      </c>
      <c r="S1519" s="185"/>
      <c r="T1519" s="1129"/>
      <c r="U1519" s="274"/>
    </row>
    <row r="1520" spans="1:21" ht="12.75" customHeight="1" x14ac:dyDescent="0.2">
      <c r="A1520" s="242">
        <v>1520</v>
      </c>
      <c r="B1520" s="5664"/>
      <c r="C1520" s="624"/>
      <c r="H1520"/>
      <c r="M1520" s="351"/>
      <c r="N1520" s="23"/>
      <c r="O1520" s="143" t="s">
        <v>8185</v>
      </c>
      <c r="P1520" s="1131">
        <v>20</v>
      </c>
      <c r="Q1520" s="185">
        <v>60</v>
      </c>
      <c r="R1520" s="1138">
        <f>COUNTIF(PoderesDeCriatura_Adquiridos,Tablas!O1520)</f>
        <v>0</v>
      </c>
      <c r="S1520" s="185"/>
      <c r="T1520" s="1129"/>
      <c r="U1520" s="274"/>
    </row>
    <row r="1521" spans="1:21" ht="12.75" customHeight="1" x14ac:dyDescent="0.2">
      <c r="A1521" s="242">
        <v>1521</v>
      </c>
      <c r="B1521" s="5664"/>
      <c r="C1521" s="624"/>
      <c r="H1521"/>
      <c r="M1521" s="351"/>
      <c r="N1521" s="23"/>
      <c r="O1521" s="143" t="s">
        <v>8186</v>
      </c>
      <c r="P1521" s="1131">
        <v>25</v>
      </c>
      <c r="Q1521" s="185">
        <v>100</v>
      </c>
      <c r="R1521" s="1138">
        <f>COUNTIF(PoderesDeCriatura_Adquiridos,Tablas!O1521)</f>
        <v>0</v>
      </c>
      <c r="S1521" s="185"/>
      <c r="T1521" s="1129"/>
      <c r="U1521" s="274"/>
    </row>
    <row r="1522" spans="1:21" ht="12.75" customHeight="1" x14ac:dyDescent="0.2">
      <c r="A1522" s="242">
        <v>1522</v>
      </c>
      <c r="B1522" s="5664"/>
      <c r="C1522" s="624"/>
      <c r="H1522"/>
      <c r="M1522" s="351"/>
      <c r="N1522" s="23"/>
      <c r="O1522" s="143" t="s">
        <v>8187</v>
      </c>
      <c r="P1522" s="1131">
        <v>20</v>
      </c>
      <c r="Q1522" s="185">
        <v>-20</v>
      </c>
      <c r="R1522" s="1138">
        <f>COUNTIF(PoderesDeCriatura_Adquiridos,Tablas!O1522)</f>
        <v>0</v>
      </c>
      <c r="S1522" s="185"/>
      <c r="T1522" s="1129"/>
      <c r="U1522" s="274"/>
    </row>
    <row r="1523" spans="1:21" ht="12.75" customHeight="1" x14ac:dyDescent="0.2">
      <c r="A1523" s="242">
        <v>1523</v>
      </c>
      <c r="B1523" s="5664"/>
      <c r="C1523" s="624"/>
      <c r="H1523"/>
      <c r="M1523" s="351"/>
      <c r="N1523" s="23"/>
      <c r="O1523" s="143" t="s">
        <v>8188</v>
      </c>
      <c r="P1523" s="1131">
        <v>10</v>
      </c>
      <c r="Q1523" s="185">
        <v>10</v>
      </c>
      <c r="R1523" s="1138">
        <f>COUNTIF(PoderesDeCriatura_Adquiridos,Tablas!O1523)</f>
        <v>0</v>
      </c>
      <c r="S1523" s="185"/>
      <c r="T1523" s="1129"/>
      <c r="U1523" s="274"/>
    </row>
    <row r="1524" spans="1:21" ht="12.75" customHeight="1" x14ac:dyDescent="0.2">
      <c r="A1524" s="242">
        <v>1524</v>
      </c>
      <c r="B1524" s="5664"/>
      <c r="C1524" s="624"/>
      <c r="H1524"/>
      <c r="M1524" s="351"/>
      <c r="N1524" s="23"/>
      <c r="O1524" s="143" t="s">
        <v>8189</v>
      </c>
      <c r="P1524" s="1131">
        <v>20</v>
      </c>
      <c r="Q1524" s="185">
        <v>20</v>
      </c>
      <c r="R1524" s="1138">
        <f>COUNTIF(PoderesDeCriatura_Adquiridos,Tablas!O1524)</f>
        <v>0</v>
      </c>
      <c r="S1524" s="185"/>
      <c r="T1524" s="1129"/>
      <c r="U1524" s="274"/>
    </row>
    <row r="1525" spans="1:21" ht="12.75" customHeight="1" x14ac:dyDescent="0.2">
      <c r="A1525" s="242">
        <v>1525</v>
      </c>
      <c r="B1525" s="5664"/>
      <c r="C1525" s="624"/>
      <c r="H1525"/>
      <c r="M1525" s="351"/>
      <c r="N1525" s="23"/>
      <c r="O1525" s="143" t="s">
        <v>8190</v>
      </c>
      <c r="P1525" s="1131">
        <v>20</v>
      </c>
      <c r="Q1525" s="185">
        <v>40</v>
      </c>
      <c r="R1525" s="1138">
        <f>COUNTIF(PoderesDeCriatura_Adquiridos,Tablas!O1525)</f>
        <v>0</v>
      </c>
      <c r="S1525" s="185"/>
      <c r="T1525" s="1129"/>
      <c r="U1525" s="274"/>
    </row>
    <row r="1526" spans="1:21" ht="12.75" customHeight="1" x14ac:dyDescent="0.2">
      <c r="A1526" s="242">
        <v>1526</v>
      </c>
      <c r="B1526" s="5664"/>
      <c r="C1526" s="624"/>
      <c r="H1526"/>
      <c r="M1526" s="351"/>
      <c r="N1526" s="23"/>
      <c r="O1526" s="143" t="s">
        <v>8191</v>
      </c>
      <c r="P1526" s="1131">
        <v>25</v>
      </c>
      <c r="Q1526" s="185">
        <v>80</v>
      </c>
      <c r="R1526" s="1138">
        <f>COUNTIF(PoderesDeCriatura_Adquiridos,Tablas!O1526)</f>
        <v>0</v>
      </c>
      <c r="S1526" s="185"/>
      <c r="T1526" s="1129"/>
      <c r="U1526" s="274"/>
    </row>
    <row r="1527" spans="1:21" ht="12.75" customHeight="1" x14ac:dyDescent="0.2">
      <c r="A1527" s="242">
        <v>1527</v>
      </c>
      <c r="B1527" s="5664"/>
      <c r="C1527" s="624"/>
      <c r="H1527"/>
      <c r="M1527" s="351"/>
      <c r="N1527" s="23"/>
      <c r="O1527" s="143" t="s">
        <v>8192</v>
      </c>
      <c r="P1527" s="1131">
        <v>10</v>
      </c>
      <c r="Q1527" s="185">
        <v>50</v>
      </c>
      <c r="R1527" s="1138">
        <f>COUNTIF(PoderesDeCriatura_Adquiridos,Tablas!O1527)</f>
        <v>0</v>
      </c>
      <c r="S1527" s="185"/>
      <c r="T1527" s="1129"/>
      <c r="U1527" s="274"/>
    </row>
    <row r="1528" spans="1:21" ht="12.75" customHeight="1" x14ac:dyDescent="0.2">
      <c r="A1528" s="242">
        <v>1528</v>
      </c>
      <c r="B1528" s="5664"/>
      <c r="C1528" s="624"/>
      <c r="H1528"/>
      <c r="M1528" s="351"/>
      <c r="N1528" s="23"/>
      <c r="O1528" s="143" t="s">
        <v>8193</v>
      </c>
      <c r="P1528" s="1131">
        <v>20</v>
      </c>
      <c r="Q1528" s="185">
        <v>80</v>
      </c>
      <c r="R1528" s="1138">
        <f>COUNTIF(PoderesDeCriatura_Adquiridos,Tablas!O1528)</f>
        <v>0</v>
      </c>
      <c r="S1528" s="185"/>
      <c r="T1528" s="1129"/>
      <c r="U1528" s="274"/>
    </row>
    <row r="1529" spans="1:21" ht="12.75" customHeight="1" x14ac:dyDescent="0.2">
      <c r="A1529" s="242">
        <v>1529</v>
      </c>
      <c r="B1529" s="5664"/>
      <c r="C1529" s="624"/>
      <c r="H1529"/>
      <c r="M1529" s="351"/>
      <c r="N1529" s="23"/>
      <c r="O1529" s="143" t="s">
        <v>8194</v>
      </c>
      <c r="P1529" s="1131">
        <v>25</v>
      </c>
      <c r="Q1529" s="185">
        <v>100</v>
      </c>
      <c r="R1529" s="1138">
        <f>COUNTIF(PoderesDeCriatura_Adquiridos,Tablas!O1529)</f>
        <v>0</v>
      </c>
      <c r="S1529" s="185"/>
      <c r="T1529" s="1129"/>
      <c r="U1529" s="274"/>
    </row>
    <row r="1530" spans="1:21" ht="12.75" customHeight="1" x14ac:dyDescent="0.2">
      <c r="A1530" s="242">
        <v>1530</v>
      </c>
      <c r="B1530" s="5664"/>
      <c r="C1530" s="624"/>
      <c r="H1530"/>
      <c r="M1530" s="351"/>
      <c r="N1530" s="23"/>
      <c r="O1530" s="143" t="s">
        <v>8195</v>
      </c>
      <c r="P1530" s="1131">
        <v>30</v>
      </c>
      <c r="Q1530" s="185">
        <v>150</v>
      </c>
      <c r="R1530" s="1138">
        <f>COUNTIF(PoderesDeCriatura_Adquiridos,Tablas!O1530)</f>
        <v>0</v>
      </c>
      <c r="S1530" s="185"/>
      <c r="T1530" s="1129"/>
      <c r="U1530" s="274"/>
    </row>
    <row r="1531" spans="1:21" ht="12.75" customHeight="1" x14ac:dyDescent="0.2">
      <c r="A1531" s="242">
        <v>1531</v>
      </c>
      <c r="B1531" s="5664"/>
      <c r="C1531" s="624"/>
      <c r="H1531"/>
      <c r="M1531" s="351"/>
      <c r="N1531" s="23"/>
      <c r="O1531" s="143" t="s">
        <v>8196</v>
      </c>
      <c r="P1531" s="1131">
        <v>10</v>
      </c>
      <c r="Q1531" s="185">
        <v>50</v>
      </c>
      <c r="R1531" s="1138">
        <f>COUNTIF(PoderesDeCriatura_Adquiridos,Tablas!O1531)</f>
        <v>0</v>
      </c>
      <c r="S1531" s="185"/>
      <c r="T1531" s="1129"/>
      <c r="U1531" s="274"/>
    </row>
    <row r="1532" spans="1:21" ht="12.75" customHeight="1" x14ac:dyDescent="0.2">
      <c r="A1532" s="242">
        <v>1532</v>
      </c>
      <c r="B1532" s="5664"/>
      <c r="C1532" s="624"/>
      <c r="H1532"/>
      <c r="M1532" s="351"/>
      <c r="N1532" s="23"/>
      <c r="O1532" s="143" t="s">
        <v>8197</v>
      </c>
      <c r="P1532" s="1131">
        <v>20</v>
      </c>
      <c r="Q1532" s="185">
        <v>-30</v>
      </c>
      <c r="R1532" s="1138">
        <f>COUNTIF(PoderesDeCriatura_Adquiridos,Tablas!O1532)</f>
        <v>0</v>
      </c>
      <c r="S1532" s="185"/>
      <c r="T1532" s="1129"/>
      <c r="U1532" s="274"/>
    </row>
    <row r="1533" spans="1:21" ht="12.75" customHeight="1" x14ac:dyDescent="0.2">
      <c r="A1533" s="242">
        <v>1533</v>
      </c>
      <c r="B1533" s="5664"/>
      <c r="C1533" s="624"/>
      <c r="H1533"/>
      <c r="M1533" s="351"/>
      <c r="N1533" s="23"/>
      <c r="O1533" s="143" t="s">
        <v>8198</v>
      </c>
      <c r="P1533" s="1126">
        <v>20</v>
      </c>
      <c r="Q1533" s="95">
        <v>40</v>
      </c>
      <c r="R1533" s="1138">
        <f>COUNTIF(PoderesDeCriatura_Adquiridos,Tablas!O1533)</f>
        <v>0</v>
      </c>
      <c r="S1533" s="185"/>
      <c r="T1533" s="1129"/>
      <c r="U1533" s="274"/>
    </row>
    <row r="1534" spans="1:21" ht="12.75" customHeight="1" x14ac:dyDescent="0.2">
      <c r="A1534" s="242">
        <v>1534</v>
      </c>
      <c r="B1534" s="5664"/>
      <c r="C1534" s="624"/>
      <c r="H1534"/>
      <c r="M1534" s="351"/>
      <c r="N1534" s="23"/>
      <c r="O1534" s="143" t="s">
        <v>8199</v>
      </c>
      <c r="P1534" s="1126">
        <v>20</v>
      </c>
      <c r="Q1534" s="95">
        <v>60</v>
      </c>
      <c r="R1534" s="1138">
        <f>COUNTIF(PoderesDeCriatura_Adquiridos,Tablas!O1534)</f>
        <v>0</v>
      </c>
      <c r="S1534" s="185"/>
      <c r="T1534" s="1129"/>
      <c r="U1534" s="274"/>
    </row>
    <row r="1535" spans="1:21" ht="12.75" customHeight="1" x14ac:dyDescent="0.2">
      <c r="A1535" s="242">
        <v>1535</v>
      </c>
      <c r="B1535" s="5664"/>
      <c r="C1535" s="624"/>
      <c r="H1535"/>
      <c r="M1535" s="351"/>
      <c r="N1535" s="23"/>
      <c r="O1535" s="143" t="s">
        <v>8200</v>
      </c>
      <c r="P1535" s="1126">
        <v>25</v>
      </c>
      <c r="Q1535" s="95">
        <v>80</v>
      </c>
      <c r="R1535" s="1138">
        <f>COUNTIF(PoderesDeCriatura_Adquiridos,Tablas!O1535)</f>
        <v>0</v>
      </c>
      <c r="S1535" s="185"/>
      <c r="T1535" s="1129"/>
      <c r="U1535" s="274"/>
    </row>
    <row r="1536" spans="1:21" ht="12.75" customHeight="1" x14ac:dyDescent="0.2">
      <c r="A1536" s="242">
        <v>1536</v>
      </c>
      <c r="B1536" s="5664"/>
      <c r="C1536" s="624"/>
      <c r="H1536"/>
      <c r="M1536" s="351"/>
      <c r="N1536" s="23"/>
      <c r="O1536" s="143" t="s">
        <v>8201</v>
      </c>
      <c r="P1536" s="1126">
        <v>25</v>
      </c>
      <c r="Q1536" s="95">
        <v>100</v>
      </c>
      <c r="R1536" s="1138">
        <f>COUNTIF(PoderesDeCriatura_Adquiridos,Tablas!O1536)</f>
        <v>0</v>
      </c>
      <c r="S1536" s="185"/>
      <c r="T1536" s="1129"/>
      <c r="U1536" s="274"/>
    </row>
    <row r="1537" spans="1:21" ht="12.75" customHeight="1" x14ac:dyDescent="0.2">
      <c r="A1537" s="242">
        <v>1537</v>
      </c>
      <c r="B1537" s="5664"/>
      <c r="C1537" s="624"/>
      <c r="H1537"/>
      <c r="M1537" s="351"/>
      <c r="N1537" s="23"/>
      <c r="O1537" s="143" t="s">
        <v>8202</v>
      </c>
      <c r="P1537" s="1126">
        <v>30</v>
      </c>
      <c r="Q1537" s="95">
        <v>120</v>
      </c>
      <c r="R1537" s="1138">
        <f>COUNTIF(PoderesDeCriatura_Adquiridos,Tablas!O1537)</f>
        <v>0</v>
      </c>
      <c r="S1537" s="185"/>
      <c r="T1537" s="1129"/>
      <c r="U1537" s="274"/>
    </row>
    <row r="1538" spans="1:21" ht="12.75" customHeight="1" x14ac:dyDescent="0.2">
      <c r="A1538" s="242">
        <v>1538</v>
      </c>
      <c r="B1538" s="5664"/>
      <c r="C1538" s="624"/>
      <c r="H1538"/>
      <c r="M1538" s="351"/>
      <c r="N1538" s="23"/>
      <c r="O1538" s="143" t="s">
        <v>8203</v>
      </c>
      <c r="P1538" s="1126">
        <v>35</v>
      </c>
      <c r="Q1538" s="95">
        <v>140</v>
      </c>
      <c r="R1538" s="1138">
        <f>COUNTIF(PoderesDeCriatura_Adquiridos,Tablas!O1538)</f>
        <v>0</v>
      </c>
      <c r="S1538" s="185"/>
      <c r="T1538" s="1129"/>
      <c r="U1538" s="274"/>
    </row>
    <row r="1539" spans="1:21" ht="12.75" customHeight="1" x14ac:dyDescent="0.2">
      <c r="A1539" s="242">
        <v>1539</v>
      </c>
      <c r="B1539" s="5664"/>
      <c r="C1539" s="624"/>
      <c r="H1539"/>
      <c r="M1539" s="351"/>
      <c r="N1539" s="23"/>
      <c r="O1539" s="143" t="s">
        <v>8204</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664"/>
      <c r="C1540" s="624"/>
      <c r="H1540"/>
      <c r="M1540" s="351"/>
      <c r="N1540" s="23"/>
      <c r="O1540" s="143" t="s">
        <v>8205</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664"/>
      <c r="C1541" s="624"/>
      <c r="H1541"/>
      <c r="M1541" s="351"/>
      <c r="N1541" s="23"/>
      <c r="O1541" s="143" t="s">
        <v>8206</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664"/>
      <c r="C1542" s="624"/>
      <c r="H1542"/>
      <c r="M1542" s="351"/>
      <c r="N1542" s="23"/>
      <c r="O1542" s="143" t="s">
        <v>8207</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664"/>
      <c r="C1543" s="624"/>
      <c r="H1543"/>
      <c r="M1543" s="351"/>
      <c r="N1543" s="23"/>
      <c r="O1543" s="143" t="s">
        <v>8208</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664"/>
      <c r="C1544" s="624"/>
      <c r="H1544"/>
      <c r="M1544" s="351"/>
      <c r="N1544" s="23"/>
      <c r="O1544" s="143" t="s">
        <v>8209</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664"/>
      <c r="C1545" s="624"/>
      <c r="H1545"/>
      <c r="M1545" s="351"/>
      <c r="N1545" s="23"/>
      <c r="O1545" s="143" t="s">
        <v>8210</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664"/>
      <c r="C1546" s="624"/>
      <c r="H1546"/>
      <c r="M1546" s="351"/>
      <c r="N1546" s="23"/>
      <c r="O1546" s="143" t="s">
        <v>8211</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664"/>
      <c r="C1547" s="624"/>
      <c r="H1547"/>
      <c r="M1547" s="351"/>
      <c r="N1547" s="23"/>
      <c r="O1547" s="143" t="s">
        <v>8212</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664"/>
      <c r="C1548" s="624"/>
      <c r="H1548"/>
      <c r="M1548" s="351"/>
      <c r="N1548" s="23"/>
      <c r="O1548" s="143" t="s">
        <v>8213</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664"/>
      <c r="C1549" s="624"/>
      <c r="H1549"/>
      <c r="M1549" s="351"/>
      <c r="N1549" s="23"/>
      <c r="O1549" s="143" t="s">
        <v>8214</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664"/>
      <c r="C1550" s="624"/>
      <c r="H1550"/>
      <c r="M1550" s="351"/>
      <c r="N1550" s="23"/>
      <c r="O1550" s="143" t="s">
        <v>8215</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664"/>
      <c r="C1551" s="624"/>
      <c r="H1551"/>
      <c r="M1551" s="351"/>
      <c r="N1551" s="23"/>
      <c r="O1551" s="143" t="s">
        <v>8216</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664"/>
      <c r="C1552" s="624"/>
      <c r="H1552"/>
      <c r="M1552" s="351"/>
      <c r="N1552" s="23"/>
      <c r="O1552" s="143" t="s">
        <v>8217</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664"/>
      <c r="C1553" s="624"/>
      <c r="H1553"/>
      <c r="M1553" s="351"/>
      <c r="N1553" s="23"/>
      <c r="O1553" s="143" t="s">
        <v>8218</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664"/>
      <c r="C1554" s="624"/>
      <c r="H1554"/>
      <c r="M1554" s="351"/>
      <c r="N1554" s="23"/>
      <c r="O1554" s="143" t="s">
        <v>8219</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664"/>
      <c r="C1555" s="624"/>
      <c r="H1555"/>
      <c r="M1555" s="351"/>
      <c r="N1555" s="23"/>
      <c r="O1555" s="143" t="s">
        <v>8220</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664"/>
      <c r="C1556" s="624"/>
      <c r="H1556"/>
      <c r="M1556" s="351"/>
      <c r="N1556" s="23"/>
      <c r="O1556" s="143" t="s">
        <v>8221</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664"/>
      <c r="C1557" s="624"/>
      <c r="H1557"/>
      <c r="M1557" s="351"/>
      <c r="N1557" s="23"/>
      <c r="O1557" s="143" t="s">
        <v>8222</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664"/>
      <c r="C1558" s="624"/>
      <c r="H1558"/>
      <c r="M1558" s="351"/>
      <c r="N1558" s="23"/>
      <c r="O1558" s="143" t="s">
        <v>8223</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664"/>
      <c r="C1559" s="624"/>
      <c r="H1559"/>
      <c r="M1559" s="351"/>
      <c r="N1559" s="23"/>
      <c r="O1559" s="143" t="s">
        <v>8224</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664"/>
      <c r="C1560" s="624"/>
      <c r="H1560"/>
      <c r="M1560" s="351"/>
      <c r="N1560" s="23"/>
      <c r="O1560" s="143" t="s">
        <v>8225</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664"/>
      <c r="C1561" s="624"/>
      <c r="H1561"/>
      <c r="M1561" s="351"/>
      <c r="N1561" s="23"/>
      <c r="O1561" s="143" t="s">
        <v>8226</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664"/>
      <c r="C1562" s="624"/>
      <c r="H1562"/>
      <c r="M1562" s="351"/>
      <c r="N1562" s="23"/>
      <c r="O1562" s="143" t="s">
        <v>8227</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664"/>
      <c r="C1563" s="624"/>
      <c r="H1563"/>
      <c r="M1563" s="351"/>
      <c r="N1563" s="23"/>
      <c r="O1563" s="143" t="s">
        <v>8228</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664"/>
      <c r="C1564" s="624"/>
      <c r="H1564"/>
      <c r="M1564" s="351"/>
      <c r="N1564" s="23"/>
      <c r="O1564" s="143" t="s">
        <v>8229</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664"/>
      <c r="C1565" s="624"/>
      <c r="H1565"/>
      <c r="M1565" s="351"/>
      <c r="N1565" s="23"/>
      <c r="O1565" s="143" t="s">
        <v>8230</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664"/>
      <c r="C1566" s="624"/>
      <c r="H1566"/>
      <c r="M1566" s="351"/>
      <c r="N1566" s="23"/>
      <c r="O1566" s="143" t="s">
        <v>8231</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664"/>
      <c r="C1567" s="624"/>
      <c r="H1567"/>
      <c r="M1567" s="351"/>
      <c r="N1567" s="23"/>
      <c r="O1567" s="143" t="s">
        <v>8232</v>
      </c>
      <c r="P1567" s="1126">
        <v>20</v>
      </c>
      <c r="Q1567" s="95">
        <v>-30</v>
      </c>
      <c r="R1567" s="1138">
        <f>COUNTIF(PoderesDeCriatura_Adquiridos,Tablas!O1567)</f>
        <v>0</v>
      </c>
      <c r="S1567" s="185"/>
      <c r="T1567" s="1129"/>
      <c r="U1567" s="274"/>
    </row>
    <row r="1568" spans="1:21" ht="12.75" customHeight="1" x14ac:dyDescent="0.2">
      <c r="A1568" s="242">
        <v>1568</v>
      </c>
      <c r="B1568" s="5664"/>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664"/>
      <c r="C1569" s="624"/>
      <c r="H1569"/>
      <c r="M1569" s="351"/>
      <c r="N1569" s="23"/>
      <c r="O1569" s="143" t="s">
        <v>8233</v>
      </c>
      <c r="P1569" s="1131">
        <v>0</v>
      </c>
      <c r="Q1569" s="185">
        <v>10</v>
      </c>
      <c r="R1569" s="1138">
        <f>COUNTIF(PoderesDeCriatura_Adquiridos,Tablas!O1569)</f>
        <v>0</v>
      </c>
      <c r="S1569" s="185"/>
      <c r="T1569" s="1129"/>
      <c r="U1569" s="274"/>
    </row>
    <row r="1570" spans="1:21" ht="12.75" customHeight="1" x14ac:dyDescent="0.2">
      <c r="A1570" s="242">
        <v>1570</v>
      </c>
      <c r="B1570" s="5664"/>
      <c r="C1570" s="624"/>
      <c r="H1570"/>
      <c r="M1570" s="351"/>
      <c r="N1570" s="23"/>
      <c r="O1570" s="143" t="s">
        <v>8234</v>
      </c>
      <c r="P1570" s="1131">
        <v>10</v>
      </c>
      <c r="Q1570" s="185">
        <v>20</v>
      </c>
      <c r="R1570" s="1138">
        <f>COUNTIF(PoderesDeCriatura_Adquiridos,Tablas!O1570)</f>
        <v>0</v>
      </c>
      <c r="S1570" s="185"/>
      <c r="T1570" s="1129"/>
      <c r="U1570" s="274"/>
    </row>
    <row r="1571" spans="1:21" ht="12.75" customHeight="1" x14ac:dyDescent="0.2">
      <c r="A1571" s="242">
        <v>1571</v>
      </c>
      <c r="B1571" s="5664"/>
      <c r="C1571" s="624" t="str">
        <f t="shared" ref="C1571" si="257">C1566&amp;" "&amp;D1566</f>
        <v xml:space="preserve"> </v>
      </c>
      <c r="H1571"/>
      <c r="M1571" s="351"/>
      <c r="N1571" s="23"/>
      <c r="O1571" s="143" t="s">
        <v>8235</v>
      </c>
      <c r="P1571" s="1131">
        <v>10</v>
      </c>
      <c r="Q1571" s="185">
        <v>30</v>
      </c>
      <c r="R1571" s="1138">
        <f>COUNTIF(PoderesDeCriatura_Adquiridos,Tablas!O1571)</f>
        <v>0</v>
      </c>
      <c r="S1571" s="185"/>
      <c r="T1571" s="1129"/>
      <c r="U1571" s="274"/>
    </row>
    <row r="1572" spans="1:21" ht="12.75" customHeight="1" x14ac:dyDescent="0.2">
      <c r="A1572" s="242">
        <v>1572</v>
      </c>
      <c r="B1572" s="5664"/>
      <c r="C1572" s="624"/>
      <c r="H1572"/>
      <c r="M1572" s="351"/>
      <c r="N1572" s="23"/>
      <c r="O1572" s="143" t="s">
        <v>8236</v>
      </c>
      <c r="P1572" s="1131">
        <v>10</v>
      </c>
      <c r="Q1572" s="185">
        <v>10</v>
      </c>
      <c r="R1572" s="1138">
        <f>COUNTIF(PoderesDeCriatura_Adquiridos,Tablas!O1572)</f>
        <v>0</v>
      </c>
      <c r="S1572" s="185"/>
      <c r="T1572" s="1129"/>
      <c r="U1572" s="274"/>
    </row>
    <row r="1573" spans="1:21" ht="12.75" customHeight="1" x14ac:dyDescent="0.2">
      <c r="A1573" s="242">
        <v>1573</v>
      </c>
      <c r="B1573" s="5664"/>
      <c r="C1573" s="624"/>
      <c r="H1573"/>
      <c r="M1573" s="351"/>
      <c r="N1573" s="23"/>
      <c r="O1573" s="143" t="s">
        <v>8237</v>
      </c>
      <c r="P1573" s="1131">
        <v>10</v>
      </c>
      <c r="Q1573" s="185">
        <v>10</v>
      </c>
      <c r="R1573" s="1138">
        <f>COUNTIF(PoderesDeCriatura_Adquiridos,Tablas!O1573)</f>
        <v>0</v>
      </c>
      <c r="S1573" s="185"/>
      <c r="T1573" s="1129"/>
      <c r="U1573" s="274"/>
    </row>
    <row r="1574" spans="1:21" ht="12.75" customHeight="1" x14ac:dyDescent="0.2">
      <c r="A1574" s="242">
        <v>1574</v>
      </c>
      <c r="B1574" s="5664"/>
      <c r="C1574" s="624"/>
      <c r="H1574"/>
      <c r="M1574" s="351"/>
      <c r="N1574" s="23"/>
      <c r="O1574" s="143" t="s">
        <v>8238</v>
      </c>
      <c r="P1574" s="1131">
        <v>10</v>
      </c>
      <c r="Q1574" s="185">
        <v>10</v>
      </c>
      <c r="R1574" s="1138">
        <f>COUNTIF(PoderesDeCriatura_Adquiridos,Tablas!O1574)</f>
        <v>0</v>
      </c>
      <c r="S1574" s="185"/>
      <c r="T1574" s="1129"/>
      <c r="U1574" s="274"/>
    </row>
    <row r="1575" spans="1:21" ht="12.75" customHeight="1" x14ac:dyDescent="0.2">
      <c r="A1575" s="242">
        <v>1575</v>
      </c>
      <c r="B1575" s="5664"/>
      <c r="H1575"/>
      <c r="M1575" s="351"/>
      <c r="N1575" s="23"/>
      <c r="O1575" s="143" t="s">
        <v>8239</v>
      </c>
      <c r="P1575" s="1131">
        <v>20</v>
      </c>
      <c r="Q1575" s="185">
        <v>30</v>
      </c>
      <c r="R1575" s="1138">
        <f>COUNTIF(PoderesDeCriatura_Adquiridos,Tablas!O1575)</f>
        <v>0</v>
      </c>
      <c r="S1575" s="185"/>
      <c r="T1575" s="1129"/>
      <c r="U1575" s="274"/>
    </row>
    <row r="1576" spans="1:21" ht="12.75" customHeight="1" x14ac:dyDescent="0.2">
      <c r="A1576" s="242">
        <v>1576</v>
      </c>
      <c r="B1576" s="5664"/>
      <c r="H1576"/>
      <c r="M1576" s="351"/>
      <c r="N1576" s="23"/>
      <c r="O1576" s="143" t="s">
        <v>8240</v>
      </c>
      <c r="P1576" s="1131">
        <v>0</v>
      </c>
      <c r="Q1576" s="185">
        <v>10</v>
      </c>
      <c r="R1576" s="1138">
        <f>COUNTIF(PoderesDeCriatura_Adquiridos,Tablas!O1576)</f>
        <v>0</v>
      </c>
      <c r="S1576" s="185"/>
      <c r="T1576" s="1129"/>
      <c r="U1576" s="274"/>
    </row>
    <row r="1577" spans="1:21" ht="12.75" customHeight="1" x14ac:dyDescent="0.2">
      <c r="A1577" s="242">
        <v>1577</v>
      </c>
      <c r="B1577" s="5664"/>
      <c r="H1577"/>
      <c r="M1577" s="351"/>
      <c r="N1577" s="23"/>
      <c r="O1577" s="143" t="s">
        <v>8241</v>
      </c>
      <c r="P1577" s="1131">
        <v>10</v>
      </c>
      <c r="Q1577" s="185">
        <v>20</v>
      </c>
      <c r="R1577" s="1138">
        <f>COUNTIF(PoderesDeCriatura_Adquiridos,Tablas!O1577)</f>
        <v>0</v>
      </c>
      <c r="S1577" s="185"/>
      <c r="T1577" s="1129"/>
      <c r="U1577" s="274"/>
    </row>
    <row r="1578" spans="1:21" ht="12.75" customHeight="1" x14ac:dyDescent="0.2">
      <c r="A1578" s="242">
        <v>1578</v>
      </c>
      <c r="B1578" s="5664"/>
      <c r="H1578"/>
      <c r="M1578" s="351"/>
      <c r="N1578" s="23"/>
      <c r="O1578" s="143" t="s">
        <v>8242</v>
      </c>
      <c r="P1578" s="1131">
        <v>10</v>
      </c>
      <c r="Q1578" s="185">
        <v>30</v>
      </c>
      <c r="R1578" s="1138">
        <f>COUNTIF(PoderesDeCriatura_Adquiridos,Tablas!O1578)</f>
        <v>0</v>
      </c>
      <c r="S1578" s="185"/>
      <c r="T1578" s="1129"/>
      <c r="U1578" s="274"/>
    </row>
    <row r="1579" spans="1:21" ht="12.75" customHeight="1" x14ac:dyDescent="0.2">
      <c r="A1579" s="242">
        <v>1579</v>
      </c>
      <c r="B1579" s="5664"/>
      <c r="H1579"/>
      <c r="M1579" s="351"/>
      <c r="N1579" s="23"/>
      <c r="O1579" s="143" t="s">
        <v>8243</v>
      </c>
      <c r="P1579" s="1131">
        <v>10</v>
      </c>
      <c r="Q1579" s="185">
        <v>10</v>
      </c>
      <c r="R1579" s="1138">
        <f>COUNTIF(PoderesDeCriatura_Adquiridos,Tablas!O1579)</f>
        <v>0</v>
      </c>
      <c r="S1579" s="185"/>
      <c r="T1579" s="1129"/>
      <c r="U1579" s="274"/>
    </row>
    <row r="1580" spans="1:21" ht="12.75" customHeight="1" x14ac:dyDescent="0.2">
      <c r="A1580" s="242">
        <v>1580</v>
      </c>
      <c r="B1580" s="5664"/>
      <c r="H1580"/>
      <c r="M1580" s="351"/>
      <c r="N1580" s="23"/>
      <c r="O1580" s="143" t="s">
        <v>8244</v>
      </c>
      <c r="P1580" s="1131">
        <v>10</v>
      </c>
      <c r="Q1580" s="185">
        <v>10</v>
      </c>
      <c r="R1580" s="1138">
        <f>COUNTIF(PoderesDeCriatura_Adquiridos,Tablas!O1580)</f>
        <v>0</v>
      </c>
      <c r="S1580" s="185"/>
      <c r="T1580" s="1129"/>
      <c r="U1580" s="274"/>
    </row>
    <row r="1581" spans="1:21" ht="12.75" customHeight="1" x14ac:dyDescent="0.2">
      <c r="A1581" s="242">
        <v>1581</v>
      </c>
      <c r="B1581" s="5664"/>
      <c r="H1581"/>
      <c r="M1581" s="351"/>
      <c r="N1581" s="23"/>
      <c r="O1581" s="143" t="s">
        <v>8245</v>
      </c>
      <c r="P1581" s="1131">
        <v>10</v>
      </c>
      <c r="Q1581" s="185">
        <v>10</v>
      </c>
      <c r="R1581" s="1138">
        <f>COUNTIF(PoderesDeCriatura_Adquiridos,Tablas!O1581)</f>
        <v>0</v>
      </c>
      <c r="S1581" s="185"/>
      <c r="T1581" s="1129"/>
      <c r="U1581" s="274"/>
    </row>
    <row r="1582" spans="1:21" ht="12.75" customHeight="1" x14ac:dyDescent="0.2">
      <c r="A1582" s="242">
        <v>1582</v>
      </c>
      <c r="B1582" s="5664"/>
      <c r="H1582"/>
      <c r="M1582" s="351"/>
      <c r="N1582" s="23"/>
      <c r="O1582" s="143" t="s">
        <v>8246</v>
      </c>
      <c r="P1582" s="1131">
        <v>20</v>
      </c>
      <c r="Q1582" s="185">
        <v>30</v>
      </c>
      <c r="R1582" s="1138">
        <f>COUNTIF(PoderesDeCriatura_Adquiridos,Tablas!O1582)</f>
        <v>0</v>
      </c>
      <c r="S1582" s="185"/>
      <c r="T1582" s="1129"/>
      <c r="U1582" s="274"/>
    </row>
    <row r="1583" spans="1:21" ht="12.75" customHeight="1" x14ac:dyDescent="0.2">
      <c r="A1583" s="242">
        <v>1583</v>
      </c>
      <c r="B1583" s="5664"/>
      <c r="H1583"/>
      <c r="M1583" s="351"/>
      <c r="N1583" s="23"/>
      <c r="O1583" s="143" t="s">
        <v>8247</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664"/>
      <c r="H1584"/>
      <c r="M1584" s="351"/>
      <c r="N1584" s="23"/>
      <c r="O1584" s="143" t="s">
        <v>8248</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664"/>
      <c r="H1585"/>
      <c r="M1585" s="351"/>
      <c r="N1585" s="23"/>
      <c r="O1585" s="143" t="s">
        <v>8249</v>
      </c>
      <c r="P1585" s="1131">
        <v>15</v>
      </c>
      <c r="Q1585" s="185">
        <v>40</v>
      </c>
      <c r="R1585" s="1138">
        <f>COUNTIF(PoderesDeCriatura_Adquiridos,Tablas!O1585)</f>
        <v>0</v>
      </c>
      <c r="S1585" s="185"/>
      <c r="T1585" s="1129"/>
      <c r="U1585" s="274"/>
    </row>
    <row r="1586" spans="1:21" ht="12.75" customHeight="1" x14ac:dyDescent="0.2">
      <c r="A1586" s="242">
        <v>1586</v>
      </c>
      <c r="B1586" s="5664"/>
      <c r="H1586"/>
      <c r="M1586" s="351"/>
      <c r="N1586" s="23"/>
      <c r="O1586" s="143" t="s">
        <v>8250</v>
      </c>
      <c r="P1586" s="1131">
        <v>20</v>
      </c>
      <c r="Q1586" s="185">
        <v>80</v>
      </c>
      <c r="R1586" s="1138">
        <f>COUNTIF(PoderesDeCriatura_Adquiridos,Tablas!O1586)</f>
        <v>0</v>
      </c>
      <c r="S1586" s="185"/>
      <c r="T1586" s="1129"/>
      <c r="U1586" s="274"/>
    </row>
    <row r="1587" spans="1:21" ht="12.75" customHeight="1" x14ac:dyDescent="0.2">
      <c r="A1587" s="242">
        <v>1587</v>
      </c>
      <c r="B1587" s="5664"/>
      <c r="H1587"/>
      <c r="M1587" s="351"/>
      <c r="N1587" s="23"/>
      <c r="O1587" s="143" t="s">
        <v>8251</v>
      </c>
      <c r="P1587" s="1131">
        <v>25</v>
      </c>
      <c r="Q1587" s="185">
        <v>120</v>
      </c>
      <c r="R1587" s="1138">
        <f>COUNTIF(PoderesDeCriatura_Adquiridos,Tablas!O1587)</f>
        <v>0</v>
      </c>
      <c r="S1587" s="185"/>
      <c r="T1587" s="1129"/>
      <c r="U1587" s="274"/>
    </row>
    <row r="1588" spans="1:21" ht="12.75" customHeight="1" x14ac:dyDescent="0.2">
      <c r="A1588" s="242">
        <v>1588</v>
      </c>
      <c r="B1588" s="5664"/>
      <c r="H1588"/>
      <c r="M1588" s="351"/>
      <c r="N1588" s="23"/>
      <c r="O1588" s="143" t="s">
        <v>8252</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664"/>
      <c r="H1589"/>
      <c r="M1589" s="351"/>
      <c r="N1589" s="23"/>
      <c r="O1589" s="143" t="s">
        <v>8253</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664"/>
      <c r="C1590" s="624"/>
      <c r="H1590"/>
      <c r="M1590" s="351"/>
      <c r="N1590" s="23"/>
      <c r="O1590" s="143" t="s">
        <v>11</v>
      </c>
      <c r="P1590" s="1126"/>
      <c r="Q1590" s="95"/>
      <c r="R1590" s="1138"/>
      <c r="S1590" s="185"/>
      <c r="T1590" s="1129"/>
      <c r="U1590" s="274"/>
    </row>
    <row r="1591" spans="1:21" ht="12.75" customHeight="1" x14ac:dyDescent="0.2">
      <c r="A1591" s="242">
        <v>1591</v>
      </c>
      <c r="B1591" s="5664"/>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664"/>
      <c r="C1592" s="624"/>
      <c r="H1592"/>
      <c r="M1592" s="351"/>
      <c r="N1592" s="23"/>
      <c r="O1592" s="143" t="s">
        <v>8254</v>
      </c>
      <c r="P1592" s="1131">
        <v>10</v>
      </c>
      <c r="Q1592" s="185">
        <v>10</v>
      </c>
      <c r="R1592" s="1138">
        <f>COUNTIF(PoderesDeCriatura_Adquiridos,Tablas!O1592)</f>
        <v>0</v>
      </c>
      <c r="S1592" s="185"/>
      <c r="T1592" s="1129"/>
      <c r="U1592" s="274"/>
    </row>
    <row r="1593" spans="1:21" ht="12.75" customHeight="1" x14ac:dyDescent="0.2">
      <c r="A1593" s="242">
        <v>1593</v>
      </c>
      <c r="B1593" s="5664"/>
      <c r="C1593" s="624"/>
      <c r="H1593"/>
      <c r="M1593" s="351"/>
      <c r="N1593" s="23"/>
      <c r="O1593" s="143" t="s">
        <v>8255</v>
      </c>
      <c r="P1593" s="1131">
        <v>20</v>
      </c>
      <c r="Q1593" s="185">
        <v>20</v>
      </c>
      <c r="R1593" s="1138">
        <f>COUNTIF(PoderesDeCriatura_Adquiridos,Tablas!O1593)</f>
        <v>0</v>
      </c>
      <c r="S1593" s="185"/>
      <c r="T1593" s="1129"/>
      <c r="U1593" s="274"/>
    </row>
    <row r="1594" spans="1:21" ht="12.75" customHeight="1" x14ac:dyDescent="0.2">
      <c r="A1594" s="242">
        <v>1594</v>
      </c>
      <c r="B1594" s="5664"/>
      <c r="C1594" s="624"/>
      <c r="H1594"/>
      <c r="M1594" s="351"/>
      <c r="N1594" s="23"/>
      <c r="O1594" s="143" t="s">
        <v>8256</v>
      </c>
      <c r="P1594" s="1131">
        <v>25</v>
      </c>
      <c r="Q1594" s="185">
        <v>30</v>
      </c>
      <c r="R1594" s="1138">
        <f>COUNTIF(PoderesDeCriatura_Adquiridos,Tablas!O1594)</f>
        <v>0</v>
      </c>
      <c r="S1594" s="185"/>
      <c r="T1594" s="1129"/>
      <c r="U1594" s="274"/>
    </row>
    <row r="1595" spans="1:21" ht="12.75" customHeight="1" x14ac:dyDescent="0.2">
      <c r="A1595" s="242">
        <v>1595</v>
      </c>
      <c r="B1595" s="5664"/>
      <c r="C1595" s="624"/>
      <c r="H1595"/>
      <c r="M1595" s="351"/>
      <c r="N1595" s="23"/>
      <c r="O1595" s="143" t="s">
        <v>8257</v>
      </c>
      <c r="P1595" s="1131">
        <v>30</v>
      </c>
      <c r="Q1595" s="185">
        <v>40</v>
      </c>
      <c r="R1595" s="1138">
        <f>COUNTIF(PoderesDeCriatura_Adquiridos,Tablas!O1595)</f>
        <v>0</v>
      </c>
      <c r="S1595" s="185"/>
      <c r="T1595" s="1129"/>
      <c r="U1595" s="274"/>
    </row>
    <row r="1596" spans="1:21" ht="12.75" customHeight="1" x14ac:dyDescent="0.2">
      <c r="A1596" s="242">
        <v>1596</v>
      </c>
      <c r="B1596" s="5664"/>
      <c r="C1596" s="624"/>
      <c r="H1596"/>
      <c r="M1596" s="351"/>
      <c r="N1596" s="23"/>
      <c r="O1596" s="143" t="s">
        <v>8258</v>
      </c>
      <c r="P1596" s="1131">
        <v>5</v>
      </c>
      <c r="Q1596" s="185">
        <v>20</v>
      </c>
      <c r="R1596" s="1138">
        <f>COUNTIF(PoderesDeCriatura_Adquiridos,Tablas!O1596)</f>
        <v>0</v>
      </c>
      <c r="S1596" s="185"/>
      <c r="T1596" s="1129"/>
      <c r="U1596" s="274"/>
    </row>
    <row r="1597" spans="1:21" ht="12.75" customHeight="1" x14ac:dyDescent="0.2">
      <c r="A1597" s="242">
        <v>1597</v>
      </c>
      <c r="B1597" s="5664"/>
      <c r="C1597" s="624"/>
      <c r="H1597"/>
      <c r="M1597" s="351"/>
      <c r="N1597" s="23"/>
      <c r="O1597" s="143" t="s">
        <v>8259</v>
      </c>
      <c r="P1597" s="1131">
        <v>10</v>
      </c>
      <c r="Q1597" s="185">
        <v>30</v>
      </c>
      <c r="R1597" s="1138">
        <f>COUNTIF(PoderesDeCriatura_Adquiridos,Tablas!O1597)</f>
        <v>0</v>
      </c>
      <c r="S1597" s="185"/>
      <c r="T1597" s="1129"/>
      <c r="U1597" s="274"/>
    </row>
    <row r="1598" spans="1:21" ht="12.75" customHeight="1" x14ac:dyDescent="0.2">
      <c r="A1598" s="242">
        <v>1598</v>
      </c>
      <c r="B1598" s="5664"/>
      <c r="C1598" s="624"/>
      <c r="H1598"/>
      <c r="M1598" s="351"/>
      <c r="N1598" s="23"/>
      <c r="O1598" s="143" t="s">
        <v>8260</v>
      </c>
      <c r="P1598" s="1131">
        <v>15</v>
      </c>
      <c r="Q1598" s="185">
        <v>40</v>
      </c>
      <c r="R1598" s="1138">
        <f>COUNTIF(PoderesDeCriatura_Adquiridos,Tablas!O1598)</f>
        <v>0</v>
      </c>
      <c r="S1598" s="185"/>
      <c r="T1598" s="1129"/>
      <c r="U1598" s="274"/>
    </row>
    <row r="1599" spans="1:21" ht="12.75" customHeight="1" x14ac:dyDescent="0.2">
      <c r="A1599" s="242">
        <v>1599</v>
      </c>
      <c r="B1599" s="5664"/>
      <c r="C1599" s="624"/>
      <c r="H1599"/>
      <c r="M1599" s="351"/>
      <c r="N1599" s="23"/>
      <c r="O1599" s="143" t="s">
        <v>8261</v>
      </c>
      <c r="P1599" s="1131">
        <v>25</v>
      </c>
      <c r="Q1599" s="185">
        <v>60</v>
      </c>
      <c r="R1599" s="1138">
        <f>COUNTIF(PoderesDeCriatura_Adquiridos,Tablas!O1599)</f>
        <v>0</v>
      </c>
      <c r="S1599" s="185"/>
      <c r="T1599" s="1129"/>
      <c r="U1599" s="274"/>
    </row>
    <row r="1600" spans="1:21" ht="12.75" customHeight="1" x14ac:dyDescent="0.2">
      <c r="A1600" s="242">
        <v>1600</v>
      </c>
      <c r="B1600" s="5664"/>
      <c r="C1600" s="624"/>
      <c r="H1600"/>
      <c r="M1600" s="351"/>
      <c r="N1600" s="23"/>
      <c r="O1600" s="143" t="s">
        <v>8262</v>
      </c>
      <c r="P1600" s="1131">
        <v>30</v>
      </c>
      <c r="Q1600" s="185">
        <v>80</v>
      </c>
      <c r="R1600" s="1138">
        <f>COUNTIF(PoderesDeCriatura_Adquiridos,Tablas!O1600)</f>
        <v>0</v>
      </c>
      <c r="S1600" s="185"/>
      <c r="T1600" s="1129"/>
      <c r="U1600" s="274"/>
    </row>
    <row r="1601" spans="1:21" ht="12.75" customHeight="1" x14ac:dyDescent="0.2">
      <c r="A1601" s="242">
        <v>1601</v>
      </c>
      <c r="B1601" s="5664"/>
      <c r="C1601" s="624"/>
      <c r="H1601"/>
      <c r="M1601" s="351"/>
      <c r="N1601" s="23"/>
      <c r="O1601" s="143" t="s">
        <v>8263</v>
      </c>
      <c r="P1601" s="1131">
        <v>10</v>
      </c>
      <c r="Q1601" s="185">
        <v>50</v>
      </c>
      <c r="R1601" s="1138">
        <f>COUNTIF(PoderesDeCriatura_Adquiridos,Tablas!O1601)</f>
        <v>0</v>
      </c>
      <c r="S1601" s="185"/>
      <c r="T1601" s="1129"/>
      <c r="U1601" s="274"/>
    </row>
    <row r="1602" spans="1:21" ht="12.75" customHeight="1" x14ac:dyDescent="0.2">
      <c r="A1602" s="242">
        <v>1602</v>
      </c>
      <c r="B1602" s="5664"/>
      <c r="C1602" s="624"/>
      <c r="H1602"/>
      <c r="M1602" s="351"/>
      <c r="N1602" s="23"/>
      <c r="O1602" s="143" t="s">
        <v>8264</v>
      </c>
      <c r="P1602" s="1131">
        <v>15</v>
      </c>
      <c r="Q1602" s="185">
        <v>60</v>
      </c>
      <c r="R1602" s="1138">
        <f>COUNTIF(PoderesDeCriatura_Adquiridos,Tablas!O1602)</f>
        <v>0</v>
      </c>
      <c r="S1602" s="185"/>
      <c r="T1602" s="1129"/>
      <c r="U1602" s="274"/>
    </row>
    <row r="1603" spans="1:21" ht="12.75" customHeight="1" x14ac:dyDescent="0.2">
      <c r="A1603" s="242">
        <v>1603</v>
      </c>
      <c r="B1603" s="5664"/>
      <c r="C1603" s="624"/>
      <c r="H1603"/>
      <c r="M1603" s="351"/>
      <c r="N1603" s="23"/>
      <c r="O1603" s="143" t="s">
        <v>8265</v>
      </c>
      <c r="P1603" s="1131">
        <v>20</v>
      </c>
      <c r="Q1603" s="185">
        <v>80</v>
      </c>
      <c r="R1603" s="1138">
        <f>COUNTIF(PoderesDeCriatura_Adquiridos,Tablas!O1603)</f>
        <v>0</v>
      </c>
      <c r="S1603" s="185"/>
      <c r="T1603" s="1129"/>
      <c r="U1603" s="274"/>
    </row>
    <row r="1604" spans="1:21" ht="12.75" customHeight="1" x14ac:dyDescent="0.2">
      <c r="A1604" s="242">
        <v>1604</v>
      </c>
      <c r="B1604" s="5664"/>
      <c r="C1604" s="624"/>
      <c r="H1604"/>
      <c r="M1604" s="351"/>
      <c r="N1604" s="23"/>
      <c r="O1604" s="143" t="s">
        <v>8266</v>
      </c>
      <c r="P1604" s="1126">
        <v>25</v>
      </c>
      <c r="Q1604" s="95">
        <v>100</v>
      </c>
      <c r="R1604" s="1138">
        <f>COUNTIF(PoderesDeCriatura_Adquiridos,Tablas!O1604)</f>
        <v>0</v>
      </c>
      <c r="S1604" s="185"/>
      <c r="T1604" s="1129"/>
      <c r="U1604" s="274"/>
    </row>
    <row r="1605" spans="1:21" ht="12.75" customHeight="1" x14ac:dyDescent="0.2">
      <c r="A1605" s="242">
        <v>1605</v>
      </c>
      <c r="B1605" s="5664"/>
      <c r="C1605" s="624"/>
      <c r="H1605"/>
      <c r="M1605" s="351"/>
      <c r="N1605" s="23"/>
      <c r="O1605" s="143" t="s">
        <v>8267</v>
      </c>
      <c r="P1605" s="1126">
        <v>30</v>
      </c>
      <c r="Q1605" s="95">
        <v>120</v>
      </c>
      <c r="R1605" s="1138">
        <f>COUNTIF(PoderesDeCriatura_Adquiridos,Tablas!O1605)</f>
        <v>0</v>
      </c>
      <c r="S1605" s="185"/>
      <c r="T1605" s="1129"/>
      <c r="U1605" s="274"/>
    </row>
    <row r="1606" spans="1:21" ht="12.75" customHeight="1" x14ac:dyDescent="0.2">
      <c r="A1606" s="242">
        <v>1606</v>
      </c>
      <c r="B1606" s="5664"/>
      <c r="C1606" s="624"/>
      <c r="H1606"/>
      <c r="M1606" s="351"/>
      <c r="N1606" s="23"/>
      <c r="O1606" s="143" t="s">
        <v>8268</v>
      </c>
      <c r="P1606" s="1131">
        <v>0</v>
      </c>
      <c r="Q1606" s="185">
        <v>20</v>
      </c>
      <c r="R1606" s="1138">
        <f>COUNTIF(PoderesDeCriatura_Adquiridos,Tablas!O1606)</f>
        <v>0</v>
      </c>
      <c r="S1606" s="185"/>
      <c r="T1606" s="1129"/>
      <c r="U1606" s="274"/>
    </row>
    <row r="1607" spans="1:21" ht="12.75" customHeight="1" x14ac:dyDescent="0.2">
      <c r="A1607" s="242">
        <v>1607</v>
      </c>
      <c r="B1607" s="5664"/>
      <c r="C1607" s="624"/>
      <c r="H1607"/>
      <c r="M1607" s="351"/>
      <c r="N1607" s="23"/>
      <c r="O1607" s="143" t="s">
        <v>8269</v>
      </c>
      <c r="P1607" s="1131">
        <v>10</v>
      </c>
      <c r="Q1607" s="185">
        <v>40</v>
      </c>
      <c r="R1607" s="1138">
        <f>COUNTIF(PoderesDeCriatura_Adquiridos,Tablas!O1607)</f>
        <v>0</v>
      </c>
      <c r="S1607" s="185"/>
      <c r="T1607" s="1129"/>
      <c r="U1607" s="274"/>
    </row>
    <row r="1608" spans="1:21" ht="12.75" customHeight="1" x14ac:dyDescent="0.2">
      <c r="A1608" s="242">
        <v>1608</v>
      </c>
      <c r="B1608" s="5664"/>
      <c r="C1608" s="624"/>
      <c r="H1608"/>
      <c r="M1608" s="351"/>
      <c r="N1608" s="23"/>
      <c r="O1608" s="143" t="s">
        <v>8270</v>
      </c>
      <c r="P1608" s="1131">
        <v>30</v>
      </c>
      <c r="Q1608" s="185">
        <v>60</v>
      </c>
      <c r="R1608" s="1138">
        <f>COUNTIF(PoderesDeCriatura_Adquiridos,Tablas!O1608)</f>
        <v>0</v>
      </c>
      <c r="S1608" s="185"/>
      <c r="T1608" s="1129"/>
      <c r="U1608" s="274"/>
    </row>
    <row r="1609" spans="1:21" ht="12.75" customHeight="1" x14ac:dyDescent="0.2">
      <c r="A1609" s="242">
        <v>1609</v>
      </c>
      <c r="B1609" s="5664"/>
      <c r="C1609" s="624"/>
      <c r="H1609"/>
      <c r="M1609" s="351"/>
      <c r="N1609" s="23"/>
      <c r="O1609" s="143" t="s">
        <v>8271</v>
      </c>
      <c r="P1609" s="1131">
        <v>10</v>
      </c>
      <c r="Q1609" s="185">
        <v>30</v>
      </c>
      <c r="R1609" s="1138">
        <f>COUNTIF(PoderesDeCriatura_Adquiridos,Tablas!O1609)</f>
        <v>0</v>
      </c>
      <c r="S1609" s="185"/>
      <c r="T1609" s="1129"/>
      <c r="U1609" s="274"/>
    </row>
    <row r="1610" spans="1:21" ht="12.75" customHeight="1" x14ac:dyDescent="0.2">
      <c r="A1610" s="242">
        <v>1610</v>
      </c>
      <c r="B1610" s="5664"/>
      <c r="C1610" s="624"/>
      <c r="H1610"/>
      <c r="M1610" s="351"/>
      <c r="N1610" s="23"/>
      <c r="O1610" s="143" t="s">
        <v>8272</v>
      </c>
      <c r="P1610" s="1131">
        <v>15</v>
      </c>
      <c r="Q1610" s="185">
        <v>40</v>
      </c>
      <c r="R1610" s="1138">
        <f>COUNTIF(PoderesDeCriatura_Adquiridos,Tablas!O1610)</f>
        <v>0</v>
      </c>
      <c r="S1610" s="185"/>
      <c r="T1610" s="1129"/>
      <c r="U1610" s="274"/>
    </row>
    <row r="1611" spans="1:21" ht="12.75" customHeight="1" x14ac:dyDescent="0.2">
      <c r="A1611" s="242">
        <v>1611</v>
      </c>
      <c r="B1611" s="5664"/>
      <c r="C1611" s="624"/>
      <c r="H1611"/>
      <c r="M1611" s="351"/>
      <c r="N1611" s="23"/>
      <c r="O1611" s="143" t="s">
        <v>8273</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664"/>
      <c r="C1612" s="624"/>
      <c r="H1612"/>
      <c r="M1612" s="351"/>
      <c r="N1612" s="23"/>
      <c r="O1612" s="143" t="s">
        <v>8274</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664"/>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664"/>
      <c r="C1614" s="624"/>
      <c r="H1614"/>
      <c r="M1614" s="351"/>
      <c r="N1614" s="23"/>
      <c r="O1614" s="143" t="s">
        <v>8275</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664"/>
      <c r="C1615" s="624"/>
      <c r="H1615"/>
      <c r="M1615" s="351"/>
      <c r="N1615" s="23"/>
      <c r="O1615" s="143" t="s">
        <v>8276</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664"/>
      <c r="C1616" s="624"/>
      <c r="H1616"/>
      <c r="M1616" s="351"/>
      <c r="N1616" s="23"/>
      <c r="O1616" s="143" t="s">
        <v>8277</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664"/>
      <c r="C1617" s="624"/>
      <c r="H1617"/>
      <c r="M1617" s="351"/>
      <c r="N1617" s="23"/>
      <c r="O1617" s="143" t="s">
        <v>8278</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664"/>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664"/>
      <c r="C1619" s="624"/>
      <c r="H1619"/>
      <c r="M1619" s="351"/>
      <c r="N1619" s="23"/>
      <c r="O1619" s="143" t="s">
        <v>10261</v>
      </c>
      <c r="P1619" s="1131">
        <v>5</v>
      </c>
      <c r="Q1619" s="185">
        <v>10</v>
      </c>
      <c r="R1619" s="1138">
        <f>COUNTIF(PoderesDeCriatura_Adquiridos,Tablas!O1619)</f>
        <v>0</v>
      </c>
      <c r="S1619" s="185"/>
      <c r="T1619" s="1129"/>
      <c r="U1619" s="274"/>
    </row>
    <row r="1620" spans="1:21" ht="12.75" customHeight="1" x14ac:dyDescent="0.2">
      <c r="A1620" s="242">
        <v>1620</v>
      </c>
      <c r="B1620" s="5664"/>
      <c r="C1620" s="624"/>
      <c r="H1620"/>
      <c r="M1620" s="351"/>
      <c r="N1620" s="23"/>
      <c r="O1620" s="143" t="s">
        <v>10262</v>
      </c>
      <c r="P1620" s="1131">
        <v>10</v>
      </c>
      <c r="Q1620" s="185">
        <v>20</v>
      </c>
      <c r="R1620" s="1138">
        <f>COUNTIF(PoderesDeCriatura_Adquiridos,Tablas!O1620)</f>
        <v>0</v>
      </c>
      <c r="S1620" s="185"/>
      <c r="T1620" s="1129"/>
      <c r="U1620" s="274"/>
    </row>
    <row r="1621" spans="1:21" ht="12.75" customHeight="1" x14ac:dyDescent="0.2">
      <c r="A1621" s="242">
        <v>1621</v>
      </c>
      <c r="B1621" s="5664"/>
      <c r="C1621" s="624"/>
      <c r="H1621"/>
      <c r="M1621" s="351"/>
      <c r="N1621" s="23"/>
      <c r="O1621" s="143" t="s">
        <v>10263</v>
      </c>
      <c r="P1621" s="1131">
        <v>20</v>
      </c>
      <c r="Q1621" s="185">
        <v>30</v>
      </c>
      <c r="R1621" s="1138">
        <f>COUNTIF(PoderesDeCriatura_Adquiridos,Tablas!O1621)</f>
        <v>0</v>
      </c>
      <c r="S1621" s="185"/>
      <c r="T1621" s="1129"/>
      <c r="U1621" s="274"/>
    </row>
    <row r="1622" spans="1:21" ht="12.75" customHeight="1" x14ac:dyDescent="0.2">
      <c r="A1622" s="242">
        <v>1622</v>
      </c>
      <c r="B1622" s="5664"/>
      <c r="C1622" s="624"/>
      <c r="H1622"/>
      <c r="M1622" s="351"/>
      <c r="N1622" s="23"/>
      <c r="O1622" s="143" t="s">
        <v>10264</v>
      </c>
      <c r="P1622" s="1131">
        <v>30</v>
      </c>
      <c r="Q1622" s="185">
        <v>40</v>
      </c>
      <c r="R1622" s="1138">
        <f>COUNTIF(PoderesDeCriatura_Adquiridos,Tablas!O1622)</f>
        <v>0</v>
      </c>
      <c r="S1622" s="185"/>
      <c r="T1622" s="1129"/>
      <c r="U1622" s="274"/>
    </row>
    <row r="1623" spans="1:21" ht="12.75" customHeight="1" x14ac:dyDescent="0.2">
      <c r="A1623" s="242">
        <v>1623</v>
      </c>
      <c r="B1623" s="5664"/>
      <c r="C1623" s="624"/>
      <c r="H1623"/>
      <c r="M1623" s="351"/>
      <c r="N1623" s="23"/>
      <c r="O1623" s="143" t="s">
        <v>10265</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664"/>
      <c r="C1624" s="624"/>
      <c r="H1624"/>
      <c r="M1624" s="351"/>
      <c r="N1624" s="23"/>
      <c r="O1624" s="143" t="s">
        <v>10266</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664"/>
      <c r="C1625" s="624"/>
      <c r="H1625"/>
      <c r="M1625" s="351"/>
      <c r="N1625" s="23"/>
      <c r="O1625" s="143" t="s">
        <v>10267</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664"/>
      <c r="C1626" s="624"/>
      <c r="H1626"/>
      <c r="M1626" s="351"/>
      <c r="N1626" s="23"/>
      <c r="O1626" s="143" t="s">
        <v>10268</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664"/>
      <c r="C1627" s="624"/>
      <c r="H1627"/>
      <c r="M1627" s="351"/>
      <c r="N1627" s="23"/>
      <c r="O1627" s="143" t="s">
        <v>10269</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664"/>
      <c r="C1628" s="624"/>
      <c r="H1628"/>
      <c r="M1628" s="351"/>
      <c r="N1628" s="23"/>
      <c r="O1628" s="143" t="s">
        <v>10270</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664"/>
      <c r="C1629" s="624"/>
      <c r="H1629"/>
      <c r="M1629" s="351"/>
      <c r="N1629" s="23"/>
      <c r="O1629" s="143" t="s">
        <v>8279</v>
      </c>
      <c r="P1629" s="1131">
        <v>5</v>
      </c>
      <c r="Q1629" s="185">
        <v>10</v>
      </c>
      <c r="R1629" s="1138">
        <f>COUNTIF(PoderesDeCriatura_Adquiridos,Tablas!O1629)</f>
        <v>0</v>
      </c>
      <c r="S1629" s="185"/>
      <c r="T1629" s="1129"/>
      <c r="U1629" s="274"/>
    </row>
    <row r="1630" spans="1:21" ht="12.75" customHeight="1" x14ac:dyDescent="0.2">
      <c r="A1630" s="242">
        <v>1630</v>
      </c>
      <c r="B1630" s="5664"/>
      <c r="C1630" s="624"/>
      <c r="H1630"/>
      <c r="M1630" s="351"/>
      <c r="N1630" s="23"/>
      <c r="O1630" s="143" t="s">
        <v>8280</v>
      </c>
      <c r="P1630" s="1131">
        <v>10</v>
      </c>
      <c r="Q1630" s="185">
        <v>20</v>
      </c>
      <c r="R1630" s="1138">
        <f>COUNTIF(PoderesDeCriatura_Adquiridos,Tablas!O1630)</f>
        <v>0</v>
      </c>
      <c r="S1630" s="185"/>
      <c r="T1630" s="1129"/>
      <c r="U1630" s="274"/>
    </row>
    <row r="1631" spans="1:21" ht="12.75" customHeight="1" x14ac:dyDescent="0.2">
      <c r="A1631" s="242">
        <v>1631</v>
      </c>
      <c r="B1631" s="5664"/>
      <c r="C1631" s="624"/>
      <c r="H1631"/>
      <c r="M1631" s="351"/>
      <c r="N1631" s="23"/>
      <c r="O1631" s="143" t="s">
        <v>4420</v>
      </c>
      <c r="P1631" s="1131">
        <v>15</v>
      </c>
      <c r="Q1631" s="185">
        <v>40</v>
      </c>
      <c r="R1631" s="1138">
        <f>COUNTIF(PoderesDeCriatura_Adquiridos,Tablas!O1631)</f>
        <v>0</v>
      </c>
      <c r="S1631" s="185"/>
      <c r="T1631" s="1129"/>
      <c r="U1631" s="274"/>
    </row>
    <row r="1632" spans="1:21" ht="12.75" customHeight="1" x14ac:dyDescent="0.2">
      <c r="A1632" s="242">
        <v>1632</v>
      </c>
      <c r="B1632" s="5664"/>
      <c r="C1632" s="624"/>
      <c r="H1632"/>
      <c r="M1632" s="351"/>
      <c r="N1632" s="23"/>
      <c r="O1632" s="143" t="s">
        <v>8281</v>
      </c>
      <c r="P1632" s="1131">
        <v>30</v>
      </c>
      <c r="Q1632" s="185">
        <v>60</v>
      </c>
      <c r="R1632" s="1138">
        <f>COUNTIF(PoderesDeCriatura_Adquiridos,Tablas!O1632)</f>
        <v>0</v>
      </c>
      <c r="S1632" s="185"/>
      <c r="T1632" s="1129"/>
      <c r="U1632" s="274"/>
    </row>
    <row r="1633" spans="1:21" ht="12.75" customHeight="1" x14ac:dyDescent="0.2">
      <c r="A1633" s="242">
        <v>1633</v>
      </c>
      <c r="B1633" s="5664"/>
      <c r="C1633" s="624"/>
      <c r="H1633"/>
      <c r="M1633" s="351"/>
      <c r="N1633" s="23"/>
      <c r="O1633" s="143" t="s">
        <v>8282</v>
      </c>
      <c r="P1633" s="1131">
        <v>35</v>
      </c>
      <c r="Q1633" s="185">
        <v>80</v>
      </c>
      <c r="R1633" s="1138">
        <f>COUNTIF(PoderesDeCriatura_Adquiridos,Tablas!O1633)</f>
        <v>0</v>
      </c>
      <c r="S1633" s="185"/>
      <c r="T1633" s="1129"/>
      <c r="U1633" s="274"/>
    </row>
    <row r="1634" spans="1:21" ht="12.75" customHeight="1" x14ac:dyDescent="0.2">
      <c r="A1634" s="242">
        <v>1634</v>
      </c>
      <c r="B1634" s="5664"/>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664"/>
      <c r="C1635" s="624"/>
      <c r="H1635"/>
      <c r="M1635" s="351"/>
      <c r="N1635" s="23"/>
      <c r="O1635" s="143" t="s">
        <v>8283</v>
      </c>
      <c r="P1635" s="1131">
        <v>10</v>
      </c>
      <c r="Q1635" s="185">
        <v>10</v>
      </c>
      <c r="R1635" s="1138">
        <f>COUNTIF(PoderesDeCriatura_Adquiridos,Tablas!O1635)</f>
        <v>0</v>
      </c>
      <c r="S1635" s="185"/>
      <c r="T1635" s="1129"/>
      <c r="U1635" s="274"/>
    </row>
    <row r="1636" spans="1:21" ht="12.75" customHeight="1" x14ac:dyDescent="0.2">
      <c r="A1636" s="242">
        <v>1636</v>
      </c>
      <c r="B1636" s="5664"/>
      <c r="C1636" s="624"/>
      <c r="H1636"/>
      <c r="M1636" s="351"/>
      <c r="N1636" s="23"/>
      <c r="O1636" s="143" t="s">
        <v>8284</v>
      </c>
      <c r="P1636" s="1131">
        <v>20</v>
      </c>
      <c r="Q1636" s="185">
        <v>20</v>
      </c>
      <c r="R1636" s="1138">
        <f>COUNTIF(PoderesDeCriatura_Adquiridos,Tablas!O1636)</f>
        <v>0</v>
      </c>
      <c r="S1636" s="185"/>
      <c r="T1636" s="1129"/>
      <c r="U1636" s="274"/>
    </row>
    <row r="1637" spans="1:21" ht="12.75" customHeight="1" x14ac:dyDescent="0.2">
      <c r="A1637" s="242">
        <v>1637</v>
      </c>
      <c r="B1637" s="5664"/>
      <c r="C1637" s="624"/>
      <c r="H1637"/>
      <c r="M1637" s="351"/>
      <c r="N1637" s="23"/>
      <c r="O1637" s="143" t="s">
        <v>8285</v>
      </c>
      <c r="P1637" s="1131">
        <v>15</v>
      </c>
      <c r="Q1637" s="185">
        <v>20</v>
      </c>
      <c r="R1637" s="1138">
        <f>COUNTIF(PoderesDeCriatura_Adquiridos,Tablas!O1637)</f>
        <v>0</v>
      </c>
      <c r="S1637" s="185"/>
      <c r="T1637" s="1129"/>
      <c r="U1637" s="274"/>
    </row>
    <row r="1638" spans="1:21" ht="12.75" customHeight="1" x14ac:dyDescent="0.2">
      <c r="A1638" s="242">
        <v>1638</v>
      </c>
      <c r="B1638" s="5664"/>
      <c r="C1638" s="624"/>
      <c r="H1638"/>
      <c r="M1638" s="351"/>
      <c r="N1638" s="23"/>
      <c r="O1638" s="143" t="s">
        <v>8286</v>
      </c>
      <c r="P1638" s="1131">
        <v>25</v>
      </c>
      <c r="Q1638" s="185">
        <v>40</v>
      </c>
      <c r="R1638" s="1138">
        <f>COUNTIF(PoderesDeCriatura_Adquiridos,Tablas!O1638)</f>
        <v>0</v>
      </c>
      <c r="S1638" s="185"/>
      <c r="T1638" s="1129"/>
      <c r="U1638" s="274"/>
    </row>
    <row r="1639" spans="1:21" ht="12.75" customHeight="1" x14ac:dyDescent="0.2">
      <c r="A1639" s="242">
        <v>1639</v>
      </c>
      <c r="B1639" s="5664"/>
      <c r="C1639" s="624"/>
      <c r="H1639"/>
      <c r="M1639" s="351"/>
      <c r="N1639" s="23"/>
      <c r="O1639" s="143" t="s">
        <v>8287</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664"/>
      <c r="C1640" s="624"/>
      <c r="H1640"/>
      <c r="M1640" s="351"/>
      <c r="N1640" s="23"/>
      <c r="O1640" s="143" t="s">
        <v>8288</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664"/>
      <c r="C1641" s="624"/>
      <c r="H1641"/>
      <c r="M1641" s="351"/>
      <c r="N1641" s="23"/>
      <c r="O1641" s="143" t="s">
        <v>8289</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664"/>
      <c r="C1642" s="624"/>
      <c r="H1642"/>
      <c r="M1642" s="351"/>
      <c r="N1642" s="23"/>
      <c r="O1642" s="143" t="s">
        <v>8290</v>
      </c>
      <c r="P1642" s="1131">
        <v>20</v>
      </c>
      <c r="Q1642" s="185">
        <v>120</v>
      </c>
      <c r="R1642" s="1138">
        <f>COUNTIF(PoderesDeCriatura_Adquiridos,Tablas!O1642)</f>
        <v>0</v>
      </c>
      <c r="S1642" s="185"/>
      <c r="T1642" s="1129"/>
      <c r="U1642" s="274"/>
    </row>
    <row r="1643" spans="1:21" ht="12.75" customHeight="1" x14ac:dyDescent="0.2">
      <c r="A1643" s="242">
        <v>1643</v>
      </c>
      <c r="B1643" s="5664"/>
      <c r="C1643" s="624"/>
      <c r="H1643"/>
      <c r="M1643" s="351"/>
      <c r="N1643" s="23"/>
      <c r="O1643" s="143" t="s">
        <v>8291</v>
      </c>
      <c r="P1643" s="1131">
        <v>30</v>
      </c>
      <c r="Q1643" s="185">
        <v>220</v>
      </c>
      <c r="R1643" s="1138">
        <f>COUNTIF(PoderesDeCriatura_Adquiridos,Tablas!O1643)</f>
        <v>0</v>
      </c>
      <c r="S1643" s="185"/>
      <c r="T1643" s="1129"/>
    </row>
    <row r="1644" spans="1:21" ht="12.75" customHeight="1" x14ac:dyDescent="0.2">
      <c r="A1644" s="242">
        <v>1644</v>
      </c>
      <c r="B1644" s="5664"/>
      <c r="C1644" s="624"/>
      <c r="H1644"/>
      <c r="M1644" s="351"/>
      <c r="N1644" s="23"/>
      <c r="O1644" s="143" t="s">
        <v>8292</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664"/>
      <c r="C1645" s="624"/>
      <c r="H1645"/>
      <c r="M1645" s="351"/>
      <c r="N1645" s="23"/>
      <c r="O1645" s="143" t="s">
        <v>8293</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664"/>
      <c r="C1646" s="624"/>
      <c r="H1646"/>
      <c r="M1646" s="351"/>
      <c r="N1646" s="23"/>
      <c r="O1646" s="143" t="s">
        <v>8294</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664"/>
      <c r="C1647" s="624"/>
      <c r="H1647"/>
      <c r="M1647" s="351"/>
      <c r="N1647" s="23"/>
      <c r="O1647" s="143" t="s">
        <v>8295</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664"/>
      <c r="C1648" s="624"/>
      <c r="H1648"/>
      <c r="M1648" s="351"/>
      <c r="N1648" s="23"/>
      <c r="O1648" s="143" t="s">
        <v>8296</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664"/>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664"/>
      <c r="C1650" s="624"/>
      <c r="H1650"/>
      <c r="M1650" s="351"/>
      <c r="N1650" s="23"/>
      <c r="O1650" s="143" t="s">
        <v>8297</v>
      </c>
      <c r="P1650" s="1131">
        <v>10</v>
      </c>
      <c r="Q1650" s="185">
        <v>30</v>
      </c>
      <c r="R1650" s="1138">
        <f>COUNTIF(PoderesDeCriatura_Adquiridos,Tablas!O1650)</f>
        <v>0</v>
      </c>
      <c r="S1650" s="185"/>
      <c r="T1650" s="1129"/>
    </row>
    <row r="1651" spans="1:20" ht="12.75" customHeight="1" x14ac:dyDescent="0.2">
      <c r="A1651" s="242">
        <v>1651</v>
      </c>
      <c r="B1651" s="5664"/>
      <c r="C1651" s="624"/>
      <c r="H1651"/>
      <c r="M1651" s="351"/>
      <c r="N1651" s="23"/>
      <c r="O1651" s="143" t="s">
        <v>8298</v>
      </c>
      <c r="P1651" s="1131">
        <v>20</v>
      </c>
      <c r="Q1651" s="185">
        <v>50</v>
      </c>
      <c r="R1651" s="1138">
        <f>COUNTIF(PoderesDeCriatura_Adquiridos,Tablas!O1651)</f>
        <v>0</v>
      </c>
      <c r="S1651" s="185"/>
      <c r="T1651" s="1129"/>
    </row>
    <row r="1652" spans="1:20" ht="12.75" customHeight="1" x14ac:dyDescent="0.2">
      <c r="A1652" s="242">
        <v>1652</v>
      </c>
      <c r="B1652" s="5664"/>
      <c r="C1652" s="624"/>
      <c r="H1652"/>
      <c r="M1652" s="351"/>
      <c r="N1652" s="23"/>
      <c r="O1652" s="143" t="s">
        <v>8299</v>
      </c>
      <c r="P1652" s="1131">
        <v>25</v>
      </c>
      <c r="Q1652" s="185">
        <v>80</v>
      </c>
      <c r="R1652" s="1138">
        <f>COUNTIF(PoderesDeCriatura_Adquiridos,Tablas!O1652)</f>
        <v>0</v>
      </c>
      <c r="S1652" s="185"/>
      <c r="T1652" s="1129"/>
    </row>
    <row r="1653" spans="1:20" ht="12.75" customHeight="1" x14ac:dyDescent="0.2">
      <c r="A1653" s="242">
        <v>1653</v>
      </c>
      <c r="B1653" s="5664"/>
      <c r="C1653" s="624"/>
      <c r="H1653"/>
      <c r="M1653" s="351"/>
      <c r="N1653" s="23"/>
      <c r="O1653" s="143" t="s">
        <v>8300</v>
      </c>
      <c r="P1653" s="1131">
        <v>30</v>
      </c>
      <c r="Q1653" s="185">
        <v>110</v>
      </c>
      <c r="R1653" s="1138">
        <f>COUNTIF(PoderesDeCriatura_Adquiridos,Tablas!O1653)</f>
        <v>0</v>
      </c>
      <c r="S1653" s="185"/>
      <c r="T1653" s="1129"/>
    </row>
    <row r="1654" spans="1:20" ht="12.75" customHeight="1" x14ac:dyDescent="0.2">
      <c r="A1654" s="242">
        <v>1654</v>
      </c>
      <c r="B1654" s="5664"/>
      <c r="C1654" s="624"/>
      <c r="H1654"/>
      <c r="M1654" s="351"/>
      <c r="N1654" s="23"/>
      <c r="O1654" s="143" t="s">
        <v>8301</v>
      </c>
      <c r="P1654" s="1131">
        <v>35</v>
      </c>
      <c r="Q1654" s="185">
        <v>140</v>
      </c>
      <c r="R1654" s="1138">
        <f>COUNTIF(PoderesDeCriatura_Adquiridos,Tablas!O1654)</f>
        <v>0</v>
      </c>
      <c r="S1654" s="185"/>
      <c r="T1654" s="1129"/>
    </row>
    <row r="1655" spans="1:20" ht="12.75" customHeight="1" x14ac:dyDescent="0.2">
      <c r="A1655" s="242">
        <v>1655</v>
      </c>
      <c r="B1655" s="5664"/>
      <c r="C1655" s="624"/>
      <c r="H1655"/>
      <c r="M1655" s="351"/>
      <c r="N1655" s="23"/>
      <c r="O1655" s="143" t="s">
        <v>8302</v>
      </c>
      <c r="P1655" s="1131">
        <v>10</v>
      </c>
      <c r="Q1655" s="185">
        <v>-15</v>
      </c>
      <c r="R1655" s="1138">
        <f>COUNTIF(PoderesDeCriatura_Adquiridos,Tablas!O1655)</f>
        <v>0</v>
      </c>
      <c r="S1655" s="185"/>
      <c r="T1655" s="1129"/>
    </row>
    <row r="1656" spans="1:20" ht="12.75" customHeight="1" x14ac:dyDescent="0.2">
      <c r="A1656" s="242">
        <v>1656</v>
      </c>
      <c r="B1656" s="5664"/>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664"/>
      <c r="C1657" s="624"/>
      <c r="H1657"/>
      <c r="M1657" s="351"/>
      <c r="N1657" s="23"/>
      <c r="O1657" s="143" t="s">
        <v>8303</v>
      </c>
      <c r="P1657" s="1131">
        <v>0</v>
      </c>
      <c r="Q1657" s="185">
        <v>10</v>
      </c>
      <c r="R1657" s="1138">
        <f>COUNTIF(PoderesDeCriatura_Adquiridos,Tablas!O1657)</f>
        <v>0</v>
      </c>
      <c r="S1657" s="185"/>
      <c r="T1657" s="1129"/>
    </row>
    <row r="1658" spans="1:20" ht="12.75" customHeight="1" x14ac:dyDescent="0.2">
      <c r="A1658" s="242">
        <v>1658</v>
      </c>
      <c r="B1658" s="5664"/>
      <c r="C1658" s="624"/>
      <c r="H1658"/>
      <c r="M1658" s="351"/>
      <c r="N1658" s="23"/>
      <c r="O1658" s="143" t="s">
        <v>8304</v>
      </c>
      <c r="P1658" s="1131">
        <v>0</v>
      </c>
      <c r="Q1658" s="185">
        <v>20</v>
      </c>
      <c r="R1658" s="1138">
        <f>COUNTIF(PoderesDeCriatura_Adquiridos,Tablas!O1658)</f>
        <v>0</v>
      </c>
      <c r="S1658" s="185"/>
      <c r="T1658" s="1129"/>
    </row>
    <row r="1659" spans="1:20" ht="12.75" customHeight="1" x14ac:dyDescent="0.2">
      <c r="A1659" s="242">
        <v>1659</v>
      </c>
      <c r="B1659" s="5664"/>
      <c r="C1659" s="624"/>
      <c r="H1659"/>
      <c r="M1659" s="351"/>
      <c r="N1659" s="23"/>
      <c r="O1659" s="143" t="s">
        <v>8305</v>
      </c>
      <c r="P1659" s="1131">
        <v>0</v>
      </c>
      <c r="Q1659" s="185">
        <v>30</v>
      </c>
      <c r="R1659" s="1138">
        <f>COUNTIF(PoderesDeCriatura_Adquiridos,Tablas!O1659)</f>
        <v>0</v>
      </c>
      <c r="S1659" s="185"/>
      <c r="T1659" s="1129"/>
    </row>
    <row r="1660" spans="1:20" ht="12.75" customHeight="1" x14ac:dyDescent="0.2">
      <c r="A1660" s="242">
        <v>1660</v>
      </c>
      <c r="B1660" s="5664"/>
      <c r="C1660" s="624"/>
      <c r="H1660"/>
      <c r="M1660" s="351"/>
      <c r="N1660" s="23"/>
      <c r="O1660" s="143" t="s">
        <v>8306</v>
      </c>
      <c r="P1660" s="1131">
        <v>10</v>
      </c>
      <c r="Q1660" s="185">
        <v>20</v>
      </c>
      <c r="R1660" s="1138">
        <f>COUNTIF(PoderesDeCriatura_Adquiridos,Tablas!O1660)</f>
        <v>0</v>
      </c>
      <c r="S1660" s="185"/>
      <c r="T1660" s="1129"/>
    </row>
    <row r="1661" spans="1:20" ht="12.75" customHeight="1" x14ac:dyDescent="0.2">
      <c r="A1661" s="242">
        <v>1661</v>
      </c>
      <c r="B1661" s="5664"/>
      <c r="C1661" s="624"/>
      <c r="H1661"/>
      <c r="M1661" s="351"/>
      <c r="N1661" s="23"/>
      <c r="O1661" s="143" t="s">
        <v>8307</v>
      </c>
      <c r="P1661" s="1131">
        <v>15</v>
      </c>
      <c r="Q1661" s="185">
        <v>40</v>
      </c>
      <c r="R1661" s="1138">
        <f>COUNTIF(PoderesDeCriatura_Adquiridos,Tablas!O1661)</f>
        <v>0</v>
      </c>
      <c r="S1661" s="185"/>
      <c r="T1661" s="1129"/>
    </row>
    <row r="1662" spans="1:20" ht="12.75" customHeight="1" x14ac:dyDescent="0.2">
      <c r="A1662" s="242">
        <v>1662</v>
      </c>
      <c r="B1662" s="5664"/>
      <c r="C1662" s="624"/>
      <c r="H1662"/>
      <c r="M1662" s="351"/>
      <c r="N1662" s="23"/>
      <c r="O1662" s="143" t="s">
        <v>8308</v>
      </c>
      <c r="P1662" s="1131">
        <v>20</v>
      </c>
      <c r="Q1662" s="185">
        <v>60</v>
      </c>
      <c r="R1662" s="1138">
        <f>COUNTIF(PoderesDeCriatura_Adquiridos,Tablas!O1662)</f>
        <v>0</v>
      </c>
      <c r="S1662" s="185"/>
      <c r="T1662" s="1129"/>
    </row>
    <row r="1663" spans="1:20" ht="12.75" customHeight="1" x14ac:dyDescent="0.2">
      <c r="A1663" s="242">
        <v>1663</v>
      </c>
      <c r="B1663" s="5664"/>
      <c r="C1663" s="624"/>
      <c r="H1663"/>
      <c r="M1663" s="351"/>
      <c r="N1663" s="23"/>
      <c r="O1663" s="143" t="s">
        <v>8309</v>
      </c>
      <c r="P1663" s="1131">
        <v>25</v>
      </c>
      <c r="Q1663" s="185">
        <v>80</v>
      </c>
      <c r="R1663" s="1138">
        <f>COUNTIF(PoderesDeCriatura_Adquiridos,Tablas!O1663)</f>
        <v>0</v>
      </c>
      <c r="S1663" s="185"/>
      <c r="T1663" s="1129"/>
    </row>
    <row r="1664" spans="1:20" ht="12.75" customHeight="1" x14ac:dyDescent="0.2">
      <c r="A1664" s="242">
        <v>1664</v>
      </c>
      <c r="B1664" s="5664"/>
      <c r="C1664" s="624"/>
      <c r="H1664"/>
      <c r="M1664" s="351"/>
      <c r="N1664" s="23"/>
      <c r="O1664" s="143" t="s">
        <v>8310</v>
      </c>
      <c r="P1664" s="1131">
        <v>35</v>
      </c>
      <c r="Q1664" s="185">
        <v>120</v>
      </c>
      <c r="R1664" s="1138">
        <f>COUNTIF(PoderesDeCriatura_Adquiridos,Tablas!O1664)</f>
        <v>0</v>
      </c>
      <c r="S1664" s="185"/>
      <c r="T1664" s="1129"/>
    </row>
    <row r="1665" spans="1:20" ht="12.75" customHeight="1" x14ac:dyDescent="0.2">
      <c r="A1665" s="242">
        <v>1665</v>
      </c>
      <c r="B1665" s="5664"/>
      <c r="C1665" s="624"/>
      <c r="H1665"/>
      <c r="M1665" s="351"/>
      <c r="N1665" s="23"/>
      <c r="O1665" s="143" t="s">
        <v>8311</v>
      </c>
      <c r="P1665" s="1131">
        <v>5</v>
      </c>
      <c r="Q1665" s="185">
        <v>10</v>
      </c>
      <c r="R1665" s="1138">
        <f>COUNTIF(PoderesDeCriatura_Adquiridos,Tablas!O1665)</f>
        <v>0</v>
      </c>
      <c r="S1665" s="185"/>
      <c r="T1665" s="1129"/>
    </row>
    <row r="1666" spans="1:20" ht="12.75" customHeight="1" x14ac:dyDescent="0.2">
      <c r="A1666" s="242">
        <v>1666</v>
      </c>
      <c r="B1666" s="5664"/>
      <c r="C1666" s="624"/>
      <c r="H1666"/>
      <c r="M1666" s="351"/>
      <c r="N1666" s="23"/>
      <c r="O1666" s="143" t="s">
        <v>8312</v>
      </c>
      <c r="P1666" s="1131">
        <v>5</v>
      </c>
      <c r="Q1666" s="185">
        <v>20</v>
      </c>
      <c r="R1666" s="1138">
        <f>COUNTIF(PoderesDeCriatura_Adquiridos,Tablas!O1666)</f>
        <v>0</v>
      </c>
      <c r="S1666" s="185"/>
      <c r="T1666" s="1129"/>
    </row>
    <row r="1667" spans="1:20" ht="12.75" customHeight="1" x14ac:dyDescent="0.2">
      <c r="A1667" s="242">
        <v>1667</v>
      </c>
      <c r="B1667" s="5664"/>
      <c r="C1667" s="624"/>
      <c r="H1667"/>
      <c r="M1667" s="351"/>
      <c r="N1667" s="23"/>
      <c r="O1667" s="143" t="s">
        <v>8313</v>
      </c>
      <c r="P1667" s="1131">
        <v>10</v>
      </c>
      <c r="Q1667" s="185">
        <v>30</v>
      </c>
      <c r="R1667" s="1138">
        <f>COUNTIF(PoderesDeCriatura_Adquiridos,Tablas!O1667)</f>
        <v>0</v>
      </c>
      <c r="S1667" s="185"/>
      <c r="T1667" s="1129"/>
    </row>
    <row r="1668" spans="1:20" ht="12.75" customHeight="1" x14ac:dyDescent="0.2">
      <c r="A1668" s="242">
        <v>1668</v>
      </c>
      <c r="B1668" s="5664"/>
      <c r="C1668" s="624"/>
      <c r="H1668"/>
      <c r="M1668" s="351"/>
      <c r="N1668" s="23"/>
      <c r="O1668" s="143" t="s">
        <v>8314</v>
      </c>
      <c r="P1668" s="1131">
        <v>15</v>
      </c>
      <c r="Q1668" s="185">
        <v>40</v>
      </c>
      <c r="R1668" s="1138">
        <f>COUNTIF(PoderesDeCriatura_Adquiridos,Tablas!O1668)</f>
        <v>0</v>
      </c>
      <c r="S1668" s="185"/>
      <c r="T1668" s="1129"/>
    </row>
    <row r="1669" spans="1:20" ht="12.75" customHeight="1" x14ac:dyDescent="0.2">
      <c r="A1669" s="242">
        <v>1669</v>
      </c>
      <c r="B1669" s="5664"/>
      <c r="C1669" s="624"/>
      <c r="H1669"/>
      <c r="M1669" s="351"/>
      <c r="N1669" s="23"/>
      <c r="O1669" s="143" t="s">
        <v>8315</v>
      </c>
      <c r="P1669" s="1131">
        <v>25</v>
      </c>
      <c r="Q1669" s="185">
        <v>50</v>
      </c>
      <c r="R1669" s="1138">
        <f>COUNTIF(PoderesDeCriatura_Adquiridos,Tablas!O1669)</f>
        <v>0</v>
      </c>
      <c r="S1669" s="185"/>
      <c r="T1669" s="1129"/>
    </row>
    <row r="1670" spans="1:20" ht="12.75" customHeight="1" x14ac:dyDescent="0.2">
      <c r="A1670" s="242">
        <v>1670</v>
      </c>
      <c r="B1670" s="5664"/>
      <c r="C1670" s="624"/>
      <c r="H1670"/>
      <c r="M1670" s="351"/>
      <c r="N1670" s="23"/>
      <c r="O1670" s="1" t="s">
        <v>18</v>
      </c>
      <c r="P1670" s="1131"/>
      <c r="Q1670" s="185"/>
      <c r="R1670" s="1138"/>
      <c r="S1670" s="185"/>
      <c r="T1670" s="1129"/>
    </row>
    <row r="1671" spans="1:20" ht="12.75" customHeight="1" x14ac:dyDescent="0.2">
      <c r="A1671" s="242">
        <v>1671</v>
      </c>
      <c r="B1671" s="5664"/>
      <c r="C1671" s="624"/>
      <c r="H1671"/>
      <c r="M1671" s="351"/>
      <c r="N1671" s="23"/>
      <c r="O1671" s="143" t="s">
        <v>8316</v>
      </c>
      <c r="P1671" s="1131">
        <v>5</v>
      </c>
      <c r="Q1671" s="185">
        <v>20</v>
      </c>
      <c r="R1671" s="1138">
        <f>COUNTIF(PoderesDeCriatura_Adquiridos,Tablas!O1671)</f>
        <v>0</v>
      </c>
      <c r="S1671" s="185"/>
      <c r="T1671" s="1129"/>
    </row>
    <row r="1672" spans="1:20" ht="12.75" customHeight="1" x14ac:dyDescent="0.2">
      <c r="A1672" s="242">
        <v>1672</v>
      </c>
      <c r="B1672" s="5664"/>
      <c r="C1672" s="624"/>
      <c r="H1672"/>
      <c r="M1672" s="351"/>
      <c r="N1672" s="23"/>
      <c r="O1672" s="143" t="s">
        <v>8317</v>
      </c>
      <c r="P1672" s="1131">
        <v>20</v>
      </c>
      <c r="Q1672" s="185">
        <v>30</v>
      </c>
      <c r="R1672" s="1138">
        <f>COUNTIF(PoderesDeCriatura_Adquiridos,Tablas!O1672)</f>
        <v>0</v>
      </c>
      <c r="S1672" s="185"/>
      <c r="T1672" s="1129"/>
    </row>
    <row r="1673" spans="1:20" ht="12.75" customHeight="1" x14ac:dyDescent="0.2">
      <c r="A1673" s="242">
        <v>1673</v>
      </c>
      <c r="B1673" s="5664"/>
      <c r="C1673" s="624"/>
      <c r="H1673"/>
      <c r="M1673" s="351"/>
      <c r="N1673" s="23"/>
      <c r="O1673" s="143" t="s">
        <v>8318</v>
      </c>
      <c r="P1673" s="1131">
        <v>15</v>
      </c>
      <c r="Q1673" s="185">
        <v>10</v>
      </c>
      <c r="R1673" s="1138">
        <f>COUNTIF(PoderesDeCriatura_Adquiridos,Tablas!O1673)</f>
        <v>0</v>
      </c>
      <c r="S1673" s="185"/>
      <c r="T1673" s="1129"/>
    </row>
    <row r="1674" spans="1:20" ht="12.75" customHeight="1" x14ac:dyDescent="0.2">
      <c r="A1674" s="242">
        <v>1674</v>
      </c>
      <c r="B1674" s="5664"/>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664"/>
      <c r="C1675" s="624"/>
      <c r="H1675"/>
      <c r="M1675" s="351"/>
      <c r="N1675" s="23"/>
      <c r="O1675" s="143" t="s">
        <v>8319</v>
      </c>
      <c r="P1675" s="1131">
        <v>15</v>
      </c>
      <c r="Q1675" s="185">
        <v>30</v>
      </c>
      <c r="R1675" s="1138">
        <f>COUNTIF(PoderesDeCriatura_Adquiridos,Tablas!O1675)</f>
        <v>0</v>
      </c>
      <c r="S1675" s="185"/>
      <c r="T1675" s="1129"/>
    </row>
    <row r="1676" spans="1:20" ht="12.75" customHeight="1" x14ac:dyDescent="0.2">
      <c r="A1676" s="242">
        <v>1676</v>
      </c>
      <c r="B1676" s="5664"/>
      <c r="C1676" s="624"/>
      <c r="H1676"/>
      <c r="M1676" s="351"/>
      <c r="N1676" s="23"/>
      <c r="O1676" s="143" t="s">
        <v>8320</v>
      </c>
      <c r="P1676" s="1131">
        <v>30</v>
      </c>
      <c r="Q1676" s="185">
        <v>60</v>
      </c>
      <c r="R1676" s="1138">
        <f>COUNTIF(PoderesDeCriatura_Adquiridos,Tablas!O1676)</f>
        <v>0</v>
      </c>
      <c r="S1676" s="185"/>
      <c r="T1676" s="1129"/>
    </row>
    <row r="1677" spans="1:20" ht="12.75" customHeight="1" x14ac:dyDescent="0.2">
      <c r="A1677" s="242">
        <v>1677</v>
      </c>
      <c r="B1677" s="5664"/>
      <c r="C1677" s="624"/>
      <c r="H1677"/>
      <c r="M1677" s="351"/>
      <c r="N1677" s="23"/>
      <c r="O1677" s="143" t="s">
        <v>8334</v>
      </c>
      <c r="P1677" s="1131">
        <v>20</v>
      </c>
      <c r="Q1677" s="185">
        <v>40</v>
      </c>
      <c r="R1677" s="1138">
        <f>COUNTIF(PoderesDeCriatura_Adquiridos,Tablas!O1677)</f>
        <v>0</v>
      </c>
      <c r="S1677" s="185"/>
      <c r="T1677" s="1129"/>
    </row>
    <row r="1678" spans="1:20" ht="12.75" customHeight="1" x14ac:dyDescent="0.2">
      <c r="A1678" s="242">
        <v>1678</v>
      </c>
      <c r="B1678" s="5664"/>
      <c r="C1678" s="624"/>
      <c r="H1678"/>
      <c r="M1678" s="351"/>
      <c r="N1678" s="23"/>
      <c r="O1678" s="143" t="s">
        <v>8335</v>
      </c>
      <c r="P1678" s="1131">
        <v>25</v>
      </c>
      <c r="Q1678" s="185">
        <v>60</v>
      </c>
      <c r="R1678" s="1138">
        <f>COUNTIF(PoderesDeCriatura_Adquiridos,Tablas!O1678)</f>
        <v>0</v>
      </c>
      <c r="S1678" s="185"/>
      <c r="T1678" s="1129"/>
    </row>
    <row r="1679" spans="1:20" ht="12.75" customHeight="1" x14ac:dyDescent="0.2">
      <c r="A1679" s="242">
        <v>1679</v>
      </c>
      <c r="B1679" s="5664"/>
      <c r="C1679" s="624"/>
      <c r="H1679"/>
      <c r="M1679" s="351"/>
      <c r="N1679" s="23"/>
      <c r="O1679" s="143" t="s">
        <v>8336</v>
      </c>
      <c r="P1679" s="1131">
        <v>30</v>
      </c>
      <c r="Q1679" s="185">
        <v>50</v>
      </c>
      <c r="R1679" s="1138">
        <f>COUNTIF(PoderesDeCriatura_Adquiridos,Tablas!O1679)</f>
        <v>0</v>
      </c>
      <c r="S1679" s="185"/>
      <c r="T1679" s="1129"/>
    </row>
    <row r="1680" spans="1:20" ht="12.75" customHeight="1" x14ac:dyDescent="0.2">
      <c r="A1680" s="242">
        <v>1680</v>
      </c>
      <c r="B1680" s="5664"/>
      <c r="C1680" s="624"/>
      <c r="H1680"/>
      <c r="M1680" s="351"/>
      <c r="N1680" s="23"/>
      <c r="O1680" s="143" t="s">
        <v>8337</v>
      </c>
      <c r="P1680" s="1131">
        <v>20</v>
      </c>
      <c r="Q1680" s="185">
        <v>-20</v>
      </c>
      <c r="R1680" s="1138">
        <f>COUNTIF(PoderesDeCriatura_Adquiridos,Tablas!O1680)</f>
        <v>0</v>
      </c>
      <c r="S1680" s="185"/>
      <c r="T1680" s="1129"/>
    </row>
    <row r="1681" spans="1:20" ht="12.75" customHeight="1" x14ac:dyDescent="0.2">
      <c r="A1681" s="242">
        <v>1681</v>
      </c>
      <c r="B1681" s="5664"/>
      <c r="C1681" s="624"/>
      <c r="H1681"/>
      <c r="M1681" s="351"/>
      <c r="N1681" s="23"/>
      <c r="O1681" s="143" t="s">
        <v>8338</v>
      </c>
      <c r="P1681" s="1131">
        <v>20</v>
      </c>
      <c r="Q1681" s="185">
        <v>-20</v>
      </c>
      <c r="R1681" s="1138">
        <f>COUNTIF(PoderesDeCriatura_Adquiridos,Tablas!O1681)</f>
        <v>0</v>
      </c>
      <c r="S1681" s="185"/>
      <c r="T1681" s="1129"/>
    </row>
    <row r="1682" spans="1:20" ht="12.75" customHeight="1" x14ac:dyDescent="0.2">
      <c r="A1682" s="242">
        <v>1682</v>
      </c>
      <c r="B1682" s="5664"/>
      <c r="C1682" s="624"/>
      <c r="H1682"/>
      <c r="M1682" s="351"/>
      <c r="N1682" s="23"/>
      <c r="O1682" s="1" t="s">
        <v>23</v>
      </c>
      <c r="P1682" s="1131"/>
      <c r="Q1682" s="185"/>
      <c r="R1682" s="1138"/>
      <c r="S1682" s="185"/>
      <c r="T1682" s="1129"/>
    </row>
    <row r="1683" spans="1:20" ht="12.75" customHeight="1" x14ac:dyDescent="0.2">
      <c r="A1683" s="242">
        <v>1683</v>
      </c>
      <c r="B1683" s="5664"/>
      <c r="C1683" s="624"/>
      <c r="H1683"/>
      <c r="M1683" s="351"/>
      <c r="N1683" s="23"/>
      <c r="O1683" s="143" t="s">
        <v>8321</v>
      </c>
      <c r="P1683" s="1131">
        <v>10</v>
      </c>
      <c r="Q1683" s="185">
        <v>20</v>
      </c>
      <c r="R1683" s="1138">
        <f>COUNTIF(PoderesDeCriatura_Adquiridos,Tablas!O1683)</f>
        <v>0</v>
      </c>
      <c r="S1683" s="185"/>
      <c r="T1683" s="1129"/>
    </row>
    <row r="1684" spans="1:20" ht="12.75" customHeight="1" x14ac:dyDescent="0.2">
      <c r="A1684" s="242">
        <v>1684</v>
      </c>
      <c r="B1684" s="5664"/>
      <c r="C1684" s="624"/>
      <c r="H1684"/>
      <c r="M1684" s="351"/>
      <c r="N1684" s="23"/>
      <c r="O1684" s="143" t="s">
        <v>8322</v>
      </c>
      <c r="P1684" s="1131">
        <v>20</v>
      </c>
      <c r="Q1684" s="185">
        <v>30</v>
      </c>
      <c r="R1684" s="1138">
        <f>COUNTIF(PoderesDeCriatura_Adquiridos,Tablas!O1684)</f>
        <v>0</v>
      </c>
      <c r="S1684" s="185"/>
      <c r="T1684" s="1129"/>
    </row>
    <row r="1685" spans="1:20" ht="12.75" customHeight="1" x14ac:dyDescent="0.2">
      <c r="A1685" s="242">
        <v>1685</v>
      </c>
      <c r="B1685" s="5664"/>
      <c r="C1685" s="624"/>
      <c r="H1685"/>
      <c r="M1685" s="351"/>
      <c r="N1685" s="23"/>
      <c r="O1685" s="143" t="s">
        <v>8323</v>
      </c>
      <c r="P1685" s="1131">
        <v>25</v>
      </c>
      <c r="Q1685" s="185">
        <v>40</v>
      </c>
      <c r="R1685" s="1138">
        <f>COUNTIF(PoderesDeCriatura_Adquiridos,Tablas!O1685)</f>
        <v>0</v>
      </c>
      <c r="S1685" s="185"/>
      <c r="T1685" s="1129"/>
    </row>
    <row r="1686" spans="1:20" ht="12.75" customHeight="1" x14ac:dyDescent="0.2">
      <c r="A1686" s="242">
        <v>1686</v>
      </c>
      <c r="B1686" s="5664"/>
      <c r="C1686" s="624"/>
      <c r="H1686"/>
      <c r="M1686" s="351"/>
      <c r="N1686" s="23"/>
      <c r="O1686" s="143" t="s">
        <v>8324</v>
      </c>
      <c r="P1686" s="1131">
        <v>30</v>
      </c>
      <c r="Q1686" s="185">
        <v>60</v>
      </c>
      <c r="R1686" s="1138">
        <f>COUNTIF(PoderesDeCriatura_Adquiridos,Tablas!O1686)</f>
        <v>0</v>
      </c>
      <c r="S1686" s="185"/>
      <c r="T1686" s="1129"/>
    </row>
    <row r="1687" spans="1:20" ht="12.75" customHeight="1" x14ac:dyDescent="0.2">
      <c r="A1687" s="242">
        <v>1687</v>
      </c>
      <c r="B1687" s="5664"/>
      <c r="C1687" s="624"/>
      <c r="H1687"/>
      <c r="M1687" s="351"/>
      <c r="N1687" s="23"/>
      <c r="O1687" s="143" t="s">
        <v>8325</v>
      </c>
      <c r="P1687" s="1131">
        <v>35</v>
      </c>
      <c r="Q1687" s="185">
        <v>80</v>
      </c>
      <c r="R1687" s="1138">
        <f>COUNTIF(PoderesDeCriatura_Adquiridos,Tablas!O1687)</f>
        <v>0</v>
      </c>
      <c r="S1687" s="185"/>
      <c r="T1687" s="1129"/>
    </row>
    <row r="1688" spans="1:20" ht="12.75" customHeight="1" x14ac:dyDescent="0.2">
      <c r="A1688" s="242">
        <v>1688</v>
      </c>
      <c r="B1688" s="5664"/>
      <c r="C1688" s="624"/>
      <c r="H1688"/>
      <c r="M1688" s="351"/>
      <c r="N1688" s="23"/>
      <c r="O1688" s="143" t="s">
        <v>8326</v>
      </c>
      <c r="P1688" s="1131">
        <v>10</v>
      </c>
      <c r="Q1688" s="185">
        <v>-20</v>
      </c>
      <c r="R1688" s="1138">
        <f>COUNTIF(PoderesDeCriatura_Adquiridos,Tablas!O1688)</f>
        <v>0</v>
      </c>
      <c r="S1688" s="185"/>
      <c r="T1688" s="1129"/>
    </row>
    <row r="1689" spans="1:20" ht="12.75" customHeight="1" x14ac:dyDescent="0.2">
      <c r="A1689" s="242">
        <v>1689</v>
      </c>
      <c r="B1689" s="5664"/>
      <c r="C1689" s="624"/>
      <c r="H1689"/>
      <c r="M1689" s="351"/>
      <c r="N1689" s="23"/>
      <c r="O1689" s="143" t="s">
        <v>8327</v>
      </c>
      <c r="P1689" s="1131">
        <v>30</v>
      </c>
      <c r="Q1689" s="185">
        <v>100</v>
      </c>
      <c r="R1689" s="1138">
        <f>COUNTIF(PoderesDeCriatura_Adquiridos,Tablas!O1689)</f>
        <v>0</v>
      </c>
      <c r="S1689" s="185"/>
      <c r="T1689" s="1129"/>
    </row>
    <row r="1690" spans="1:20" ht="12.75" customHeight="1" x14ac:dyDescent="0.2">
      <c r="A1690" s="242">
        <v>1690</v>
      </c>
      <c r="B1690" s="5664"/>
      <c r="C1690" s="624"/>
      <c r="H1690"/>
      <c r="M1690" s="351"/>
      <c r="N1690" s="23"/>
      <c r="O1690" s="143" t="s">
        <v>8328</v>
      </c>
      <c r="P1690" s="1131">
        <v>35</v>
      </c>
      <c r="Q1690" s="185">
        <v>150</v>
      </c>
      <c r="R1690" s="1138">
        <f>COUNTIF(PoderesDeCriatura_Adquiridos,Tablas!O1690)</f>
        <v>0</v>
      </c>
      <c r="S1690" s="185"/>
      <c r="T1690" s="1129"/>
    </row>
    <row r="1691" spans="1:20" ht="12.75" customHeight="1" x14ac:dyDescent="0.2">
      <c r="A1691" s="242">
        <v>1691</v>
      </c>
      <c r="B1691" s="5664"/>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664"/>
      <c r="C1692" s="624"/>
      <c r="H1692"/>
      <c r="M1692" s="351"/>
      <c r="N1692" s="23"/>
      <c r="O1692" s="143" t="s">
        <v>25</v>
      </c>
      <c r="P1692" s="1131"/>
      <c r="Q1692" s="185"/>
      <c r="R1692" s="1138"/>
      <c r="S1692" s="185"/>
      <c r="T1692" s="1129"/>
    </row>
    <row r="1693" spans="1:20" ht="12.75" customHeight="1" x14ac:dyDescent="0.2">
      <c r="A1693" s="242">
        <v>1693</v>
      </c>
      <c r="B1693" s="5664"/>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664"/>
      <c r="C1694" s="624"/>
      <c r="H1694"/>
      <c r="M1694" s="351"/>
      <c r="N1694" s="23"/>
      <c r="O1694" s="143" t="s">
        <v>8329</v>
      </c>
      <c r="P1694" s="1131">
        <v>35</v>
      </c>
      <c r="Q1694" s="185">
        <v>40</v>
      </c>
      <c r="R1694" s="1138">
        <f>COUNTIF(PoderesDeCriatura_Adquiridos,Tablas!O1694)</f>
        <v>0</v>
      </c>
      <c r="S1694" s="185"/>
      <c r="T1694" s="1129"/>
    </row>
    <row r="1695" spans="1:20" ht="12.75" customHeight="1" x14ac:dyDescent="0.2">
      <c r="A1695" s="242">
        <v>1695</v>
      </c>
      <c r="B1695" s="5664"/>
      <c r="C1695" s="624"/>
      <c r="H1695"/>
      <c r="M1695" s="351"/>
      <c r="N1695" s="23"/>
      <c r="O1695" s="143" t="s">
        <v>8330</v>
      </c>
      <c r="P1695" s="1131">
        <v>40</v>
      </c>
      <c r="Q1695" s="185">
        <v>60</v>
      </c>
      <c r="R1695" s="1138">
        <f>COUNTIF(PoderesDeCriatura_Adquiridos,Tablas!O1695)</f>
        <v>0</v>
      </c>
      <c r="S1695" s="185">
        <f>IF(R1694,15,IF(R1695,20,0))</f>
        <v>0</v>
      </c>
      <c r="T1695" s="1129" t="s">
        <v>1973</v>
      </c>
    </row>
    <row r="1696" spans="1:20" ht="12.75" customHeight="1" x14ac:dyDescent="0.2">
      <c r="A1696" s="242">
        <v>1696</v>
      </c>
      <c r="B1696" s="5664"/>
      <c r="C1696" s="624"/>
      <c r="H1696"/>
      <c r="M1696" s="351"/>
      <c r="N1696" s="23"/>
      <c r="O1696" s="143" t="s">
        <v>8331</v>
      </c>
      <c r="P1696" s="1131">
        <v>35</v>
      </c>
      <c r="Q1696" s="185">
        <v>40</v>
      </c>
      <c r="R1696" s="1138">
        <f>COUNTIF(PoderesDeCriatura_Adquiridos,Tablas!O1696)</f>
        <v>0</v>
      </c>
      <c r="S1696" s="185"/>
      <c r="T1696" s="1129"/>
    </row>
    <row r="1697" spans="1:20" ht="12.75" customHeight="1" x14ac:dyDescent="0.2">
      <c r="A1697" s="242">
        <v>1697</v>
      </c>
      <c r="B1697" s="5664"/>
      <c r="H1697"/>
      <c r="M1697" s="351"/>
      <c r="N1697" s="23"/>
      <c r="O1697" s="143" t="s">
        <v>8332</v>
      </c>
      <c r="P1697" s="1131">
        <v>35</v>
      </c>
      <c r="Q1697" s="185">
        <v>40</v>
      </c>
      <c r="R1697" s="1138">
        <f>COUNTIF(PoderesDeCriatura_Adquiridos,Tablas!O1697)</f>
        <v>0</v>
      </c>
      <c r="S1697" s="185"/>
      <c r="T1697" s="1129"/>
    </row>
    <row r="1698" spans="1:20" ht="12.75" customHeight="1" x14ac:dyDescent="0.2">
      <c r="A1698" s="242">
        <v>1698</v>
      </c>
      <c r="B1698" s="5664"/>
      <c r="H1698"/>
      <c r="M1698" s="351"/>
      <c r="N1698" s="23"/>
      <c r="O1698" s="143" t="s">
        <v>8333</v>
      </c>
      <c r="P1698" s="1131">
        <v>40</v>
      </c>
      <c r="Q1698" s="185">
        <v>20</v>
      </c>
      <c r="R1698" s="1138">
        <f>COUNTIF(PoderesDeCriatura_Adquiridos,Tablas!O1698)</f>
        <v>0</v>
      </c>
      <c r="S1698" s="185"/>
      <c r="T1698" s="1129"/>
    </row>
    <row r="1699" spans="1:20" ht="12.75" customHeight="1" x14ac:dyDescent="0.2">
      <c r="A1699" s="242">
        <v>1699</v>
      </c>
      <c r="B1699" s="5664"/>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664"/>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664"/>
      <c r="H1701"/>
      <c r="M1701" s="351"/>
      <c r="N1701" s="23"/>
      <c r="O1701" s="1" t="s">
        <v>29</v>
      </c>
      <c r="P1701" s="1131"/>
      <c r="Q1701" s="185"/>
      <c r="R1701" s="1138"/>
      <c r="S1701" s="185"/>
      <c r="T1701" s="1129"/>
    </row>
    <row r="1702" spans="1:20" ht="12.75" customHeight="1" x14ac:dyDescent="0.2">
      <c r="A1702" s="242">
        <v>1702</v>
      </c>
      <c r="B1702" s="5664"/>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664"/>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664"/>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664"/>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664"/>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664"/>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664"/>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664"/>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664"/>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664"/>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664"/>
      <c r="H1712"/>
      <c r="I1712" s="624"/>
      <c r="N1712"/>
      <c r="O1712" s="624"/>
    </row>
    <row r="1713" spans="1:25" ht="12.75" customHeight="1" x14ac:dyDescent="0.2">
      <c r="A1713" s="242">
        <v>1713</v>
      </c>
      <c r="B1713" s="5664"/>
      <c r="C1713" s="5534" t="s">
        <v>7573</v>
      </c>
      <c r="D1713" s="5534"/>
      <c r="E1713" s="5534"/>
      <c r="F1713" s="5534"/>
      <c r="G1713" s="5534"/>
      <c r="H1713" s="5534"/>
      <c r="I1713" s="5534"/>
      <c r="J1713" s="5534"/>
      <c r="K1713" s="5534"/>
      <c r="L1713" s="5534"/>
      <c r="M1713" s="5534"/>
      <c r="N1713" s="5534"/>
      <c r="O1713" s="5534"/>
      <c r="P1713" s="5534"/>
      <c r="Q1713" s="5534"/>
      <c r="R1713" s="5534"/>
      <c r="S1713" s="5534"/>
      <c r="T1713" s="5534"/>
      <c r="U1713" s="5534"/>
      <c r="V1713" s="5534"/>
      <c r="W1713" s="5534"/>
      <c r="X1713" s="5534"/>
      <c r="Y1713" s="5534"/>
    </row>
    <row r="1714" spans="1:25" ht="12.75" customHeight="1" x14ac:dyDescent="0.2">
      <c r="A1714" s="242">
        <v>1714</v>
      </c>
      <c r="B1714" s="5664"/>
      <c r="C1714" s="5534"/>
      <c r="D1714" s="5534"/>
      <c r="E1714" s="5534"/>
      <c r="F1714" s="5534"/>
      <c r="G1714" s="5534"/>
      <c r="H1714" s="5534"/>
      <c r="I1714" s="5534"/>
      <c r="J1714" s="5534"/>
      <c r="K1714" s="5534"/>
      <c r="L1714" s="5534"/>
      <c r="M1714" s="5534"/>
      <c r="N1714" s="5534"/>
      <c r="O1714" s="5534"/>
      <c r="P1714" s="5534"/>
      <c r="Q1714" s="5534"/>
      <c r="R1714" s="5534"/>
      <c r="S1714" s="5534"/>
      <c r="T1714" s="5534"/>
      <c r="U1714" s="5534"/>
      <c r="V1714" s="5534"/>
      <c r="W1714" s="5534"/>
      <c r="X1714" s="5534"/>
      <c r="Y1714" s="5534"/>
    </row>
    <row r="1715" spans="1:25" ht="12.75" customHeight="1" x14ac:dyDescent="0.2">
      <c r="A1715" s="242">
        <v>1715</v>
      </c>
      <c r="B1715" s="5664"/>
      <c r="C1715" s="5534"/>
      <c r="D1715" s="5534"/>
      <c r="E1715" s="5534"/>
      <c r="F1715" s="5534"/>
      <c r="G1715" s="5534"/>
      <c r="H1715" s="5534"/>
      <c r="I1715" s="5534"/>
      <c r="J1715" s="5534"/>
      <c r="K1715" s="5534"/>
      <c r="L1715" s="5534"/>
      <c r="M1715" s="5534"/>
      <c r="N1715" s="5534"/>
      <c r="O1715" s="5534"/>
      <c r="P1715" s="5534"/>
      <c r="Q1715" s="5534"/>
      <c r="R1715" s="5534"/>
      <c r="S1715" s="5534"/>
      <c r="T1715" s="5534"/>
      <c r="U1715" s="5534"/>
      <c r="V1715" s="5534"/>
      <c r="W1715" s="5534"/>
      <c r="X1715" s="5534"/>
      <c r="Y1715" s="5534"/>
    </row>
    <row r="1716" spans="1:25" ht="12.75" customHeight="1" thickBot="1" x14ac:dyDescent="0.25">
      <c r="A1716" s="242">
        <v>1716</v>
      </c>
      <c r="B1716" s="5664"/>
      <c r="H1716"/>
      <c r="I1716" s="624"/>
      <c r="N1716"/>
      <c r="O1716" s="624"/>
    </row>
    <row r="1717" spans="1:25" ht="12.75" customHeight="1" x14ac:dyDescent="0.2">
      <c r="A1717" s="242">
        <v>1717</v>
      </c>
      <c r="B1717" s="5664"/>
      <c r="C1717" s="5709" t="s">
        <v>6558</v>
      </c>
      <c r="D1717" s="5825"/>
      <c r="E1717" s="5709" t="s">
        <v>1829</v>
      </c>
      <c r="F1717" s="5710"/>
      <c r="G1717" s="5710"/>
      <c r="H1717" s="5710"/>
      <c r="I1717" s="5710"/>
      <c r="J1717" s="5710"/>
      <c r="K1717" s="5710"/>
      <c r="L1717" s="5710"/>
      <c r="M1717" s="5710"/>
      <c r="N1717" s="5710"/>
      <c r="O1717" s="1085"/>
      <c r="P1717" s="1085"/>
      <c r="Q1717" s="1087"/>
      <c r="R1717" s="1086"/>
      <c r="T1717" s="5832" t="s">
        <v>7561</v>
      </c>
      <c r="U1717" s="5833"/>
      <c r="V1717" s="5833"/>
      <c r="W1717" s="5833"/>
      <c r="X1717" s="5833"/>
      <c r="Y1717" s="5834"/>
    </row>
    <row r="1718" spans="1:25" ht="12.75" customHeight="1" x14ac:dyDescent="0.2">
      <c r="A1718" s="242">
        <v>1718</v>
      </c>
      <c r="B1718" s="5664"/>
      <c r="C1718" s="5711"/>
      <c r="D1718" s="5826"/>
      <c r="E1718" s="5711"/>
      <c r="F1718" s="5712"/>
      <c r="G1718" s="5712"/>
      <c r="H1718" s="5712"/>
      <c r="I1718" s="5712"/>
      <c r="J1718" s="5712"/>
      <c r="K1718" s="5712"/>
      <c r="L1718" s="5712"/>
      <c r="M1718" s="5712"/>
      <c r="N1718" s="5712"/>
      <c r="O1718" s="5587" t="s">
        <v>7557</v>
      </c>
      <c r="P1718" s="5804">
        <f>COUNTIF(J1721:J1913,"&gt;0")</f>
        <v>0</v>
      </c>
      <c r="Q1718" s="1088"/>
      <c r="R1718" s="668"/>
      <c r="T1718" s="5835"/>
      <c r="U1718" s="5836"/>
      <c r="V1718" s="5836"/>
      <c r="W1718" s="5836"/>
      <c r="X1718" s="5836"/>
      <c r="Y1718" s="5837"/>
    </row>
    <row r="1719" spans="1:25" ht="12.75" customHeight="1" x14ac:dyDescent="0.2">
      <c r="A1719" s="242">
        <v>1719</v>
      </c>
      <c r="B1719" s="5664"/>
      <c r="C1719" s="691" t="s">
        <v>6559</v>
      </c>
      <c r="D1719" s="664"/>
      <c r="E1719" s="1089"/>
      <c r="F1719" s="1084" t="s">
        <v>7558</v>
      </c>
      <c r="G1719" s="667">
        <v>3</v>
      </c>
      <c r="H1719" s="667">
        <v>4</v>
      </c>
      <c r="I1719" s="667">
        <v>5</v>
      </c>
      <c r="J1719" s="667">
        <v>6</v>
      </c>
      <c r="K1719" s="667">
        <v>7</v>
      </c>
      <c r="L1719" s="667">
        <v>8</v>
      </c>
      <c r="M1719" s="667">
        <v>9</v>
      </c>
      <c r="N1719" s="667">
        <v>10</v>
      </c>
      <c r="O1719" s="5587"/>
      <c r="P1719" s="5804"/>
      <c r="Q1719" s="1088">
        <v>13</v>
      </c>
      <c r="R1719" s="668">
        <v>14</v>
      </c>
      <c r="T1719" s="5831" t="s">
        <v>7559</v>
      </c>
      <c r="U1719" s="5830"/>
      <c r="V1719" s="5830" t="s">
        <v>7560</v>
      </c>
      <c r="W1719" s="5830"/>
      <c r="X1719" s="5830" t="s">
        <v>1215</v>
      </c>
      <c r="Y1719" s="5838"/>
    </row>
    <row r="1720" spans="1:25" ht="12.75" customHeight="1" x14ac:dyDescent="0.2">
      <c r="A1720" s="242">
        <v>1720</v>
      </c>
      <c r="B1720" s="5664"/>
      <c r="C1720" s="691" t="s">
        <v>6560</v>
      </c>
      <c r="D1720" s="664"/>
      <c r="E1720" s="1090" t="s">
        <v>6559</v>
      </c>
      <c r="F1720" s="1558">
        <f>IF(Elan!$C$11=Tablas!$E1720,Elan!$G$11,IF(Elan!$U$11=Tablas!$E1720,Elan!$Y$11,0))</f>
        <v>0</v>
      </c>
      <c r="G1720" s="1083" t="s">
        <v>1829</v>
      </c>
      <c r="H1720" s="1083" t="s">
        <v>8585</v>
      </c>
      <c r="I1720" s="1083" t="s">
        <v>1498</v>
      </c>
      <c r="J1720" s="1083" t="s">
        <v>6572</v>
      </c>
      <c r="K1720" s="1083" t="s">
        <v>7328</v>
      </c>
      <c r="L1720" s="1083" t="s">
        <v>1558</v>
      </c>
      <c r="M1720" s="667"/>
      <c r="N1720" s="667"/>
      <c r="O1720" s="667"/>
      <c r="P1720" s="667"/>
      <c r="Q1720" s="1088"/>
      <c r="R1720" s="811" t="s">
        <v>2709</v>
      </c>
      <c r="T1720" s="1226" t="s">
        <v>6559</v>
      </c>
      <c r="U1720" s="1227">
        <v>2</v>
      </c>
      <c r="V1720" s="1227">
        <v>3</v>
      </c>
      <c r="W1720" s="1227">
        <v>4</v>
      </c>
      <c r="X1720" s="1227">
        <v>5</v>
      </c>
      <c r="Y1720" s="1445">
        <v>6</v>
      </c>
    </row>
    <row r="1721" spans="1:25" ht="12.75" customHeight="1" x14ac:dyDescent="0.2">
      <c r="A1721" s="242">
        <v>1721</v>
      </c>
      <c r="B1721" s="5664"/>
      <c r="C1721" s="691" t="s">
        <v>6561</v>
      </c>
      <c r="D1721" s="664"/>
      <c r="E1721" s="1091" t="s">
        <v>6573</v>
      </c>
      <c r="F1721" s="666"/>
      <c r="G1721" s="666">
        <v>10</v>
      </c>
      <c r="H1721" s="666">
        <v>1</v>
      </c>
      <c r="I1721" s="666">
        <v>5</v>
      </c>
      <c r="J1721" s="666">
        <f>COUNTIF(Elan!$C$13:$F$25,Tablas!E1721)+COUNTIF(Elan!$U$13:$X$25,Tablas!E1721)</f>
        <v>0</v>
      </c>
      <c r="K1721" s="666"/>
      <c r="L1721" s="5563" t="s">
        <v>6764</v>
      </c>
      <c r="M1721" s="5563"/>
      <c r="N1721" s="5563"/>
      <c r="O1721" s="5563"/>
      <c r="P1721" s="5563"/>
      <c r="Q1721" s="5564"/>
      <c r="R1721" s="1094">
        <f>IF(OR($J1721=0,$J1721="Aprendida"),0,SUM($J$1721:$J1721))</f>
        <v>0</v>
      </c>
      <c r="T1721" s="1228" t="s">
        <v>6765</v>
      </c>
      <c r="U1721" s="1229">
        <v>1</v>
      </c>
      <c r="V1721" s="1230" t="s">
        <v>6766</v>
      </c>
      <c r="W1721" s="1229">
        <v>1</v>
      </c>
      <c r="X1721" s="1229" t="s">
        <v>6767</v>
      </c>
      <c r="Y1721" s="1446">
        <v>-5</v>
      </c>
    </row>
    <row r="1722" spans="1:25" ht="12.75" customHeight="1" x14ac:dyDescent="0.2">
      <c r="A1722" s="242">
        <v>1722</v>
      </c>
      <c r="B1722" s="5664"/>
      <c r="C1722" s="691" t="s">
        <v>6562</v>
      </c>
      <c r="D1722" s="664"/>
      <c r="E1722" s="1091" t="s">
        <v>6574</v>
      </c>
      <c r="F1722" s="666"/>
      <c r="G1722" s="666">
        <v>20</v>
      </c>
      <c r="H1722" s="666">
        <v>1</v>
      </c>
      <c r="I1722" s="666">
        <v>10</v>
      </c>
      <c r="J1722" s="666">
        <f>COUNTIF(Elan!$C$13:$F$25,Tablas!E1722)+COUNTIF(Elan!$U$13:$X$25,Tablas!E1722)</f>
        <v>0</v>
      </c>
      <c r="K1722" s="666"/>
      <c r="L1722" s="5563" t="s">
        <v>6768</v>
      </c>
      <c r="M1722" s="5563"/>
      <c r="N1722" s="5563"/>
      <c r="O1722" s="5563"/>
      <c r="P1722" s="5563"/>
      <c r="Q1722" s="5564"/>
      <c r="R1722" s="1094">
        <f>IF(OR($J1722=0,$J1722="Aprendida"),0,SUM($J$1721:$J1722))</f>
        <v>0</v>
      </c>
      <c r="T1722" s="1228" t="s">
        <v>6769</v>
      </c>
      <c r="U1722" s="1229">
        <v>5</v>
      </c>
      <c r="V1722" s="1230" t="s">
        <v>6770</v>
      </c>
      <c r="W1722" s="1229">
        <v>3</v>
      </c>
      <c r="X1722" s="1229" t="s">
        <v>6771</v>
      </c>
      <c r="Y1722" s="1446">
        <v>-3</v>
      </c>
    </row>
    <row r="1723" spans="1:25" ht="12.75" customHeight="1" x14ac:dyDescent="0.2">
      <c r="A1723" s="242">
        <v>1723</v>
      </c>
      <c r="B1723" s="5664"/>
      <c r="C1723" s="691" t="s">
        <v>6470</v>
      </c>
      <c r="D1723" s="664"/>
      <c r="E1723" s="1091" t="s">
        <v>6575</v>
      </c>
      <c r="F1723" s="666"/>
      <c r="G1723" s="666">
        <v>30</v>
      </c>
      <c r="H1723" s="666">
        <v>1</v>
      </c>
      <c r="I1723" s="666">
        <v>5</v>
      </c>
      <c r="J1723" s="666">
        <f>COUNTIF(Elan!$C$13:$F$25,Tablas!E1723)+COUNTIF(Elan!$U$13:$X$25,Tablas!E1723)</f>
        <v>0</v>
      </c>
      <c r="K1723" s="666"/>
      <c r="L1723" s="5563" t="s">
        <v>6772</v>
      </c>
      <c r="M1723" s="5563"/>
      <c r="N1723" s="5563"/>
      <c r="O1723" s="5563"/>
      <c r="P1723" s="5563"/>
      <c r="Q1723" s="5564"/>
      <c r="R1723" s="1094">
        <f>IF(OR($J1723=0,$J1723="Aprendida"),0,SUM($J$1721:$J1723))</f>
        <v>0</v>
      </c>
      <c r="T1723" s="1228" t="s">
        <v>6773</v>
      </c>
      <c r="U1723" s="1229">
        <v>3</v>
      </c>
      <c r="V1723" s="1230" t="s">
        <v>6774</v>
      </c>
      <c r="W1723" s="1229">
        <v>1</v>
      </c>
      <c r="X1723" s="1229" t="s">
        <v>6775</v>
      </c>
      <c r="Y1723" s="1446">
        <v>-10</v>
      </c>
    </row>
    <row r="1724" spans="1:25" ht="12.75" customHeight="1" x14ac:dyDescent="0.2">
      <c r="A1724" s="242">
        <v>1724</v>
      </c>
      <c r="B1724" s="5664"/>
      <c r="C1724" s="691" t="s">
        <v>6563</v>
      </c>
      <c r="D1724" s="664"/>
      <c r="E1724" s="1091" t="s">
        <v>6576</v>
      </c>
      <c r="F1724" s="666"/>
      <c r="G1724" s="666">
        <v>40</v>
      </c>
      <c r="H1724" s="666">
        <v>1</v>
      </c>
      <c r="I1724" s="666">
        <v>20</v>
      </c>
      <c r="J1724" s="666">
        <f>COUNTIF(Elan!$C$13:$F$25,Tablas!E1724)+COUNTIF(Elan!$U$13:$X$25,Tablas!E1724)</f>
        <v>0</v>
      </c>
      <c r="K1724" s="666">
        <f>$F$1720/2*J1724</f>
        <v>0</v>
      </c>
      <c r="L1724" s="5563" t="s">
        <v>6776</v>
      </c>
      <c r="M1724" s="5563"/>
      <c r="N1724" s="5563"/>
      <c r="O1724" s="5563"/>
      <c r="P1724" s="5563"/>
      <c r="Q1724" s="5564"/>
      <c r="R1724" s="1094">
        <f>IF(OR($J1724=0,$J1724="Aprendida"),0,SUM($J$1721:$J1724))</f>
        <v>0</v>
      </c>
      <c r="T1724" s="1228" t="s">
        <v>6777</v>
      </c>
      <c r="U1724" s="1229">
        <v>3</v>
      </c>
      <c r="V1724" s="1230" t="s">
        <v>6778</v>
      </c>
      <c r="W1724" s="1229">
        <v>1</v>
      </c>
      <c r="X1724" s="1229"/>
      <c r="Y1724" s="1446"/>
    </row>
    <row r="1725" spans="1:25" ht="12.75" customHeight="1" x14ac:dyDescent="0.2">
      <c r="A1725" s="242">
        <v>1725</v>
      </c>
      <c r="B1725" s="5664"/>
      <c r="C1725" s="691" t="s">
        <v>6564</v>
      </c>
      <c r="D1725" s="664"/>
      <c r="E1725" s="1091" t="s">
        <v>6577</v>
      </c>
      <c r="F1725" s="666"/>
      <c r="G1725" s="666">
        <v>50</v>
      </c>
      <c r="H1725" s="666">
        <v>1</v>
      </c>
      <c r="I1725" s="666">
        <v>15</v>
      </c>
      <c r="J1725" s="666">
        <f>COUNTIF(Elan!$C$13:$F$25,Tablas!E1725)+COUNTIF(Elan!$U$13:$X$25,Tablas!E1725)</f>
        <v>0</v>
      </c>
      <c r="K1725" s="666"/>
      <c r="L1725" s="5563" t="s">
        <v>6779</v>
      </c>
      <c r="M1725" s="5563"/>
      <c r="N1725" s="5563"/>
      <c r="O1725" s="5563"/>
      <c r="P1725" s="5563"/>
      <c r="Q1725" s="5564"/>
      <c r="R1725" s="1094">
        <f>IF(OR($J1725=0,$J1725="Aprendida"),0,SUM($J$1721:$J1725))</f>
        <v>0</v>
      </c>
      <c r="T1725" s="1228" t="s">
        <v>6780</v>
      </c>
      <c r="U1725" s="1229">
        <v>1</v>
      </c>
      <c r="V1725" s="1230"/>
      <c r="W1725" s="1229"/>
      <c r="X1725" s="1229"/>
      <c r="Y1725" s="1446"/>
    </row>
    <row r="1726" spans="1:25" ht="12.75" customHeight="1" x14ac:dyDescent="0.2">
      <c r="A1726" s="242">
        <v>1726</v>
      </c>
      <c r="B1726" s="5664"/>
      <c r="C1726" s="691" t="s">
        <v>6565</v>
      </c>
      <c r="D1726" s="664"/>
      <c r="E1726" s="1091" t="s">
        <v>2798</v>
      </c>
      <c r="F1726" s="666"/>
      <c r="G1726" s="666">
        <v>50</v>
      </c>
      <c r="H1726" s="666">
        <f>IF(J1724=1,1,0)</f>
        <v>0</v>
      </c>
      <c r="I1726" s="666">
        <v>10</v>
      </c>
      <c r="J1726" s="666">
        <f>COUNTIF(Elan!$C$13:$F$25,Tablas!E1726)+COUNTIF(Elan!$U$13:$X$25,Tablas!E1726)</f>
        <v>0</v>
      </c>
      <c r="K1726" s="666"/>
      <c r="L1726" s="5563" t="s">
        <v>6781</v>
      </c>
      <c r="M1726" s="5563"/>
      <c r="N1726" s="5563"/>
      <c r="O1726" s="5563"/>
      <c r="P1726" s="5563"/>
      <c r="Q1726" s="5564"/>
      <c r="R1726" s="1094">
        <f>IF(OR($J1726=0,$J1726="Aprendida"),0,SUM($J$1721:$J1726))</f>
        <v>0</v>
      </c>
      <c r="T1726" s="1228" t="s">
        <v>6770</v>
      </c>
      <c r="U1726" s="1229">
        <v>5</v>
      </c>
      <c r="V1726" s="1230"/>
      <c r="W1726" s="1229"/>
      <c r="X1726" s="1229"/>
      <c r="Y1726" s="1446"/>
    </row>
    <row r="1727" spans="1:25" ht="12.75" customHeight="1" x14ac:dyDescent="0.2">
      <c r="A1727" s="242">
        <v>1727</v>
      </c>
      <c r="B1727" s="5664"/>
      <c r="C1727" s="691" t="s">
        <v>6566</v>
      </c>
      <c r="D1727" s="664"/>
      <c r="E1727" s="1091" t="s">
        <v>6578</v>
      </c>
      <c r="F1727" s="666"/>
      <c r="G1727" s="666">
        <v>60</v>
      </c>
      <c r="H1727" s="666">
        <v>1</v>
      </c>
      <c r="I1727" s="666">
        <v>10</v>
      </c>
      <c r="J1727" s="666">
        <f>COUNTIF(Elan!$C$13:$F$25,Tablas!E1727)+COUNTIF(Elan!$U$13:$X$25,Tablas!E1727)</f>
        <v>0</v>
      </c>
      <c r="K1727" s="666"/>
      <c r="L1727" s="5563" t="s">
        <v>6782</v>
      </c>
      <c r="M1727" s="5563"/>
      <c r="N1727" s="5563"/>
      <c r="O1727" s="5563"/>
      <c r="P1727" s="5563"/>
      <c r="Q1727" s="5564"/>
      <c r="R1727" s="1094">
        <f>IF(OR($J1727=0,$J1727="Aprendida"),0,SUM($J$1721:$J1727))</f>
        <v>0</v>
      </c>
      <c r="T1727" s="1231"/>
      <c r="U1727" s="1232"/>
      <c r="V1727" s="1232"/>
      <c r="W1727" s="1232"/>
      <c r="X1727" s="1232"/>
      <c r="Y1727" s="1447"/>
    </row>
    <row r="1728" spans="1:25" ht="12.75" customHeight="1" x14ac:dyDescent="0.2">
      <c r="A1728" s="242">
        <v>1728</v>
      </c>
      <c r="B1728" s="5664"/>
      <c r="C1728" s="691" t="s">
        <v>6567</v>
      </c>
      <c r="D1728" s="664"/>
      <c r="E1728" s="1091" t="s">
        <v>6579</v>
      </c>
      <c r="F1728" s="666"/>
      <c r="G1728" s="666">
        <v>70</v>
      </c>
      <c r="H1728" s="666">
        <v>1</v>
      </c>
      <c r="I1728" s="666">
        <v>10</v>
      </c>
      <c r="J1728" s="666">
        <f>COUNTIF(Elan!$C$13:$F$25,Tablas!E1728)+COUNTIF(Elan!$U$13:$X$25,Tablas!E1728)</f>
        <v>0</v>
      </c>
      <c r="K1728" s="666"/>
      <c r="L1728" s="5563" t="s">
        <v>6783</v>
      </c>
      <c r="M1728" s="5563"/>
      <c r="N1728" s="5563"/>
      <c r="O1728" s="5563"/>
      <c r="P1728" s="5563"/>
      <c r="Q1728" s="5564"/>
      <c r="R1728" s="1094">
        <f>IF(OR($J1728=0,$J1728="Aprendida"),0,SUM($J$1721:$J1728))</f>
        <v>0</v>
      </c>
      <c r="T1728" s="1226" t="str">
        <f>E1733</f>
        <v>Zemial</v>
      </c>
      <c r="U1728" s="1227"/>
      <c r="V1728" s="1233"/>
      <c r="W1728" s="1227"/>
      <c r="X1728" s="1227"/>
      <c r="Y1728" s="1445"/>
    </row>
    <row r="1729" spans="1:25" ht="12.75" customHeight="1" x14ac:dyDescent="0.2">
      <c r="A1729" s="242">
        <v>1729</v>
      </c>
      <c r="B1729" s="5664"/>
      <c r="C1729" s="691" t="s">
        <v>6568</v>
      </c>
      <c r="D1729" s="664"/>
      <c r="E1729" s="1091" t="s">
        <v>6580</v>
      </c>
      <c r="F1729" s="666"/>
      <c r="G1729" s="666">
        <v>70</v>
      </c>
      <c r="H1729" s="666">
        <v>1</v>
      </c>
      <c r="I1729" s="666">
        <v>10</v>
      </c>
      <c r="J1729" s="666">
        <f>COUNTIF(Elan!$C$13:$F$25,Tablas!E1729)+COUNTIF(Elan!$U$13:$X$25,Tablas!E1729)</f>
        <v>0</v>
      </c>
      <c r="K1729" s="666"/>
      <c r="L1729" s="5563" t="s">
        <v>6784</v>
      </c>
      <c r="M1729" s="5563"/>
      <c r="N1729" s="5563"/>
      <c r="O1729" s="5563"/>
      <c r="P1729" s="5563"/>
      <c r="Q1729" s="5564"/>
      <c r="R1729" s="1094">
        <f>IF(OR($J1729=0,$J1729="Aprendida"),0,SUM($J$1721:$J1729))</f>
        <v>0</v>
      </c>
      <c r="T1729" s="1228" t="s">
        <v>6789</v>
      </c>
      <c r="U1729" s="1229">
        <v>1</v>
      </c>
      <c r="V1729" s="1230" t="s">
        <v>6790</v>
      </c>
      <c r="W1729" s="1229">
        <v>5</v>
      </c>
      <c r="X1729" s="1229" t="s">
        <v>6791</v>
      </c>
      <c r="Y1729" s="1446">
        <v>-3</v>
      </c>
    </row>
    <row r="1730" spans="1:25" ht="12.75" customHeight="1" x14ac:dyDescent="0.2">
      <c r="A1730" s="242">
        <v>1730</v>
      </c>
      <c r="B1730" s="5664"/>
      <c r="C1730" s="691" t="s">
        <v>6569</v>
      </c>
      <c r="D1730" s="664"/>
      <c r="E1730" s="1091" t="s">
        <v>6581</v>
      </c>
      <c r="F1730" s="666"/>
      <c r="G1730" s="666">
        <v>80</v>
      </c>
      <c r="H1730" s="666">
        <v>1</v>
      </c>
      <c r="I1730" s="666">
        <v>15</v>
      </c>
      <c r="J1730" s="666">
        <f>COUNTIF(Elan!$C$13:$F$25,Tablas!E1730)+COUNTIF(Elan!$U$13:$X$25,Tablas!E1730)</f>
        <v>0</v>
      </c>
      <c r="K1730" s="666"/>
      <c r="L1730" s="5563" t="s">
        <v>6785</v>
      </c>
      <c r="M1730" s="5563"/>
      <c r="N1730" s="5563"/>
      <c r="O1730" s="5563"/>
      <c r="P1730" s="5563"/>
      <c r="Q1730" s="5564"/>
      <c r="R1730" s="1094">
        <f>IF(OR($J1730=0,$J1730="Aprendida"),0,SUM($J$1721:$J1730))</f>
        <v>0</v>
      </c>
      <c r="T1730" s="1228" t="s">
        <v>7092</v>
      </c>
      <c r="U1730" s="1229">
        <v>5</v>
      </c>
      <c r="V1730" s="1230" t="s">
        <v>6793</v>
      </c>
      <c r="W1730" s="1229">
        <v>2</v>
      </c>
      <c r="X1730" s="1229" t="s">
        <v>6794</v>
      </c>
      <c r="Y1730" s="1446">
        <v>-5</v>
      </c>
    </row>
    <row r="1731" spans="1:25" ht="12.75" customHeight="1" x14ac:dyDescent="0.2">
      <c r="A1731" s="242">
        <v>1731</v>
      </c>
      <c r="B1731" s="5664"/>
      <c r="C1731" s="691" t="s">
        <v>6570</v>
      </c>
      <c r="D1731" s="664"/>
      <c r="E1731" s="1091" t="s">
        <v>6582</v>
      </c>
      <c r="F1731" s="666"/>
      <c r="G1731" s="666">
        <v>90</v>
      </c>
      <c r="H1731" s="666">
        <v>1</v>
      </c>
      <c r="I1731" s="666">
        <v>20</v>
      </c>
      <c r="J1731" s="666">
        <f>COUNTIF(Elan!$C$13:$F$25,Tablas!E1731)+COUNTIF(Elan!$U$13:$X$25,Tablas!E1731)</f>
        <v>0</v>
      </c>
      <c r="K1731" s="666"/>
      <c r="L1731" s="5563" t="s">
        <v>6786</v>
      </c>
      <c r="M1731" s="5563"/>
      <c r="N1731" s="5563"/>
      <c r="O1731" s="5563"/>
      <c r="P1731" s="5563"/>
      <c r="Q1731" s="5564"/>
      <c r="R1731" s="1094">
        <f>IF(OR($J1731=0,$J1731="Aprendida"),0,SUM($J$1721:$J1731))</f>
        <v>0</v>
      </c>
      <c r="T1731" s="1228" t="s">
        <v>7090</v>
      </c>
      <c r="U1731" s="1229">
        <v>2</v>
      </c>
      <c r="V1731" s="1230" t="s">
        <v>6796</v>
      </c>
      <c r="W1731" s="1229">
        <v>3</v>
      </c>
      <c r="X1731" s="1229" t="s">
        <v>6797</v>
      </c>
      <c r="Y1731" s="1446">
        <v>-2</v>
      </c>
    </row>
    <row r="1732" spans="1:25" ht="12.75" customHeight="1" thickBot="1" x14ac:dyDescent="0.25">
      <c r="A1732" s="242">
        <v>1732</v>
      </c>
      <c r="B1732" s="5664"/>
      <c r="C1732" s="692" t="s">
        <v>6571</v>
      </c>
      <c r="D1732" s="665"/>
      <c r="E1732" s="1091" t="s">
        <v>6583</v>
      </c>
      <c r="F1732" s="666"/>
      <c r="G1732" s="666">
        <v>100</v>
      </c>
      <c r="H1732" s="666">
        <v>1</v>
      </c>
      <c r="I1732" s="666">
        <v>10</v>
      </c>
      <c r="J1732" s="666">
        <f>COUNTIF(Elan!$C$13:$F$25,Tablas!E1732)+COUNTIF(Elan!$U$13:$X$25,Tablas!E1732)</f>
        <v>0</v>
      </c>
      <c r="K1732" s="666"/>
      <c r="L1732" s="5563" t="s">
        <v>6787</v>
      </c>
      <c r="M1732" s="5563"/>
      <c r="N1732" s="5563"/>
      <c r="O1732" s="5563"/>
      <c r="P1732" s="5563"/>
      <c r="Q1732" s="5564"/>
      <c r="R1732" s="1094">
        <f>IF(OR($J1732=0,$J1732="Aprendida"),0,SUM($J$1721:$J1732))</f>
        <v>0</v>
      </c>
      <c r="T1732" s="1228" t="s">
        <v>7091</v>
      </c>
      <c r="U1732" s="1229">
        <v>5</v>
      </c>
      <c r="V1732" s="1230" t="s">
        <v>6799</v>
      </c>
      <c r="W1732" s="1229">
        <v>1</v>
      </c>
      <c r="X1732" s="1229"/>
      <c r="Y1732" s="1446"/>
    </row>
    <row r="1733" spans="1:25" ht="12.75" customHeight="1" thickBot="1" x14ac:dyDescent="0.25">
      <c r="A1733" s="242">
        <v>1733</v>
      </c>
      <c r="B1733" s="5664"/>
      <c r="C1733" s="692" t="str">
        <f>$E$1903</f>
        <v>ElanPersonalizado</v>
      </c>
      <c r="D1733" s="665"/>
      <c r="E1733" s="1090" t="s">
        <v>6560</v>
      </c>
      <c r="F1733" s="1558">
        <f>IF(Elan!$C$11=Tablas!$E1733,Elan!$G$11,IF(Elan!$U$11=Tablas!$E1733,Elan!$Y$11,0))</f>
        <v>20</v>
      </c>
      <c r="G1733" s="1083" t="s">
        <v>1829</v>
      </c>
      <c r="H1733" s="1083" t="s">
        <v>8585</v>
      </c>
      <c r="I1733" s="1083" t="s">
        <v>1498</v>
      </c>
      <c r="J1733" s="1083" t="s">
        <v>6572</v>
      </c>
      <c r="K1733" s="1083" t="s">
        <v>7328</v>
      </c>
      <c r="L1733" s="1083" t="s">
        <v>1558</v>
      </c>
      <c r="M1733" s="667"/>
      <c r="N1733" s="667"/>
      <c r="O1733" s="667"/>
      <c r="P1733" s="667"/>
      <c r="Q1733" s="1088"/>
      <c r="R1733" s="1094">
        <f>IF(OR($J1733=0,$J1733="Aprendida"),0,SUM($J$1721:$J1733))</f>
        <v>0</v>
      </c>
      <c r="T1733" s="1228" t="s">
        <v>6801</v>
      </c>
      <c r="U1733" s="1229">
        <v>1</v>
      </c>
      <c r="V1733" s="1230"/>
      <c r="W1733" s="1229"/>
      <c r="X1733" s="1229"/>
      <c r="Y1733" s="1446"/>
    </row>
    <row r="1734" spans="1:25" ht="12.75" customHeight="1" x14ac:dyDescent="0.2">
      <c r="A1734" s="242">
        <v>1734</v>
      </c>
      <c r="B1734" s="5664"/>
      <c r="E1734" s="1091" t="s">
        <v>6584</v>
      </c>
      <c r="F1734" s="666"/>
      <c r="G1734" s="666">
        <v>10</v>
      </c>
      <c r="H1734" s="666">
        <v>1</v>
      </c>
      <c r="I1734" s="666">
        <v>5</v>
      </c>
      <c r="J1734" s="666">
        <f>COUNTIF(Elan!$C$13:$F$25,Tablas!E1734)+COUNTIF(Elan!$U$13:$X$25,Tablas!E1734)</f>
        <v>0</v>
      </c>
      <c r="K1734" s="666"/>
      <c r="L1734" s="5563" t="s">
        <v>6788</v>
      </c>
      <c r="M1734" s="5563"/>
      <c r="N1734" s="5563"/>
      <c r="O1734" s="5563"/>
      <c r="P1734" s="5563"/>
      <c r="Q1734" s="5564"/>
      <c r="R1734" s="1094">
        <f>IF(OR($J1734=0,$J1734="Aprendida"),0,SUM($J$1721:$J1734))</f>
        <v>0</v>
      </c>
      <c r="T1734" s="1228" t="s">
        <v>6803</v>
      </c>
      <c r="U1734" s="1229">
        <v>2</v>
      </c>
      <c r="V1734" s="1230"/>
      <c r="W1734" s="1229"/>
      <c r="X1734" s="1229"/>
      <c r="Y1734" s="1446"/>
    </row>
    <row r="1735" spans="1:25" ht="12.75" customHeight="1" x14ac:dyDescent="0.2">
      <c r="A1735" s="242">
        <v>1735</v>
      </c>
      <c r="B1735" s="5664"/>
      <c r="E1735" s="1091" t="s">
        <v>6585</v>
      </c>
      <c r="F1735" s="666"/>
      <c r="G1735" s="666">
        <v>20</v>
      </c>
      <c r="H1735" s="666">
        <v>1</v>
      </c>
      <c r="I1735" s="666">
        <v>5</v>
      </c>
      <c r="J1735" s="666">
        <f>COUNTIF(Elan!$C$13:$F$25,Tablas!E1735)+COUNTIF(Elan!$U$13:$X$25,Tablas!E1735)</f>
        <v>0</v>
      </c>
      <c r="K1735" s="666"/>
      <c r="L1735" s="5563" t="s">
        <v>6792</v>
      </c>
      <c r="M1735" s="5563"/>
      <c r="N1735" s="5563"/>
      <c r="O1735" s="5563"/>
      <c r="P1735" s="5563"/>
      <c r="Q1735" s="5564"/>
      <c r="R1735" s="1094">
        <f>IF(OR($J1735=0,$J1735="Aprendida"),0,SUM($J$1721:$J1735))</f>
        <v>0</v>
      </c>
      <c r="T1735" s="1231"/>
      <c r="U1735" s="1232"/>
      <c r="V1735" s="1232"/>
      <c r="W1735" s="1232"/>
      <c r="X1735" s="1232"/>
      <c r="Y1735" s="1447"/>
    </row>
    <row r="1736" spans="1:25" ht="12.75" customHeight="1" x14ac:dyDescent="0.2">
      <c r="A1736" s="242">
        <v>1736</v>
      </c>
      <c r="B1736" s="5664"/>
      <c r="E1736" s="1091" t="s">
        <v>1646</v>
      </c>
      <c r="F1736" s="666"/>
      <c r="G1736" s="666">
        <v>30</v>
      </c>
      <c r="H1736" s="666">
        <v>1</v>
      </c>
      <c r="I1736" s="666">
        <v>10</v>
      </c>
      <c r="J1736" s="666">
        <f>COUNTIF(Elan!$C$13:$F$25,Tablas!E1736)+COUNTIF(Elan!$U$13:$X$25,Tablas!E1736)</f>
        <v>0</v>
      </c>
      <c r="K1736" s="666">
        <f>MROUND($F$1733/2,5)*J1736</f>
        <v>0</v>
      </c>
      <c r="L1736" s="5563" t="s">
        <v>6795</v>
      </c>
      <c r="M1736" s="5563"/>
      <c r="N1736" s="5563"/>
      <c r="O1736" s="5563"/>
      <c r="P1736" s="5563"/>
      <c r="Q1736" s="5564"/>
      <c r="R1736" s="1094">
        <f>IF(OR($J1736=0,$J1736="Aprendida"),0,SUM($J$1721:$J1736))</f>
        <v>0</v>
      </c>
      <c r="T1736" s="1226" t="str">
        <f>E1746</f>
        <v>Uriel</v>
      </c>
      <c r="U1736" s="1227"/>
      <c r="V1736" s="1233"/>
      <c r="W1736" s="1227"/>
      <c r="X1736" s="1227"/>
      <c r="Y1736" s="1445"/>
    </row>
    <row r="1737" spans="1:25" ht="12.75" customHeight="1" x14ac:dyDescent="0.2">
      <c r="A1737" s="242">
        <v>1737</v>
      </c>
      <c r="B1737" s="5664"/>
      <c r="E1737" s="1091" t="s">
        <v>6586</v>
      </c>
      <c r="F1737" s="666"/>
      <c r="G1737" s="666">
        <v>40</v>
      </c>
      <c r="H1737" s="666">
        <f>IF(J1734,1,0)</f>
        <v>0</v>
      </c>
      <c r="I1737" s="666">
        <v>10</v>
      </c>
      <c r="J1737" s="666">
        <f>COUNTIF(Elan!$C$13:$F$25,Tablas!E1737)+COUNTIF(Elan!$U$13:$X$25,Tablas!E1737)</f>
        <v>0</v>
      </c>
      <c r="K1737" s="666"/>
      <c r="L1737" s="5563" t="s">
        <v>6798</v>
      </c>
      <c r="M1737" s="5563"/>
      <c r="N1737" s="5563"/>
      <c r="O1737" s="5563"/>
      <c r="P1737" s="5563"/>
      <c r="Q1737" s="5564"/>
      <c r="R1737" s="1094">
        <f>IF(OR($J1737=0,$J1737="Aprendida"),0,SUM($J$1721:$J1737))</f>
        <v>0</v>
      </c>
      <c r="T1737" s="1228" t="s">
        <v>6811</v>
      </c>
      <c r="U1737" s="1229">
        <v>2</v>
      </c>
      <c r="V1737" s="1230" t="s">
        <v>6812</v>
      </c>
      <c r="W1737" s="1229">
        <v>3</v>
      </c>
      <c r="X1737" s="1229" t="s">
        <v>6813</v>
      </c>
      <c r="Y1737" s="1446">
        <v>-1</v>
      </c>
    </row>
    <row r="1738" spans="1:25" ht="12.75" customHeight="1" x14ac:dyDescent="0.2">
      <c r="A1738" s="242">
        <v>1738</v>
      </c>
      <c r="B1738" s="5664"/>
      <c r="E1738" s="1091" t="s">
        <v>6587</v>
      </c>
      <c r="F1738" s="666"/>
      <c r="G1738" s="666">
        <v>50</v>
      </c>
      <c r="H1738" s="666">
        <v>1</v>
      </c>
      <c r="I1738" s="666">
        <v>15</v>
      </c>
      <c r="J1738" s="666">
        <f>COUNTIF(Elan!$C$13:$F$25,Tablas!E1738)+COUNTIF(Elan!$U$13:$X$25,Tablas!E1738)</f>
        <v>0</v>
      </c>
      <c r="K1738" s="666"/>
      <c r="L1738" s="5563" t="s">
        <v>6800</v>
      </c>
      <c r="M1738" s="5563"/>
      <c r="N1738" s="5563"/>
      <c r="O1738" s="5563"/>
      <c r="P1738" s="5563"/>
      <c r="Q1738" s="5564"/>
      <c r="R1738" s="1094">
        <f>IF(OR($J1738=0,$J1738="Aprendida"),0,SUM($J$1721:$J1738))</f>
        <v>0</v>
      </c>
      <c r="T1738" s="1228" t="s">
        <v>6815</v>
      </c>
      <c r="U1738" s="1229">
        <v>5</v>
      </c>
      <c r="V1738" s="1230" t="s">
        <v>6816</v>
      </c>
      <c r="W1738" s="1229">
        <v>2</v>
      </c>
      <c r="X1738" s="1229" t="s">
        <v>6817</v>
      </c>
      <c r="Y1738" s="1446">
        <v>-2</v>
      </c>
    </row>
    <row r="1739" spans="1:25" ht="12.75" customHeight="1" x14ac:dyDescent="0.2">
      <c r="A1739" s="242">
        <v>1739</v>
      </c>
      <c r="B1739" s="5664"/>
      <c r="E1739" s="1091" t="s">
        <v>6588</v>
      </c>
      <c r="F1739" s="666"/>
      <c r="G1739" s="666">
        <v>50</v>
      </c>
      <c r="H1739" s="666">
        <v>1</v>
      </c>
      <c r="I1739" s="666">
        <v>10</v>
      </c>
      <c r="J1739" s="666">
        <f>COUNTIF(Elan!$C$13:$F$25,Tablas!E1739)+COUNTIF(Elan!$U$13:$X$25,Tablas!E1739)</f>
        <v>0</v>
      </c>
      <c r="K1739" s="666"/>
      <c r="L1739" s="5563" t="s">
        <v>6802</v>
      </c>
      <c r="M1739" s="5563"/>
      <c r="N1739" s="5563"/>
      <c r="O1739" s="5563"/>
      <c r="P1739" s="5563"/>
      <c r="Q1739" s="5564"/>
      <c r="R1739" s="1094">
        <f>IF(OR($J1739=0,$J1739="Aprendida"),0,SUM($J$1721:$J1739))</f>
        <v>0</v>
      </c>
      <c r="T1739" s="1228" t="s">
        <v>6819</v>
      </c>
      <c r="U1739" s="1229">
        <v>2</v>
      </c>
      <c r="V1739" s="1230" t="s">
        <v>6820</v>
      </c>
      <c r="W1739" s="1229">
        <v>1</v>
      </c>
      <c r="X1739" s="1229" t="s">
        <v>6821</v>
      </c>
      <c r="Y1739" s="1446">
        <v>-1</v>
      </c>
    </row>
    <row r="1740" spans="1:25" ht="12.75" customHeight="1" x14ac:dyDescent="0.2">
      <c r="A1740" s="242">
        <v>1740</v>
      </c>
      <c r="B1740" s="5664"/>
      <c r="E1740" s="1091" t="s">
        <v>6589</v>
      </c>
      <c r="F1740" s="666"/>
      <c r="G1740" s="666">
        <v>60</v>
      </c>
      <c r="H1740" s="666">
        <v>1</v>
      </c>
      <c r="I1740" s="666">
        <v>10</v>
      </c>
      <c r="J1740" s="666">
        <f>COUNTIF(Elan!$C$13:$F$25,Tablas!E1740)+COUNTIF(Elan!$U$13:$X$25,Tablas!E1740)</f>
        <v>0</v>
      </c>
      <c r="K1740" s="666"/>
      <c r="L1740" s="5563" t="s">
        <v>6804</v>
      </c>
      <c r="M1740" s="5563"/>
      <c r="N1740" s="5563"/>
      <c r="O1740" s="5563"/>
      <c r="P1740" s="5563"/>
      <c r="Q1740" s="5564"/>
      <c r="R1740" s="1094">
        <f>IF(OR($J1740=0,$J1740="Aprendida"),0,SUM($J$1721:$J1740))</f>
        <v>0</v>
      </c>
      <c r="T1740" s="1228" t="s">
        <v>6823</v>
      </c>
      <c r="U1740" s="1229">
        <v>2</v>
      </c>
      <c r="V1740" s="1230"/>
      <c r="W1740" s="1229"/>
      <c r="X1740" s="1229" t="s">
        <v>6824</v>
      </c>
      <c r="Y1740" s="1446">
        <v>-2</v>
      </c>
    </row>
    <row r="1741" spans="1:25" ht="12.75" customHeight="1" x14ac:dyDescent="0.2">
      <c r="A1741" s="242">
        <v>1741</v>
      </c>
      <c r="B1741" s="5664"/>
      <c r="E1741" s="1091" t="s">
        <v>6590</v>
      </c>
      <c r="F1741" s="666"/>
      <c r="G1741" s="666">
        <v>60</v>
      </c>
      <c r="H1741" s="666">
        <f>IF(J1739,1,0)</f>
        <v>0</v>
      </c>
      <c r="I1741" s="666">
        <v>10</v>
      </c>
      <c r="J1741" s="666">
        <f>COUNTIF(Elan!$C$13:$F$25,Tablas!E1741)+COUNTIF(Elan!$U$13:$X$25,Tablas!E1741)</f>
        <v>0</v>
      </c>
      <c r="K1741" s="666"/>
      <c r="L1741" s="5563" t="s">
        <v>6805</v>
      </c>
      <c r="M1741" s="5563"/>
      <c r="N1741" s="5563"/>
      <c r="O1741" s="5563"/>
      <c r="P1741" s="5563"/>
      <c r="Q1741" s="5564"/>
      <c r="R1741" s="1094">
        <f>IF(OR($J1741=0,$J1741="Aprendida"),0,SUM($J$1721:$J1741))</f>
        <v>0</v>
      </c>
      <c r="T1741" s="1228" t="s">
        <v>6826</v>
      </c>
      <c r="U1741" s="1229">
        <v>1</v>
      </c>
      <c r="V1741" s="1230"/>
      <c r="W1741" s="1229"/>
      <c r="X1741" s="1229" t="s">
        <v>6827</v>
      </c>
      <c r="Y1741" s="1446">
        <v>-10</v>
      </c>
    </row>
    <row r="1742" spans="1:25" ht="12.75" customHeight="1" x14ac:dyDescent="0.2">
      <c r="A1742" s="242">
        <v>1742</v>
      </c>
      <c r="B1742" s="5664"/>
      <c r="E1742" s="1091" t="s">
        <v>6591</v>
      </c>
      <c r="F1742" s="666"/>
      <c r="G1742" s="666">
        <v>70</v>
      </c>
      <c r="H1742" s="666">
        <f>IF(J1741,1,0)</f>
        <v>0</v>
      </c>
      <c r="I1742" s="666">
        <v>10</v>
      </c>
      <c r="J1742" s="666">
        <f>COUNTIF(Elan!$C$13:$F$25,Tablas!E1742)+COUNTIF(Elan!$U$13:$X$25,Tablas!E1742)</f>
        <v>0</v>
      </c>
      <c r="K1742" s="666"/>
      <c r="L1742" s="5563" t="s">
        <v>6806</v>
      </c>
      <c r="M1742" s="5563"/>
      <c r="N1742" s="5563"/>
      <c r="O1742" s="5563"/>
      <c r="P1742" s="5563"/>
      <c r="Q1742" s="5564"/>
      <c r="R1742" s="1094">
        <f>IF(OR($J1742=0,$J1742="Aprendida"),0,SUM($J$1721:$J1742))</f>
        <v>0</v>
      </c>
      <c r="T1742" s="1228" t="s">
        <v>6828</v>
      </c>
      <c r="U1742" s="1229">
        <v>2</v>
      </c>
      <c r="V1742" s="1230"/>
      <c r="W1742" s="1229"/>
      <c r="X1742" s="1229"/>
      <c r="Y1742" s="1446"/>
    </row>
    <row r="1743" spans="1:25" ht="12.75" customHeight="1" x14ac:dyDescent="0.2">
      <c r="A1743" s="242">
        <v>1743</v>
      </c>
      <c r="B1743" s="5664"/>
      <c r="E1743" s="1091" t="s">
        <v>6592</v>
      </c>
      <c r="F1743" s="666"/>
      <c r="G1743" s="666">
        <v>80</v>
      </c>
      <c r="H1743" s="666">
        <v>1</v>
      </c>
      <c r="I1743" s="666">
        <v>15</v>
      </c>
      <c r="J1743" s="666">
        <f>COUNTIF(Elan!$C$13:$F$25,Tablas!E1743)+COUNTIF(Elan!$U$13:$X$25,Tablas!E1743)</f>
        <v>0</v>
      </c>
      <c r="K1743" s="666"/>
      <c r="L1743" s="5563" t="s">
        <v>6807</v>
      </c>
      <c r="M1743" s="5563"/>
      <c r="N1743" s="5563"/>
      <c r="O1743" s="5563"/>
      <c r="P1743" s="5563"/>
      <c r="Q1743" s="5564"/>
      <c r="R1743" s="1094">
        <f>IF(OR($J1743=0,$J1743="Aprendida"),0,SUM($J$1721:$J1743))</f>
        <v>0</v>
      </c>
      <c r="T1743" s="1231"/>
      <c r="U1743" s="1232"/>
      <c r="V1743" s="1232"/>
      <c r="W1743" s="1232"/>
      <c r="X1743" s="1232"/>
      <c r="Y1743" s="1447"/>
    </row>
    <row r="1744" spans="1:25" ht="12.75" customHeight="1" x14ac:dyDescent="0.2">
      <c r="A1744" s="242">
        <v>1744</v>
      </c>
      <c r="B1744" s="5664"/>
      <c r="E1744" s="1091" t="s">
        <v>6593</v>
      </c>
      <c r="F1744" s="666"/>
      <c r="G1744" s="666">
        <v>90</v>
      </c>
      <c r="H1744" s="666">
        <v>1</v>
      </c>
      <c r="I1744" s="666">
        <v>20</v>
      </c>
      <c r="J1744" s="666">
        <f>COUNTIF(Elan!$C$13:$F$25,Tablas!E1744)+COUNTIF(Elan!$U$13:$X$25,Tablas!E1744)</f>
        <v>0</v>
      </c>
      <c r="K1744" s="666"/>
      <c r="L1744" s="5563" t="s">
        <v>6808</v>
      </c>
      <c r="M1744" s="5563"/>
      <c r="N1744" s="5563"/>
      <c r="O1744" s="5563"/>
      <c r="P1744" s="5563"/>
      <c r="Q1744" s="5564"/>
      <c r="R1744" s="1094">
        <f>IF(OR($J1744=0,$J1744="Aprendida"),0,SUM($J$1721:$J1744))</f>
        <v>0</v>
      </c>
      <c r="T1744" s="1226" t="str">
        <f>E1760</f>
        <v>Jedah</v>
      </c>
      <c r="U1744" s="1227"/>
      <c r="V1744" s="1233"/>
      <c r="W1744" s="1227"/>
      <c r="X1744" s="1227"/>
      <c r="Y1744" s="1445"/>
    </row>
    <row r="1745" spans="1:25" ht="12.75" customHeight="1" x14ac:dyDescent="0.2">
      <c r="A1745" s="242">
        <v>1745</v>
      </c>
      <c r="B1745" s="5664"/>
      <c r="E1745" s="1091" t="s">
        <v>6594</v>
      </c>
      <c r="F1745" s="666"/>
      <c r="G1745" s="666">
        <v>100</v>
      </c>
      <c r="H1745" s="666">
        <v>1</v>
      </c>
      <c r="I1745" s="666">
        <v>10</v>
      </c>
      <c r="J1745" s="666">
        <f>COUNTIF(Elan!$C$13:$F$25,Tablas!E1745)+COUNTIF(Elan!$U$13:$X$25,Tablas!E1745)</f>
        <v>0</v>
      </c>
      <c r="K1745" s="666"/>
      <c r="L1745" s="5563" t="s">
        <v>6809</v>
      </c>
      <c r="M1745" s="5563"/>
      <c r="N1745" s="5563"/>
      <c r="O1745" s="5563"/>
      <c r="P1745" s="5563"/>
      <c r="Q1745" s="5564"/>
      <c r="R1745" s="1094">
        <f>IF(OR($J1745=0,$J1745="Aprendida"),0,SUM($J$1721:$J1745))</f>
        <v>0</v>
      </c>
      <c r="T1745" s="1228" t="s">
        <v>7093</v>
      </c>
      <c r="U1745" s="1229">
        <v>1</v>
      </c>
      <c r="V1745" s="1230" t="s">
        <v>6837</v>
      </c>
      <c r="W1745" s="1229">
        <v>1</v>
      </c>
      <c r="X1745" s="1229" t="s">
        <v>6838</v>
      </c>
      <c r="Y1745" s="1446">
        <v>-2</v>
      </c>
    </row>
    <row r="1746" spans="1:25" ht="12.75" customHeight="1" x14ac:dyDescent="0.2">
      <c r="A1746" s="242">
        <v>1746</v>
      </c>
      <c r="B1746" s="5664"/>
      <c r="E1746" s="1090" t="s">
        <v>6561</v>
      </c>
      <c r="F1746" s="1558">
        <f>IF(Elan!$C$11=Tablas!$E1746,Elan!$G$11,IF(Elan!$U$11=Tablas!$E1746,Elan!$Y$11,0))</f>
        <v>0</v>
      </c>
      <c r="G1746" s="1083" t="s">
        <v>1829</v>
      </c>
      <c r="H1746" s="1083" t="s">
        <v>8585</v>
      </c>
      <c r="I1746" s="1083" t="s">
        <v>1498</v>
      </c>
      <c r="J1746" s="1083" t="s">
        <v>6572</v>
      </c>
      <c r="K1746" s="1083" t="s">
        <v>7328</v>
      </c>
      <c r="L1746" s="1083" t="s">
        <v>1558</v>
      </c>
      <c r="M1746" s="667"/>
      <c r="N1746" s="667"/>
      <c r="O1746" s="667"/>
      <c r="P1746" s="667"/>
      <c r="Q1746" s="1088"/>
      <c r="R1746" s="1094">
        <f>IF(OR($J1746=0,$J1746="Aprendida"),0,SUM($J$1721:$J1746))</f>
        <v>0</v>
      </c>
      <c r="T1746" s="1228" t="s">
        <v>6840</v>
      </c>
      <c r="U1746" s="1229">
        <v>3</v>
      </c>
      <c r="V1746" s="1230" t="s">
        <v>6841</v>
      </c>
      <c r="W1746" s="1229">
        <v>3</v>
      </c>
      <c r="X1746" s="1229" t="s">
        <v>6842</v>
      </c>
      <c r="Y1746" s="1446">
        <v>-3</v>
      </c>
    </row>
    <row r="1747" spans="1:25" ht="12.75" customHeight="1" x14ac:dyDescent="0.2">
      <c r="A1747" s="242">
        <v>1747</v>
      </c>
      <c r="B1747" s="5664"/>
      <c r="E1747" s="1091" t="s">
        <v>6595</v>
      </c>
      <c r="F1747" s="666"/>
      <c r="G1747" s="666">
        <v>10</v>
      </c>
      <c r="H1747" s="666">
        <v>1</v>
      </c>
      <c r="I1747" s="666">
        <v>5</v>
      </c>
      <c r="J1747" s="666">
        <f>COUNTIF(Elan!$C$13:$F$25,Tablas!E1747)+COUNTIF(Elan!$U$13:$X$25,Tablas!E1747)</f>
        <v>0</v>
      </c>
      <c r="K1747" s="666"/>
      <c r="L1747" s="5563" t="s">
        <v>6810</v>
      </c>
      <c r="M1747" s="5563"/>
      <c r="N1747" s="5563"/>
      <c r="O1747" s="5563"/>
      <c r="P1747" s="5563"/>
      <c r="Q1747" s="5564"/>
      <c r="R1747" s="1094">
        <f>IF(OR($J1747=0,$J1747="Aprendida"),0,SUM($J$1721:$J1747))</f>
        <v>0</v>
      </c>
      <c r="T1747" s="1228" t="s">
        <v>6844</v>
      </c>
      <c r="U1747" s="1229">
        <v>2</v>
      </c>
      <c r="V1747" s="1230" t="s">
        <v>6845</v>
      </c>
      <c r="W1747" s="1229">
        <v>3</v>
      </c>
      <c r="X1747" s="1229" t="s">
        <v>6846</v>
      </c>
      <c r="Y1747" s="1446">
        <v>-2</v>
      </c>
    </row>
    <row r="1748" spans="1:25" ht="12.75" customHeight="1" x14ac:dyDescent="0.2">
      <c r="A1748" s="242">
        <v>1748</v>
      </c>
      <c r="B1748" s="5664"/>
      <c r="E1748" s="1091" t="s">
        <v>6596</v>
      </c>
      <c r="F1748" s="666"/>
      <c r="G1748" s="666">
        <v>20</v>
      </c>
      <c r="H1748" s="666">
        <v>1</v>
      </c>
      <c r="I1748" s="666">
        <v>5</v>
      </c>
      <c r="J1748" s="666">
        <f>COUNTIF(Elan!$C$13:$F$25,Tablas!E1748)+COUNTIF(Elan!$U$13:$X$25,Tablas!E1748)</f>
        <v>0</v>
      </c>
      <c r="K1748" s="666"/>
      <c r="L1748" s="5563" t="s">
        <v>6814</v>
      </c>
      <c r="M1748" s="5563"/>
      <c r="N1748" s="5563"/>
      <c r="O1748" s="5563"/>
      <c r="P1748" s="5563"/>
      <c r="Q1748" s="5564"/>
      <c r="R1748" s="1094">
        <f>IF(OR($J1748=0,$J1748="Aprendida"),0,SUM($J$1721:$J1748))</f>
        <v>0</v>
      </c>
      <c r="T1748" s="1228" t="s">
        <v>6848</v>
      </c>
      <c r="U1748" s="1229">
        <v>3</v>
      </c>
      <c r="V1748" s="1230"/>
      <c r="W1748" s="1229"/>
      <c r="X1748" s="1229" t="s">
        <v>6849</v>
      </c>
      <c r="Y1748" s="1446">
        <v>-4</v>
      </c>
    </row>
    <row r="1749" spans="1:25" ht="12.75" customHeight="1" x14ac:dyDescent="0.2">
      <c r="A1749" s="242">
        <v>1749</v>
      </c>
      <c r="B1749" s="5664"/>
      <c r="E1749" s="1091" t="s">
        <v>6597</v>
      </c>
      <c r="F1749" s="666"/>
      <c r="G1749" s="666">
        <v>20</v>
      </c>
      <c r="H1749" s="666">
        <v>1</v>
      </c>
      <c r="I1749" s="666">
        <v>10</v>
      </c>
      <c r="J1749" s="666">
        <f>COUNTIF(Elan!$C$13:$F$25,Tablas!E1749)+COUNTIF(Elan!$U$13:$X$25,Tablas!E1749)</f>
        <v>0</v>
      </c>
      <c r="K1749" s="666"/>
      <c r="L1749" s="5563" t="s">
        <v>6818</v>
      </c>
      <c r="M1749" s="5563"/>
      <c r="N1749" s="5563"/>
      <c r="O1749" s="5563"/>
      <c r="P1749" s="5563"/>
      <c r="Q1749" s="5564"/>
      <c r="R1749" s="1094">
        <f>IF(OR($J1749=0,$J1749="Aprendida"),0,SUM($J$1721:$J1749))</f>
        <v>0</v>
      </c>
      <c r="T1749" s="1228" t="s">
        <v>6851</v>
      </c>
      <c r="U1749" s="1229">
        <v>3</v>
      </c>
      <c r="V1749" s="1230"/>
      <c r="W1749" s="1229"/>
      <c r="X1749" s="1229"/>
      <c r="Y1749" s="1446"/>
    </row>
    <row r="1750" spans="1:25" ht="12.75" customHeight="1" x14ac:dyDescent="0.2">
      <c r="A1750" s="242">
        <v>1750</v>
      </c>
      <c r="B1750" s="5664"/>
      <c r="E1750" s="1091" t="s">
        <v>6598</v>
      </c>
      <c r="F1750" s="666"/>
      <c r="G1750" s="666">
        <v>30</v>
      </c>
      <c r="H1750" s="666">
        <v>1</v>
      </c>
      <c r="I1750" s="666">
        <v>5</v>
      </c>
      <c r="J1750" s="666">
        <f>COUNTIF(Elan!$C$13:$F$25,Tablas!E1750)+COUNTIF(Elan!$U$13:$X$25,Tablas!E1750)</f>
        <v>0</v>
      </c>
      <c r="K1750" s="666"/>
      <c r="L1750" s="5563" t="s">
        <v>6822</v>
      </c>
      <c r="M1750" s="5563"/>
      <c r="N1750" s="5563"/>
      <c r="O1750" s="5563"/>
      <c r="P1750" s="5563"/>
      <c r="Q1750" s="5564"/>
      <c r="R1750" s="1094">
        <f>IF(OR($J1750=0,$J1750="Aprendida"),0,SUM($J$1721:$J1750))</f>
        <v>0</v>
      </c>
      <c r="T1750" s="1228" t="s">
        <v>6853</v>
      </c>
      <c r="U1750" s="1229">
        <v>2</v>
      </c>
      <c r="V1750" s="1230"/>
      <c r="W1750" s="1229"/>
      <c r="X1750" s="1229"/>
      <c r="Y1750" s="1446"/>
    </row>
    <row r="1751" spans="1:25" ht="12.75" customHeight="1" x14ac:dyDescent="0.2">
      <c r="A1751" s="242">
        <v>1751</v>
      </c>
      <c r="B1751" s="5664"/>
      <c r="E1751" s="1091" t="s">
        <v>6599</v>
      </c>
      <c r="F1751" s="666"/>
      <c r="G1751" s="666">
        <v>40</v>
      </c>
      <c r="H1751" s="666">
        <v>1</v>
      </c>
      <c r="I1751" s="666">
        <v>10</v>
      </c>
      <c r="J1751" s="666">
        <f>COUNTIF(Elan!$C$13:$F$25,Tablas!E1751)+COUNTIF(Elan!$U$13:$X$25,Tablas!E1751)</f>
        <v>0</v>
      </c>
      <c r="K1751" s="666"/>
      <c r="L1751" s="5563" t="s">
        <v>6825</v>
      </c>
      <c r="M1751" s="5563"/>
      <c r="N1751" s="5563"/>
      <c r="O1751" s="5563"/>
      <c r="P1751" s="5563"/>
      <c r="Q1751" s="5564"/>
      <c r="R1751" s="1094">
        <f>IF(OR($J1751=0,$J1751="Aprendida"),0,SUM($J$1721:$J1751))</f>
        <v>0</v>
      </c>
      <c r="T1751" s="1231"/>
      <c r="U1751" s="1232"/>
      <c r="V1751" s="1232"/>
      <c r="W1751" s="1232"/>
      <c r="X1751" s="1232"/>
      <c r="Y1751" s="1447"/>
    </row>
    <row r="1752" spans="1:25" ht="12.75" customHeight="1" x14ac:dyDescent="0.2">
      <c r="A1752" s="242">
        <v>1752</v>
      </c>
      <c r="B1752" s="5664"/>
      <c r="E1752" s="1091" t="s">
        <v>6600</v>
      </c>
      <c r="F1752" s="666"/>
      <c r="G1752" s="666">
        <v>40</v>
      </c>
      <c r="H1752" s="666">
        <v>1</v>
      </c>
      <c r="I1752" s="666">
        <v>5</v>
      </c>
      <c r="J1752" s="666">
        <f>COUNTIF(Elan!$C$13:$F$25,Tablas!E1752)+COUNTIF(Elan!$U$13:$X$25,Tablas!E1752)</f>
        <v>0</v>
      </c>
      <c r="K1752" s="666"/>
      <c r="L1752" s="5563" t="s">
        <v>8928</v>
      </c>
      <c r="M1752" s="5563"/>
      <c r="N1752" s="5563"/>
      <c r="O1752" s="5563"/>
      <c r="P1752" s="5563"/>
      <c r="Q1752" s="5564"/>
      <c r="R1752" s="1094">
        <f>IF(OR($J1752=0,$J1752="Aprendida"),0,SUM($J$1721:$J1752))</f>
        <v>0</v>
      </c>
      <c r="T1752" s="1231"/>
      <c r="U1752" s="1232"/>
      <c r="V1752" s="1232"/>
      <c r="W1752" s="1232"/>
      <c r="X1752" s="1232"/>
      <c r="Y1752" s="1447"/>
    </row>
    <row r="1753" spans="1:25" ht="12.75" customHeight="1" x14ac:dyDescent="0.2">
      <c r="A1753" s="242">
        <v>1753</v>
      </c>
      <c r="B1753" s="5664"/>
      <c r="E1753" s="1091" t="s">
        <v>6601</v>
      </c>
      <c r="F1753" s="666"/>
      <c r="G1753" s="666">
        <v>50</v>
      </c>
      <c r="H1753" s="666">
        <v>1</v>
      </c>
      <c r="I1753" s="666">
        <v>10</v>
      </c>
      <c r="J1753" s="666">
        <f>COUNTIF(Elan!$C$13:$F$25,Tablas!E1753)+COUNTIF(Elan!$U$13:$X$25,Tablas!E1753)</f>
        <v>0</v>
      </c>
      <c r="K1753" s="666"/>
      <c r="L1753" s="5563" t="s">
        <v>6829</v>
      </c>
      <c r="M1753" s="5563"/>
      <c r="N1753" s="5563"/>
      <c r="O1753" s="5563"/>
      <c r="P1753" s="5563"/>
      <c r="Q1753" s="5564"/>
      <c r="R1753" s="1094">
        <f>IF(OR($J1753=0,$J1753="Aprendida"),0,SUM($J$1721:$J1753))</f>
        <v>0</v>
      </c>
      <c r="T1753" s="1226" t="str">
        <f>E1774</f>
        <v>Gabriel</v>
      </c>
      <c r="U1753" s="1227"/>
      <c r="V1753" s="1233"/>
      <c r="W1753" s="1227"/>
      <c r="X1753" s="1227"/>
      <c r="Y1753" s="1445"/>
    </row>
    <row r="1754" spans="1:25" ht="12.75" customHeight="1" x14ac:dyDescent="0.2">
      <c r="A1754" s="242">
        <v>1754</v>
      </c>
      <c r="B1754" s="5664"/>
      <c r="E1754" s="1091" t="s">
        <v>6602</v>
      </c>
      <c r="F1754" s="666"/>
      <c r="G1754" s="666">
        <v>60</v>
      </c>
      <c r="H1754" s="666">
        <f>IF(J1751,1,0)</f>
        <v>0</v>
      </c>
      <c r="I1754" s="666">
        <v>20</v>
      </c>
      <c r="J1754" s="666">
        <f>COUNTIF(Elan!$C$13:$F$25,Tablas!E1754)+COUNTIF(Elan!$U$13:$X$25,Tablas!E1754)</f>
        <v>0</v>
      </c>
      <c r="K1754" s="666"/>
      <c r="L1754" s="5563" t="s">
        <v>6830</v>
      </c>
      <c r="M1754" s="5563"/>
      <c r="N1754" s="5563"/>
      <c r="O1754" s="5563"/>
      <c r="P1754" s="5563"/>
      <c r="Q1754" s="5564"/>
      <c r="R1754" s="1094">
        <f>IF(OR($J1754=0,$J1754="Aprendida"),0,SUM($J$1721:$J1754))</f>
        <v>0</v>
      </c>
      <c r="T1754" s="1228" t="s">
        <v>6861</v>
      </c>
      <c r="U1754" s="1229">
        <v>3</v>
      </c>
      <c r="V1754" s="1230" t="s">
        <v>6862</v>
      </c>
      <c r="W1754" s="1229">
        <v>3</v>
      </c>
      <c r="X1754" s="1229" t="s">
        <v>6863</v>
      </c>
      <c r="Y1754" s="1446">
        <v>-2</v>
      </c>
    </row>
    <row r="1755" spans="1:25" ht="12.75" customHeight="1" x14ac:dyDescent="0.2">
      <c r="A1755" s="242">
        <v>1755</v>
      </c>
      <c r="B1755" s="5664"/>
      <c r="E1755" s="1091" t="s">
        <v>6603</v>
      </c>
      <c r="F1755" s="666"/>
      <c r="G1755" s="666">
        <v>60</v>
      </c>
      <c r="H1755" s="666">
        <v>1</v>
      </c>
      <c r="I1755" s="666">
        <v>15</v>
      </c>
      <c r="J1755" s="666">
        <f>COUNTIF(Elan!$C$13:$F$25,Tablas!E1755)+COUNTIF(Elan!$U$13:$X$25,Tablas!E1755)</f>
        <v>0</v>
      </c>
      <c r="K1755" s="666"/>
      <c r="L1755" s="5563" t="s">
        <v>6831</v>
      </c>
      <c r="M1755" s="5563"/>
      <c r="N1755" s="5563"/>
      <c r="O1755" s="5563"/>
      <c r="P1755" s="5563"/>
      <c r="Q1755" s="5564"/>
      <c r="R1755" s="1094">
        <f>IF(OR($J1755=0,$J1755="Aprendida"),0,SUM($J$1721:$J1755))</f>
        <v>0</v>
      </c>
      <c r="T1755" s="1228" t="s">
        <v>6865</v>
      </c>
      <c r="U1755" s="1229">
        <v>1</v>
      </c>
      <c r="V1755" s="1230" t="s">
        <v>6866</v>
      </c>
      <c r="W1755" s="1229">
        <v>2</v>
      </c>
      <c r="X1755" s="1229" t="s">
        <v>6867</v>
      </c>
      <c r="Y1755" s="1446">
        <v>-3</v>
      </c>
    </row>
    <row r="1756" spans="1:25" ht="12.75" customHeight="1" x14ac:dyDescent="0.2">
      <c r="A1756" s="242">
        <v>1756</v>
      </c>
      <c r="B1756" s="5664"/>
      <c r="E1756" s="1091" t="s">
        <v>6604</v>
      </c>
      <c r="F1756" s="666"/>
      <c r="G1756" s="666">
        <v>70</v>
      </c>
      <c r="H1756" s="666">
        <v>1</v>
      </c>
      <c r="I1756" s="666">
        <v>10</v>
      </c>
      <c r="J1756" s="666">
        <f>COUNTIF(Elan!$C$13:$F$25,Tablas!E1756)+COUNTIF(Elan!$U$13:$X$25,Tablas!E1756)</f>
        <v>0</v>
      </c>
      <c r="K1756" s="666">
        <f>IF(J1756&gt;0,1,0)</f>
        <v>0</v>
      </c>
      <c r="L1756" s="5563" t="s">
        <v>6832</v>
      </c>
      <c r="M1756" s="5563"/>
      <c r="N1756" s="5563"/>
      <c r="O1756" s="5563"/>
      <c r="P1756" s="5563"/>
      <c r="Q1756" s="5564"/>
      <c r="R1756" s="1094">
        <f>IF(OR($J1756=0,$J1756="Aprendida"),0,SUM($J$1721:$J1756))</f>
        <v>0</v>
      </c>
      <c r="T1756" s="1228" t="s">
        <v>6773</v>
      </c>
      <c r="U1756" s="1229">
        <v>2</v>
      </c>
      <c r="V1756" s="1230" t="s">
        <v>6869</v>
      </c>
      <c r="W1756" s="1229">
        <v>1</v>
      </c>
      <c r="X1756" s="1229" t="s">
        <v>6870</v>
      </c>
      <c r="Y1756" s="1446">
        <v>-2</v>
      </c>
    </row>
    <row r="1757" spans="1:25" ht="12.75" customHeight="1" x14ac:dyDescent="0.2">
      <c r="A1757" s="242">
        <v>1757</v>
      </c>
      <c r="B1757" s="5664"/>
      <c r="E1757" s="1091" t="s">
        <v>6605</v>
      </c>
      <c r="F1757" s="666"/>
      <c r="G1757" s="666">
        <v>80</v>
      </c>
      <c r="H1757" s="666">
        <v>1</v>
      </c>
      <c r="I1757" s="666">
        <v>10</v>
      </c>
      <c r="J1757" s="666">
        <f>COUNTIF(Elan!$C$13:$F$25,Tablas!E1757)+COUNTIF(Elan!$U$13:$X$25,Tablas!E1757)</f>
        <v>0</v>
      </c>
      <c r="K1757" s="666"/>
      <c r="L1757" s="5563" t="s">
        <v>6833</v>
      </c>
      <c r="M1757" s="5563"/>
      <c r="N1757" s="5563"/>
      <c r="O1757" s="5563"/>
      <c r="P1757" s="5563"/>
      <c r="Q1757" s="5564"/>
      <c r="R1757" s="1094">
        <f>IF(OR($J1757=0,$J1757="Aprendida"),0,SUM($J$1721:$J1757))</f>
        <v>0</v>
      </c>
      <c r="T1757" s="1228" t="s">
        <v>6872</v>
      </c>
      <c r="U1757" s="1229">
        <v>3</v>
      </c>
      <c r="V1757" s="1230" t="s">
        <v>6873</v>
      </c>
      <c r="W1757" s="1229">
        <v>2</v>
      </c>
      <c r="X1757" s="1229" t="s">
        <v>6874</v>
      </c>
      <c r="Y1757" s="1446">
        <v>-1</v>
      </c>
    </row>
    <row r="1758" spans="1:25" ht="12.75" customHeight="1" x14ac:dyDescent="0.2">
      <c r="A1758" s="242">
        <v>1758</v>
      </c>
      <c r="B1758" s="5664"/>
      <c r="E1758" s="1091" t="s">
        <v>6606</v>
      </c>
      <c r="F1758" s="666"/>
      <c r="G1758" s="666">
        <v>90</v>
      </c>
      <c r="H1758" s="666">
        <v>1</v>
      </c>
      <c r="I1758" s="666">
        <v>20</v>
      </c>
      <c r="J1758" s="666">
        <f>COUNTIF(Elan!$C$13:$F$25,Tablas!E1758)+COUNTIF(Elan!$U$13:$X$25,Tablas!E1758)</f>
        <v>0</v>
      </c>
      <c r="K1758" s="666"/>
      <c r="L1758" s="5563" t="s">
        <v>6834</v>
      </c>
      <c r="M1758" s="5563"/>
      <c r="N1758" s="5563"/>
      <c r="O1758" s="5563"/>
      <c r="P1758" s="5563"/>
      <c r="Q1758" s="5564"/>
      <c r="R1758" s="1094">
        <f>IF(OR($J1758=0,$J1758="Aprendida"),0,SUM($J$1721:$J1758))</f>
        <v>0</v>
      </c>
      <c r="T1758" s="1228" t="s">
        <v>6876</v>
      </c>
      <c r="U1758" s="1229">
        <v>1</v>
      </c>
      <c r="V1758" s="1230"/>
      <c r="W1758" s="1229"/>
      <c r="X1758" s="1229" t="s">
        <v>6877</v>
      </c>
      <c r="Y1758" s="1446">
        <v>-5</v>
      </c>
    </row>
    <row r="1759" spans="1:25" ht="12.75" customHeight="1" x14ac:dyDescent="0.2">
      <c r="A1759" s="242">
        <v>1759</v>
      </c>
      <c r="B1759" s="5664"/>
      <c r="E1759" s="1091" t="s">
        <v>6607</v>
      </c>
      <c r="F1759" s="666"/>
      <c r="G1759" s="666">
        <v>100</v>
      </c>
      <c r="H1759" s="666">
        <v>1</v>
      </c>
      <c r="I1759" s="666">
        <v>10</v>
      </c>
      <c r="J1759" s="666">
        <f>COUNTIF(Elan!$C$13:$F$25,Tablas!E1759)+COUNTIF(Elan!$U$13:$X$25,Tablas!E1759)</f>
        <v>0</v>
      </c>
      <c r="K1759" s="666"/>
      <c r="L1759" s="5563" t="s">
        <v>6835</v>
      </c>
      <c r="M1759" s="5563"/>
      <c r="N1759" s="5563"/>
      <c r="O1759" s="5563"/>
      <c r="P1759" s="5563"/>
      <c r="Q1759" s="5564"/>
      <c r="R1759" s="1094">
        <f>IF(OR($J1759=0,$J1759="Aprendida"),0,SUM($J$1721:$J1759))</f>
        <v>0</v>
      </c>
      <c r="T1759" s="1231"/>
      <c r="U1759" s="1232"/>
      <c r="V1759" s="1232"/>
      <c r="W1759" s="1232"/>
      <c r="X1759" s="1232"/>
      <c r="Y1759" s="1447"/>
    </row>
    <row r="1760" spans="1:25" ht="12.75" customHeight="1" x14ac:dyDescent="0.2">
      <c r="A1760" s="242">
        <v>1760</v>
      </c>
      <c r="B1760" s="5664"/>
      <c r="E1760" s="1090" t="s">
        <v>6562</v>
      </c>
      <c r="F1760" s="1558">
        <f>IF(Elan!$C$11=Tablas!$E1760,Elan!$G$11,IF(Elan!$U$11=Tablas!$E1760,Elan!$Y$11,0))</f>
        <v>0</v>
      </c>
      <c r="G1760" s="1083" t="s">
        <v>1829</v>
      </c>
      <c r="H1760" s="1083" t="s">
        <v>8585</v>
      </c>
      <c r="I1760" s="1083" t="s">
        <v>1498</v>
      </c>
      <c r="J1760" s="1083" t="s">
        <v>6572</v>
      </c>
      <c r="K1760" s="1083" t="s">
        <v>7328</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664"/>
      <c r="E1761" s="1091" t="s">
        <v>6608</v>
      </c>
      <c r="F1761" s="666"/>
      <c r="G1761" s="666">
        <v>10</v>
      </c>
      <c r="H1761" s="666">
        <v>1</v>
      </c>
      <c r="I1761" s="666">
        <v>5</v>
      </c>
      <c r="J1761" s="666">
        <f>COUNTIF(Elan!$C$13:$F$25,Tablas!E1761)+COUNTIF(Elan!$U$13:$X$25,Tablas!E1761)</f>
        <v>0</v>
      </c>
      <c r="K1761" s="666">
        <f>F$1760*J1761</f>
        <v>0</v>
      </c>
      <c r="L1761" s="5563" t="s">
        <v>6836</v>
      </c>
      <c r="M1761" s="5563"/>
      <c r="N1761" s="5563"/>
      <c r="O1761" s="5563"/>
      <c r="P1761" s="5563"/>
      <c r="Q1761" s="5564"/>
      <c r="R1761" s="1094">
        <f>IF(OR($J1761=0,$J1761="Aprendida"),0,SUM($J$1721:$J1761))</f>
        <v>0</v>
      </c>
      <c r="T1761" s="1226" t="str">
        <f>E1787</f>
        <v>Noah</v>
      </c>
      <c r="U1761" s="1227"/>
      <c r="V1761" s="1233"/>
      <c r="W1761" s="1227"/>
      <c r="X1761" s="1227"/>
      <c r="Y1761" s="1445"/>
    </row>
    <row r="1762" spans="1:25" ht="12.75" customHeight="1" x14ac:dyDescent="0.2">
      <c r="A1762" s="242">
        <v>1762</v>
      </c>
      <c r="B1762" s="5664"/>
      <c r="E1762" s="1091" t="s">
        <v>6609</v>
      </c>
      <c r="F1762" s="666"/>
      <c r="G1762" s="666">
        <v>20</v>
      </c>
      <c r="H1762" s="666">
        <v>1</v>
      </c>
      <c r="I1762" s="666">
        <v>10</v>
      </c>
      <c r="J1762" s="666">
        <f>COUNTIF(Elan!$C$13:$F$25,Tablas!E1762)+COUNTIF(Elan!$U$13:$X$25,Tablas!E1762)</f>
        <v>0</v>
      </c>
      <c r="K1762" s="666">
        <f>ROUNDDOWN(F$1760/2,0)*J1762</f>
        <v>0</v>
      </c>
      <c r="L1762" s="5563" t="s">
        <v>6839</v>
      </c>
      <c r="M1762" s="5563"/>
      <c r="N1762" s="5563"/>
      <c r="O1762" s="5563"/>
      <c r="P1762" s="5563"/>
      <c r="Q1762" s="5564"/>
      <c r="R1762" s="1094">
        <f>IF(OR($J1762=0,$J1762="Aprendida"),0,SUM($J$1721:$J1762))</f>
        <v>0</v>
      </c>
      <c r="T1762" s="1228" t="s">
        <v>6886</v>
      </c>
      <c r="U1762" s="1229">
        <v>2</v>
      </c>
      <c r="V1762" s="1230" t="s">
        <v>6887</v>
      </c>
      <c r="W1762" s="1229">
        <v>1</v>
      </c>
      <c r="X1762" s="1229" t="s">
        <v>6888</v>
      </c>
      <c r="Y1762" s="1446">
        <v>-2</v>
      </c>
    </row>
    <row r="1763" spans="1:25" ht="12.75" customHeight="1" x14ac:dyDescent="0.2">
      <c r="A1763" s="242">
        <v>1763</v>
      </c>
      <c r="B1763" s="5664"/>
      <c r="E1763" s="1091" t="s">
        <v>2093</v>
      </c>
      <c r="F1763" s="666"/>
      <c r="G1763" s="666">
        <v>30</v>
      </c>
      <c r="H1763" s="666">
        <v>1</v>
      </c>
      <c r="I1763" s="666">
        <v>5</v>
      </c>
      <c r="J1763" s="666">
        <f>COUNTIF(Elan!$C$13:$F$25,Tablas!E1763)+COUNTIF(Elan!$U$13:$X$25,Tablas!E1763)</f>
        <v>0</v>
      </c>
      <c r="K1763" s="666"/>
      <c r="L1763" s="5563" t="s">
        <v>6843</v>
      </c>
      <c r="M1763" s="5563"/>
      <c r="N1763" s="5563"/>
      <c r="O1763" s="5563"/>
      <c r="P1763" s="5563"/>
      <c r="Q1763" s="5564"/>
      <c r="R1763" s="1094">
        <f>IF(OR($J1763=0,$J1763="Aprendida"),0,SUM($J$1721:$J1763))</f>
        <v>0</v>
      </c>
      <c r="T1763" s="1228" t="s">
        <v>6890</v>
      </c>
      <c r="U1763" s="1229">
        <v>3</v>
      </c>
      <c r="V1763" s="1230" t="s">
        <v>6891</v>
      </c>
      <c r="W1763" s="1229">
        <v>2</v>
      </c>
      <c r="X1763" s="1229" t="s">
        <v>6892</v>
      </c>
      <c r="Y1763" s="1446">
        <v>-5</v>
      </c>
    </row>
    <row r="1764" spans="1:25" ht="12.75" customHeight="1" x14ac:dyDescent="0.2">
      <c r="A1764" s="242">
        <v>1764</v>
      </c>
      <c r="B1764" s="5664"/>
      <c r="E1764" s="1091" t="s">
        <v>6610</v>
      </c>
      <c r="F1764" s="666"/>
      <c r="G1764" s="666">
        <v>40</v>
      </c>
      <c r="H1764" s="666">
        <v>1</v>
      </c>
      <c r="I1764" s="666">
        <v>5</v>
      </c>
      <c r="J1764" s="666">
        <f>COUNTIF(Elan!$C$13:$F$25,Tablas!E1764)+COUNTIF(Elan!$U$13:$X$25,Tablas!E1764)</f>
        <v>0</v>
      </c>
      <c r="K1764" s="666"/>
      <c r="L1764" s="5563" t="s">
        <v>6847</v>
      </c>
      <c r="M1764" s="5563"/>
      <c r="N1764" s="5563"/>
      <c r="O1764" s="5563"/>
      <c r="P1764" s="5563"/>
      <c r="Q1764" s="5564"/>
      <c r="R1764" s="1094">
        <f>IF(OR($J1764=0,$J1764="Aprendida"),0,SUM($J$1721:$J1764))</f>
        <v>0</v>
      </c>
      <c r="T1764" s="1228" t="s">
        <v>6894</v>
      </c>
      <c r="U1764" s="1229">
        <v>3</v>
      </c>
      <c r="V1764" s="1230" t="s">
        <v>6895</v>
      </c>
      <c r="W1764" s="1229">
        <v>4</v>
      </c>
      <c r="X1764" s="1229" t="s">
        <v>6896</v>
      </c>
      <c r="Y1764" s="1446">
        <v>-10</v>
      </c>
    </row>
    <row r="1765" spans="1:25" ht="12.75" customHeight="1" x14ac:dyDescent="0.2">
      <c r="A1765" s="242">
        <v>1765</v>
      </c>
      <c r="B1765" s="5664"/>
      <c r="E1765" s="1091" t="s">
        <v>6611</v>
      </c>
      <c r="F1765" s="666"/>
      <c r="G1765" s="666">
        <v>50</v>
      </c>
      <c r="H1765" s="666">
        <v>1</v>
      </c>
      <c r="I1765" s="666">
        <v>10</v>
      </c>
      <c r="J1765" s="666">
        <f>COUNTIF(Elan!$C$13:$F$25,Tablas!E1765)+COUNTIF(Elan!$U$13:$X$25,Tablas!E1765)</f>
        <v>0</v>
      </c>
      <c r="K1765" s="666">
        <f>ROUNDDOWN(F$1760/2,0)*J1765</f>
        <v>0</v>
      </c>
      <c r="L1765" s="5563" t="s">
        <v>6850</v>
      </c>
      <c r="M1765" s="5563"/>
      <c r="N1765" s="5563"/>
      <c r="O1765" s="5563"/>
      <c r="P1765" s="5563"/>
      <c r="Q1765" s="5564"/>
      <c r="R1765" s="1094">
        <f>IF(OR($J1765=0,$J1765="Aprendida"),0,SUM($J$1721:$J1765))</f>
        <v>0</v>
      </c>
      <c r="T1765" s="1228" t="s">
        <v>6898</v>
      </c>
      <c r="U1765" s="1229">
        <v>3</v>
      </c>
      <c r="V1765" s="1230"/>
      <c r="W1765" s="1229"/>
      <c r="X1765" s="1229" t="s">
        <v>6899</v>
      </c>
      <c r="Y1765" s="1446">
        <v>-2</v>
      </c>
    </row>
    <row r="1766" spans="1:25" ht="12.75" customHeight="1" x14ac:dyDescent="0.2">
      <c r="A1766" s="242">
        <v>1766</v>
      </c>
      <c r="B1766" s="5664"/>
      <c r="E1766" s="1091" t="s">
        <v>6612</v>
      </c>
      <c r="F1766" s="666"/>
      <c r="G1766" s="666">
        <v>50</v>
      </c>
      <c r="H1766" s="666">
        <v>1</v>
      </c>
      <c r="I1766" s="666">
        <v>10</v>
      </c>
      <c r="J1766" s="666">
        <f>COUNTIF(Elan!$C$13:$F$25,Tablas!E1766)+COUNTIF(Elan!$U$13:$X$25,Tablas!E1766)</f>
        <v>0</v>
      </c>
      <c r="K1766" s="666"/>
      <c r="L1766" s="5563" t="s">
        <v>6852</v>
      </c>
      <c r="M1766" s="5563"/>
      <c r="N1766" s="5563"/>
      <c r="O1766" s="5563"/>
      <c r="P1766" s="5563"/>
      <c r="Q1766" s="5564"/>
      <c r="R1766" s="1094">
        <f>IF(OR($J1766=0,$J1766="Aprendida"),0,SUM($J$1721:$J1766))</f>
        <v>0</v>
      </c>
      <c r="T1766" s="1228" t="s">
        <v>6901</v>
      </c>
      <c r="U1766" s="1229">
        <v>2</v>
      </c>
      <c r="V1766" s="1230"/>
      <c r="W1766" s="1229"/>
      <c r="X1766" s="1229"/>
      <c r="Y1766" s="1446"/>
    </row>
    <row r="1767" spans="1:25" ht="12.75" customHeight="1" x14ac:dyDescent="0.2">
      <c r="A1767" s="242">
        <v>1767</v>
      </c>
      <c r="B1767" s="5664"/>
      <c r="E1767" s="1091" t="s">
        <v>6613</v>
      </c>
      <c r="F1767" s="666"/>
      <c r="G1767" s="666">
        <v>60</v>
      </c>
      <c r="H1767" s="666">
        <v>1</v>
      </c>
      <c r="I1767" s="666">
        <v>10</v>
      </c>
      <c r="J1767" s="666">
        <f>COUNTIF(Elan!$C$13:$F$25,Tablas!E1767)+COUNTIF(Elan!$U$13:$X$25,Tablas!E1767)</f>
        <v>0</v>
      </c>
      <c r="K1767" s="666"/>
      <c r="L1767" s="5563" t="s">
        <v>6854</v>
      </c>
      <c r="M1767" s="5563"/>
      <c r="N1767" s="5563"/>
      <c r="O1767" s="5563"/>
      <c r="P1767" s="5563"/>
      <c r="Q1767" s="5564"/>
      <c r="R1767" s="1094">
        <f>IF(OR($J1767=0,$J1767="Aprendida"),0,SUM($J$1721:$J1767))</f>
        <v>0</v>
      </c>
      <c r="T1767" s="1231"/>
      <c r="U1767" s="1232"/>
      <c r="V1767" s="1232"/>
      <c r="W1767" s="1232"/>
      <c r="X1767" s="1232"/>
      <c r="Y1767" s="1447"/>
    </row>
    <row r="1768" spans="1:25" ht="12.75" customHeight="1" x14ac:dyDescent="0.2">
      <c r="A1768" s="242">
        <v>1768</v>
      </c>
      <c r="B1768" s="5664"/>
      <c r="E1768" s="1091" t="s">
        <v>6614</v>
      </c>
      <c r="F1768" s="666"/>
      <c r="G1768" s="666">
        <v>65</v>
      </c>
      <c r="H1768" s="666">
        <v>1</v>
      </c>
      <c r="I1768" s="666">
        <v>15</v>
      </c>
      <c r="J1768" s="666">
        <f>COUNTIF(Elan!$C$13:$F$25,Tablas!E1768)+COUNTIF(Elan!$U$13:$X$25,Tablas!E1768)</f>
        <v>0</v>
      </c>
      <c r="K1768" s="666"/>
      <c r="L1768" s="5563" t="s">
        <v>6855</v>
      </c>
      <c r="M1768" s="5563"/>
      <c r="N1768" s="5563"/>
      <c r="O1768" s="5563"/>
      <c r="P1768" s="5563"/>
      <c r="Q1768" s="5564"/>
      <c r="R1768" s="1094">
        <f>IF(OR($J1768=0,$J1768="Aprendida"),0,SUM($J$1721:$J1768))</f>
        <v>0</v>
      </c>
      <c r="T1768" s="1231"/>
      <c r="U1768" s="1232"/>
      <c r="V1768" s="1232"/>
      <c r="W1768" s="1232"/>
      <c r="X1768" s="1232"/>
      <c r="Y1768" s="1447"/>
    </row>
    <row r="1769" spans="1:25" ht="12.75" customHeight="1" x14ac:dyDescent="0.2">
      <c r="A1769" s="242">
        <v>1769</v>
      </c>
      <c r="B1769" s="5664"/>
      <c r="E1769" s="1091" t="s">
        <v>6615</v>
      </c>
      <c r="F1769" s="666"/>
      <c r="G1769" s="666">
        <v>70</v>
      </c>
      <c r="H1769" s="666">
        <v>1</v>
      </c>
      <c r="I1769" s="666">
        <v>15</v>
      </c>
      <c r="J1769" s="666">
        <f>COUNTIF(Elan!$C$13:$F$25,Tablas!E1769)+COUNTIF(Elan!$U$13:$X$25,Tablas!E1769)</f>
        <v>0</v>
      </c>
      <c r="K1769" s="666">
        <f>IF(J1769&gt;0,1,0)</f>
        <v>0</v>
      </c>
      <c r="L1769" s="5563" t="s">
        <v>6856</v>
      </c>
      <c r="M1769" s="5563"/>
      <c r="N1769" s="5563"/>
      <c r="O1769" s="5563"/>
      <c r="P1769" s="5563"/>
      <c r="Q1769" s="5564"/>
      <c r="R1769" s="1094">
        <f>IF(OR($J1769=0,$J1769="Aprendida"),0,SUM($J$1721:$J1769))</f>
        <v>0</v>
      </c>
      <c r="T1769" s="1226" t="str">
        <f>E1800</f>
        <v>Rafael</v>
      </c>
      <c r="U1769" s="1227"/>
      <c r="V1769" s="1233"/>
      <c r="W1769" s="1227"/>
      <c r="X1769" s="1227"/>
      <c r="Y1769" s="1445"/>
    </row>
    <row r="1770" spans="1:25" ht="12.75" customHeight="1" x14ac:dyDescent="0.2">
      <c r="A1770" s="242">
        <v>1770</v>
      </c>
      <c r="B1770" s="5664"/>
      <c r="E1770" s="1091" t="s">
        <v>6616</v>
      </c>
      <c r="F1770" s="666"/>
      <c r="G1770" s="666">
        <v>70</v>
      </c>
      <c r="H1770" s="666">
        <f>IF(J1766,1,0)</f>
        <v>0</v>
      </c>
      <c r="I1770" s="666">
        <v>10</v>
      </c>
      <c r="J1770" s="666">
        <f>COUNTIF(Elan!$C$13:$F$25,Tablas!E1770)+COUNTIF(Elan!$U$13:$X$25,Tablas!E1770)</f>
        <v>0</v>
      </c>
      <c r="K1770" s="666"/>
      <c r="L1770" s="5563" t="s">
        <v>6857</v>
      </c>
      <c r="M1770" s="5563"/>
      <c r="N1770" s="5563"/>
      <c r="O1770" s="5563"/>
      <c r="P1770" s="5563"/>
      <c r="Q1770" s="5564"/>
      <c r="R1770" s="1094">
        <f>IF(OR($J1770=0,$J1770="Aprendida"),0,SUM($J$1721:$J1770))</f>
        <v>0</v>
      </c>
      <c r="T1770" s="1228" t="s">
        <v>6910</v>
      </c>
      <c r="U1770" s="1229">
        <v>1</v>
      </c>
      <c r="V1770" s="1230" t="s">
        <v>6911</v>
      </c>
      <c r="W1770" s="1229">
        <v>2</v>
      </c>
      <c r="X1770" s="1229" t="s">
        <v>6912</v>
      </c>
      <c r="Y1770" s="1446">
        <v>-5</v>
      </c>
    </row>
    <row r="1771" spans="1:25" ht="12.75" customHeight="1" x14ac:dyDescent="0.2">
      <c r="A1771" s="242">
        <v>1771</v>
      </c>
      <c r="B1771" s="5664"/>
      <c r="E1771" s="1091" t="s">
        <v>6605</v>
      </c>
      <c r="F1771" s="666"/>
      <c r="G1771" s="666">
        <v>80</v>
      </c>
      <c r="H1771" s="666">
        <v>1</v>
      </c>
      <c r="I1771" s="666">
        <v>15</v>
      </c>
      <c r="J1771" s="666">
        <f>COUNTIF(Elan!$C$13:$F$25,Tablas!E1771)+COUNTIF(Elan!$U$13:$X$25,Tablas!E1771)</f>
        <v>0</v>
      </c>
      <c r="K1771" s="666"/>
      <c r="L1771" s="5563" t="s">
        <v>6833</v>
      </c>
      <c r="M1771" s="5563"/>
      <c r="N1771" s="5563"/>
      <c r="O1771" s="5563"/>
      <c r="P1771" s="5563"/>
      <c r="Q1771" s="5564"/>
      <c r="R1771" s="1094">
        <f>IF(OR($J1771=0,$J1771="Aprendida"),0,SUM($J$1721:$J1771))</f>
        <v>0</v>
      </c>
      <c r="T1771" s="1228" t="s">
        <v>6914</v>
      </c>
      <c r="U1771" s="1229">
        <v>5</v>
      </c>
      <c r="V1771" s="1230" t="s">
        <v>6914</v>
      </c>
      <c r="W1771" s="1229">
        <v>1</v>
      </c>
      <c r="X1771" s="1229" t="s">
        <v>6915</v>
      </c>
      <c r="Y1771" s="1446">
        <v>-3</v>
      </c>
    </row>
    <row r="1772" spans="1:25" ht="12.75" customHeight="1" x14ac:dyDescent="0.2">
      <c r="A1772" s="242">
        <v>1772</v>
      </c>
      <c r="B1772" s="5664"/>
      <c r="E1772" s="1091" t="s">
        <v>6617</v>
      </c>
      <c r="F1772" s="666"/>
      <c r="G1772" s="666">
        <v>90</v>
      </c>
      <c r="H1772" s="666">
        <f>IF(J1770,1,0)</f>
        <v>0</v>
      </c>
      <c r="I1772" s="666">
        <v>10</v>
      </c>
      <c r="J1772" s="666">
        <f>COUNTIF(Elan!$C$13:$F$25,Tablas!E1772)+COUNTIF(Elan!$U$13:$X$25,Tablas!E1772)</f>
        <v>0</v>
      </c>
      <c r="K1772" s="666"/>
      <c r="L1772" s="5563" t="s">
        <v>6858</v>
      </c>
      <c r="M1772" s="5563"/>
      <c r="N1772" s="5563"/>
      <c r="O1772" s="5563"/>
      <c r="P1772" s="5563"/>
      <c r="Q1772" s="5564"/>
      <c r="R1772" s="1094">
        <f>IF(OR($J1772=0,$J1772="Aprendida"),0,SUM($J$1721:$J1772))</f>
        <v>0</v>
      </c>
      <c r="T1772" s="1228" t="s">
        <v>6917</v>
      </c>
      <c r="U1772" s="1229">
        <v>3</v>
      </c>
      <c r="V1772" s="1230" t="s">
        <v>6918</v>
      </c>
      <c r="W1772" s="1229">
        <v>2</v>
      </c>
      <c r="X1772" s="1229" t="s">
        <v>6919</v>
      </c>
      <c r="Y1772" s="1446">
        <v>-10</v>
      </c>
    </row>
    <row r="1773" spans="1:25" ht="12.75" customHeight="1" x14ac:dyDescent="0.2">
      <c r="A1773" s="242">
        <v>1773</v>
      </c>
      <c r="B1773" s="5664"/>
      <c r="E1773" s="1091" t="s">
        <v>6618</v>
      </c>
      <c r="F1773" s="666"/>
      <c r="G1773" s="666">
        <v>100</v>
      </c>
      <c r="H1773" s="666">
        <v>1</v>
      </c>
      <c r="I1773" s="666">
        <v>10</v>
      </c>
      <c r="J1773" s="666">
        <f>COUNTIF(Elan!$C$13:$F$25,Tablas!E1773)+COUNTIF(Elan!$U$13:$X$25,Tablas!E1773)</f>
        <v>0</v>
      </c>
      <c r="K1773" s="666"/>
      <c r="L1773" s="5563" t="s">
        <v>6859</v>
      </c>
      <c r="M1773" s="5563"/>
      <c r="N1773" s="5563"/>
      <c r="O1773" s="5563"/>
      <c r="P1773" s="5563"/>
      <c r="Q1773" s="5564"/>
      <c r="R1773" s="1094">
        <f>IF(OR($J1773=0,$J1773="Aprendida"),0,SUM($J$1721:$J1773))</f>
        <v>0</v>
      </c>
      <c r="T1773" s="1228" t="s">
        <v>6921</v>
      </c>
      <c r="U1773" s="1229">
        <v>1</v>
      </c>
      <c r="V1773" s="1230"/>
      <c r="W1773" s="1229"/>
      <c r="X1773" s="1229"/>
      <c r="Y1773" s="1446"/>
    </row>
    <row r="1774" spans="1:25" ht="12.75" customHeight="1" x14ac:dyDescent="0.2">
      <c r="A1774" s="242">
        <v>1774</v>
      </c>
      <c r="B1774" s="5664"/>
      <c r="E1774" s="1090" t="s">
        <v>6470</v>
      </c>
      <c r="F1774" s="1558">
        <f>IF(Elan!$C$11=Tablas!$E1774,Elan!$G$11,IF(Elan!$U$11=Tablas!$E1774,Elan!$Y$11,0))</f>
        <v>0</v>
      </c>
      <c r="G1774" s="1083" t="s">
        <v>1829</v>
      </c>
      <c r="H1774" s="1083" t="s">
        <v>8585</v>
      </c>
      <c r="I1774" s="1083" t="s">
        <v>1498</v>
      </c>
      <c r="J1774" s="1083" t="s">
        <v>6572</v>
      </c>
      <c r="K1774" s="1083" t="s">
        <v>7328</v>
      </c>
      <c r="L1774" s="1083" t="s">
        <v>1558</v>
      </c>
      <c r="M1774" s="667"/>
      <c r="N1774" s="667"/>
      <c r="O1774" s="667"/>
      <c r="P1774" s="667"/>
      <c r="Q1774" s="1088"/>
      <c r="R1774" s="1094">
        <f>IF(OR($J1774=0,$J1774="Aprendida"),0,SUM($J$1721:$J1774))</f>
        <v>0</v>
      </c>
      <c r="T1774" s="1228" t="s">
        <v>6923</v>
      </c>
      <c r="U1774" s="1229">
        <v>5</v>
      </c>
      <c r="V1774" s="1230"/>
      <c r="W1774" s="1229"/>
      <c r="X1774" s="1229"/>
      <c r="Y1774" s="1446"/>
    </row>
    <row r="1775" spans="1:25" ht="12.75" customHeight="1" x14ac:dyDescent="0.2">
      <c r="A1775" s="242">
        <v>1775</v>
      </c>
      <c r="B1775" s="5664"/>
      <c r="E1775" s="1091" t="s">
        <v>6619</v>
      </c>
      <c r="F1775" s="666"/>
      <c r="G1775" s="666">
        <v>10</v>
      </c>
      <c r="H1775" s="666">
        <v>1</v>
      </c>
      <c r="I1775" s="666">
        <v>5</v>
      </c>
      <c r="J1775" s="666">
        <f>COUNTIF(Elan!$C$13:$F$25,Tablas!E1775)+COUNTIF(Elan!$U$13:$X$25,Tablas!E1775)</f>
        <v>0</v>
      </c>
      <c r="K1775" s="666">
        <f>F$1774*J1775</f>
        <v>0</v>
      </c>
      <c r="L1775" s="5563" t="s">
        <v>6860</v>
      </c>
      <c r="M1775" s="5563"/>
      <c r="N1775" s="5563"/>
      <c r="O1775" s="5563"/>
      <c r="P1775" s="5563"/>
      <c r="Q1775" s="5564"/>
      <c r="R1775" s="1094">
        <f>IF(OR($J1775=0,$J1775="Aprendida"),0,SUM($J$1721:$J1775))</f>
        <v>0</v>
      </c>
      <c r="T1775" s="1231"/>
      <c r="U1775" s="1232"/>
      <c r="V1775" s="1232"/>
      <c r="W1775" s="1232"/>
      <c r="X1775" s="1232"/>
      <c r="Y1775" s="1447"/>
    </row>
    <row r="1776" spans="1:25" ht="12.75" customHeight="1" x14ac:dyDescent="0.2">
      <c r="A1776" s="242">
        <v>1776</v>
      </c>
      <c r="B1776" s="5664"/>
      <c r="E1776" s="1091" t="s">
        <v>6620</v>
      </c>
      <c r="F1776" s="666"/>
      <c r="G1776" s="666">
        <v>20</v>
      </c>
      <c r="H1776" s="666">
        <v>1</v>
      </c>
      <c r="I1776" s="666">
        <v>5</v>
      </c>
      <c r="J1776" s="666">
        <f>COUNTIF(Elan!$C$13:$F$25,Tablas!E1776)+COUNTIF(Elan!$U$13:$X$25,Tablas!E1776)</f>
        <v>0</v>
      </c>
      <c r="K1776" s="666"/>
      <c r="L1776" s="5563" t="s">
        <v>6864</v>
      </c>
      <c r="M1776" s="5563"/>
      <c r="N1776" s="5563"/>
      <c r="O1776" s="5563"/>
      <c r="P1776" s="5563"/>
      <c r="Q1776" s="5564"/>
      <c r="R1776" s="1094">
        <f>IF(OR($J1776=0,$J1776="Aprendida"),0,SUM($J$1721:$J1776))</f>
        <v>0</v>
      </c>
      <c r="T1776" s="1231"/>
      <c r="U1776" s="1232"/>
      <c r="V1776" s="1232"/>
      <c r="W1776" s="1232"/>
      <c r="X1776" s="1232"/>
      <c r="Y1776" s="1447"/>
    </row>
    <row r="1777" spans="1:25" ht="12.75" customHeight="1" x14ac:dyDescent="0.2">
      <c r="A1777" s="242">
        <v>1777</v>
      </c>
      <c r="B1777" s="5664"/>
      <c r="E1777" s="1091" t="s">
        <v>6621</v>
      </c>
      <c r="F1777" s="666"/>
      <c r="G1777" s="666">
        <v>30</v>
      </c>
      <c r="H1777" s="666">
        <v>1</v>
      </c>
      <c r="I1777" s="666">
        <v>10</v>
      </c>
      <c r="J1777" s="666">
        <f>COUNTIF(Elan!$C$13:$F$25,Tablas!E1777)+COUNTIF(Elan!$U$13:$X$25,Tablas!E1777)</f>
        <v>0</v>
      </c>
      <c r="K1777" s="666"/>
      <c r="L1777" s="5563" t="s">
        <v>6868</v>
      </c>
      <c r="M1777" s="5563"/>
      <c r="N1777" s="5563"/>
      <c r="O1777" s="5563"/>
      <c r="P1777" s="5563"/>
      <c r="Q1777" s="5564"/>
      <c r="R1777" s="1094">
        <f>IF(OR($J1777=0,$J1777="Aprendida"),0,SUM($J$1721:$J1777))</f>
        <v>0</v>
      </c>
      <c r="T1777" s="1226" t="str">
        <f>E1814</f>
        <v>Erebus</v>
      </c>
      <c r="U1777" s="1227"/>
      <c r="V1777" s="1233"/>
      <c r="W1777" s="1227"/>
      <c r="X1777" s="1227"/>
      <c r="Y1777" s="1445"/>
    </row>
    <row r="1778" spans="1:25" ht="12.75" customHeight="1" x14ac:dyDescent="0.2">
      <c r="A1778" s="242">
        <v>1778</v>
      </c>
      <c r="B1778" s="5664"/>
      <c r="E1778" s="1091" t="s">
        <v>6622</v>
      </c>
      <c r="F1778" s="666"/>
      <c r="G1778" s="666">
        <v>40</v>
      </c>
      <c r="H1778" s="666">
        <v>1</v>
      </c>
      <c r="I1778" s="666">
        <v>10</v>
      </c>
      <c r="J1778" s="666">
        <f>COUNTIF(Elan!$C$13:$F$25,Tablas!E1778)+COUNTIF(Elan!$U$13:$X$25,Tablas!E1778)</f>
        <v>0</v>
      </c>
      <c r="K1778" s="666"/>
      <c r="L1778" s="5563" t="s">
        <v>6871</v>
      </c>
      <c r="M1778" s="5563"/>
      <c r="N1778" s="5563"/>
      <c r="O1778" s="5563"/>
      <c r="P1778" s="5563"/>
      <c r="Q1778" s="5564"/>
      <c r="R1778" s="1094">
        <f>IF(OR($J1778=0,$J1778="Aprendida"),0,SUM($J$1721:$J1778))</f>
        <v>0</v>
      </c>
      <c r="T1778" s="1228" t="s">
        <v>6933</v>
      </c>
      <c r="U1778" s="1229">
        <v>2</v>
      </c>
      <c r="V1778" s="1230" t="s">
        <v>6934</v>
      </c>
      <c r="W1778" s="1229">
        <v>2</v>
      </c>
      <c r="X1778" s="1229" t="s">
        <v>6935</v>
      </c>
      <c r="Y1778" s="1446">
        <v>-3</v>
      </c>
    </row>
    <row r="1779" spans="1:25" ht="12.75" customHeight="1" x14ac:dyDescent="0.2">
      <c r="A1779" s="242">
        <v>1779</v>
      </c>
      <c r="B1779" s="5664"/>
      <c r="E1779" s="1091" t="s">
        <v>1282</v>
      </c>
      <c r="F1779" s="666"/>
      <c r="G1779" s="666">
        <v>40</v>
      </c>
      <c r="H1779" s="666">
        <v>1</v>
      </c>
      <c r="I1779" s="666">
        <v>10</v>
      </c>
      <c r="J1779" s="666">
        <f>COUNTIF(Elan!$C$13:$F$25,Tablas!E1779)+COUNTIF(Elan!$U$13:$X$25,Tablas!E1779)</f>
        <v>0</v>
      </c>
      <c r="K1779" s="666"/>
      <c r="L1779" s="5563" t="s">
        <v>6875</v>
      </c>
      <c r="M1779" s="5563"/>
      <c r="N1779" s="5563"/>
      <c r="O1779" s="5563"/>
      <c r="P1779" s="5563"/>
      <c r="Q1779" s="5564"/>
      <c r="R1779" s="1094">
        <f>IF(OR($J1779=0,$J1779="Aprendida"),0,SUM($J$1721:$J1779))</f>
        <v>0</v>
      </c>
      <c r="T1779" s="1228" t="s">
        <v>6937</v>
      </c>
      <c r="U1779" s="1229">
        <v>3</v>
      </c>
      <c r="V1779" s="1230" t="s">
        <v>6938</v>
      </c>
      <c r="W1779" s="1229">
        <v>2</v>
      </c>
      <c r="X1779" s="1229" t="s">
        <v>6939</v>
      </c>
      <c r="Y1779" s="1446">
        <v>-2</v>
      </c>
    </row>
    <row r="1780" spans="1:25" ht="12.75" customHeight="1" x14ac:dyDescent="0.2">
      <c r="A1780" s="242">
        <v>1780</v>
      </c>
      <c r="B1780" s="5664"/>
      <c r="E1780" s="1091" t="s">
        <v>6623</v>
      </c>
      <c r="F1780" s="666"/>
      <c r="G1780" s="666">
        <v>50</v>
      </c>
      <c r="H1780" s="666">
        <v>1</v>
      </c>
      <c r="I1780" s="666">
        <v>10</v>
      </c>
      <c r="J1780" s="666">
        <f>COUNTIF(Elan!$C$13:$F$25,Tablas!E1780)+COUNTIF(Elan!$U$13:$X$25,Tablas!E1780)</f>
        <v>0</v>
      </c>
      <c r="K1780" s="666"/>
      <c r="L1780" s="5563" t="s">
        <v>6878</v>
      </c>
      <c r="M1780" s="5563"/>
      <c r="N1780" s="5563"/>
      <c r="O1780" s="5563"/>
      <c r="P1780" s="5563"/>
      <c r="Q1780" s="5564"/>
      <c r="R1780" s="1094">
        <f>IF(OR($J1780=0,$J1780="Aprendida"),0,SUM($J$1721:$J1780))</f>
        <v>0</v>
      </c>
      <c r="T1780" s="1228" t="s">
        <v>6941</v>
      </c>
      <c r="U1780" s="1229">
        <v>2</v>
      </c>
      <c r="V1780" s="1230" t="s">
        <v>6942</v>
      </c>
      <c r="W1780" s="1229">
        <v>2</v>
      </c>
      <c r="X1780" s="1229"/>
      <c r="Y1780" s="1446"/>
    </row>
    <row r="1781" spans="1:25" ht="12.75" customHeight="1" x14ac:dyDescent="0.2">
      <c r="A1781" s="242">
        <v>1781</v>
      </c>
      <c r="B1781" s="5664"/>
      <c r="E1781" s="1091" t="s">
        <v>6624</v>
      </c>
      <c r="F1781" s="666"/>
      <c r="G1781" s="666">
        <v>50</v>
      </c>
      <c r="H1781" s="666">
        <v>1</v>
      </c>
      <c r="I1781" s="666">
        <v>15</v>
      </c>
      <c r="J1781" s="666">
        <f>COUNTIF(Elan!$C$13:$F$25,Tablas!E1781)+COUNTIF(Elan!$U$13:$X$25,Tablas!E1781)</f>
        <v>0</v>
      </c>
      <c r="K1781" s="666"/>
      <c r="L1781" s="5563" t="s">
        <v>6879</v>
      </c>
      <c r="M1781" s="5563"/>
      <c r="N1781" s="5563"/>
      <c r="O1781" s="5563"/>
      <c r="P1781" s="5563"/>
      <c r="Q1781" s="5564"/>
      <c r="R1781" s="1094">
        <f>IF(OR($J1781=0,$J1781="Aprendida"),0,SUM($J$1721:$J1781))</f>
        <v>0</v>
      </c>
      <c r="T1781" s="1228" t="s">
        <v>6944</v>
      </c>
      <c r="U1781" s="1229">
        <v>3</v>
      </c>
      <c r="V1781" s="1230"/>
      <c r="W1781" s="1229"/>
      <c r="X1781" s="1229"/>
      <c r="Y1781" s="1446"/>
    </row>
    <row r="1782" spans="1:25" ht="12.75" customHeight="1" x14ac:dyDescent="0.2">
      <c r="A1782" s="242">
        <v>1782</v>
      </c>
      <c r="B1782" s="5664"/>
      <c r="E1782" s="1091" t="s">
        <v>2188</v>
      </c>
      <c r="F1782" s="666"/>
      <c r="G1782" s="666">
        <v>60</v>
      </c>
      <c r="H1782" s="666">
        <v>1</v>
      </c>
      <c r="I1782" s="666">
        <v>15</v>
      </c>
      <c r="J1782" s="666">
        <f>COUNTIF(Elan!$C$13:$F$25,Tablas!E1782)+COUNTIF(Elan!$U$13:$X$25,Tablas!E1782)</f>
        <v>0</v>
      </c>
      <c r="K1782" s="666"/>
      <c r="L1782" s="5563" t="s">
        <v>6880</v>
      </c>
      <c r="M1782" s="5563"/>
      <c r="N1782" s="5563"/>
      <c r="O1782" s="5563"/>
      <c r="P1782" s="5563"/>
      <c r="Q1782" s="5564"/>
      <c r="R1782" s="1094">
        <f>IF(OR($J1782=0,$J1782="Aprendida"),0,SUM($J$1721:$J1782))</f>
        <v>0</v>
      </c>
      <c r="T1782" s="1228" t="s">
        <v>6946</v>
      </c>
      <c r="U1782" s="1229">
        <v>2</v>
      </c>
      <c r="V1782" s="1230"/>
      <c r="W1782" s="1229"/>
      <c r="X1782" s="1229"/>
      <c r="Y1782" s="1446"/>
    </row>
    <row r="1783" spans="1:25" ht="12.75" customHeight="1" x14ac:dyDescent="0.2">
      <c r="A1783" s="242">
        <v>1783</v>
      </c>
      <c r="B1783" s="5664"/>
      <c r="E1783" s="1091" t="s">
        <v>6625</v>
      </c>
      <c r="F1783" s="666"/>
      <c r="G1783" s="666">
        <v>70</v>
      </c>
      <c r="H1783" s="666">
        <v>1</v>
      </c>
      <c r="I1783" s="666">
        <v>10</v>
      </c>
      <c r="J1783" s="666">
        <f>COUNTIF(Elan!$C$13:$F$25,Tablas!E1783)+COUNTIF(Elan!$U$13:$X$25,Tablas!E1783)</f>
        <v>0</v>
      </c>
      <c r="K1783" s="666"/>
      <c r="L1783" s="5563" t="s">
        <v>6881</v>
      </c>
      <c r="M1783" s="5563"/>
      <c r="N1783" s="5563"/>
      <c r="O1783" s="5563"/>
      <c r="P1783" s="5563"/>
      <c r="Q1783" s="5564"/>
      <c r="R1783" s="1094">
        <f>IF(OR($J1783=0,$J1783="Aprendida"),0,SUM($J$1721:$J1783))</f>
        <v>0</v>
      </c>
      <c r="T1783" s="1228" t="s">
        <v>6948</v>
      </c>
      <c r="U1783" s="1229">
        <v>2</v>
      </c>
      <c r="V1783" s="1230"/>
      <c r="W1783" s="1229"/>
      <c r="X1783" s="1229"/>
      <c r="Y1783" s="1446"/>
    </row>
    <row r="1784" spans="1:25" ht="12.75" customHeight="1" x14ac:dyDescent="0.2">
      <c r="A1784" s="242">
        <v>1784</v>
      </c>
      <c r="B1784" s="5664"/>
      <c r="E1784" s="1091" t="s">
        <v>6626</v>
      </c>
      <c r="F1784" s="666"/>
      <c r="G1784" s="666">
        <v>80</v>
      </c>
      <c r="H1784" s="666">
        <v>1</v>
      </c>
      <c r="I1784" s="666">
        <v>15</v>
      </c>
      <c r="J1784" s="666">
        <f>COUNTIF(Elan!$C$13:$F$25,Tablas!E1784)+COUNTIF(Elan!$U$13:$X$25,Tablas!E1784)</f>
        <v>0</v>
      </c>
      <c r="K1784" s="666"/>
      <c r="L1784" s="5563" t="s">
        <v>6882</v>
      </c>
      <c r="M1784" s="5563"/>
      <c r="N1784" s="5563"/>
      <c r="O1784" s="5563"/>
      <c r="P1784" s="5563"/>
      <c r="Q1784" s="5564"/>
      <c r="R1784" s="1094">
        <f>IF(OR($J1784=0,$J1784="Aprendida"),0,SUM($J$1721:$J1784))</f>
        <v>0</v>
      </c>
      <c r="T1784" s="1231"/>
      <c r="U1784" s="1232"/>
      <c r="V1784" s="1232"/>
      <c r="W1784" s="1232"/>
      <c r="X1784" s="1232"/>
      <c r="Y1784" s="1447"/>
    </row>
    <row r="1785" spans="1:25" ht="12.75" customHeight="1" x14ac:dyDescent="0.2">
      <c r="A1785" s="242">
        <v>1785</v>
      </c>
      <c r="B1785" s="5664"/>
      <c r="E1785" s="1091" t="s">
        <v>6627</v>
      </c>
      <c r="F1785" s="666"/>
      <c r="G1785" s="666">
        <v>90</v>
      </c>
      <c r="H1785" s="666">
        <v>1</v>
      </c>
      <c r="I1785" s="666">
        <v>20</v>
      </c>
      <c r="J1785" s="666">
        <f>COUNTIF(Elan!$C$13:$F$25,Tablas!E1785)+COUNTIF(Elan!$U$13:$X$25,Tablas!E1785)</f>
        <v>0</v>
      </c>
      <c r="K1785" s="666"/>
      <c r="L1785" s="5563" t="s">
        <v>6883</v>
      </c>
      <c r="M1785" s="5563"/>
      <c r="N1785" s="5563"/>
      <c r="O1785" s="5563"/>
      <c r="P1785" s="5563"/>
      <c r="Q1785" s="5564"/>
      <c r="R1785" s="1094">
        <f>IF(OR($J1785=0,$J1785="Aprendida"),0,SUM($J$1721:$J1785))</f>
        <v>0</v>
      </c>
      <c r="T1785" s="1226" t="str">
        <f>E1826</f>
        <v>Azrael</v>
      </c>
      <c r="U1785" s="1227"/>
      <c r="V1785" s="1233"/>
      <c r="W1785" s="1227"/>
      <c r="X1785" s="1227"/>
      <c r="Y1785" s="1445"/>
    </row>
    <row r="1786" spans="1:25" ht="12.75" customHeight="1" x14ac:dyDescent="0.2">
      <c r="A1786" s="242">
        <v>1786</v>
      </c>
      <c r="B1786" s="5664"/>
      <c r="E1786" s="1091" t="s">
        <v>6628</v>
      </c>
      <c r="F1786" s="666"/>
      <c r="G1786" s="666">
        <v>100</v>
      </c>
      <c r="H1786" s="666">
        <v>1</v>
      </c>
      <c r="I1786" s="666">
        <v>10</v>
      </c>
      <c r="J1786" s="666">
        <f>COUNTIF(Elan!$C$13:$F$25,Tablas!E1786)+COUNTIF(Elan!$U$13:$X$25,Tablas!E1786)</f>
        <v>0</v>
      </c>
      <c r="K1786" s="666"/>
      <c r="L1786" s="5563" t="s">
        <v>6884</v>
      </c>
      <c r="M1786" s="5563"/>
      <c r="N1786" s="5563"/>
      <c r="O1786" s="5563"/>
      <c r="P1786" s="5563"/>
      <c r="Q1786" s="5564"/>
      <c r="R1786" s="1094">
        <f>IF(OR($J1786=0,$J1786="Aprendida"),0,SUM($J$1721:$J1786))</f>
        <v>0</v>
      </c>
      <c r="T1786" s="1228" t="s">
        <v>6955</v>
      </c>
      <c r="U1786" s="1229">
        <v>3</v>
      </c>
      <c r="V1786" s="1230" t="s">
        <v>6956</v>
      </c>
      <c r="W1786" s="1229">
        <v>1</v>
      </c>
      <c r="X1786" s="1229" t="s">
        <v>6957</v>
      </c>
      <c r="Y1786" s="1446">
        <v>-2</v>
      </c>
    </row>
    <row r="1787" spans="1:25" ht="12.75" customHeight="1" x14ac:dyDescent="0.2">
      <c r="A1787" s="242">
        <v>1787</v>
      </c>
      <c r="B1787" s="5664"/>
      <c r="E1787" s="1090" t="s">
        <v>6563</v>
      </c>
      <c r="F1787" s="1558">
        <f>IF(Elan!$C$11=Tablas!$E1787,Elan!$G$11,IF(Elan!$U$11=Tablas!$E1787,Elan!$Y$11,0))</f>
        <v>0</v>
      </c>
      <c r="G1787" s="1083" t="s">
        <v>1829</v>
      </c>
      <c r="H1787" s="1083" t="s">
        <v>8585</v>
      </c>
      <c r="I1787" s="1083" t="s">
        <v>1498</v>
      </c>
      <c r="J1787" s="1083" t="s">
        <v>6572</v>
      </c>
      <c r="K1787" s="1083" t="s">
        <v>7328</v>
      </c>
      <c r="L1787" s="1083" t="s">
        <v>1558</v>
      </c>
      <c r="M1787" s="667"/>
      <c r="N1787" s="667"/>
      <c r="O1787" s="667"/>
      <c r="P1787" s="667"/>
      <c r="Q1787" s="1088"/>
      <c r="R1787" s="1094">
        <f>IF(OR($J1787=0,$J1787="Aprendida"),0,SUM($J$1721:$J1787))</f>
        <v>0</v>
      </c>
      <c r="T1787" s="1228" t="s">
        <v>6959</v>
      </c>
      <c r="U1787" s="1229">
        <v>2</v>
      </c>
      <c r="V1787" s="1230" t="s">
        <v>6960</v>
      </c>
      <c r="W1787" s="1229">
        <v>2</v>
      </c>
      <c r="X1787" s="1229" t="s">
        <v>6961</v>
      </c>
      <c r="Y1787" s="1446">
        <v>-8</v>
      </c>
    </row>
    <row r="1788" spans="1:25" ht="12.75" customHeight="1" x14ac:dyDescent="0.2">
      <c r="A1788" s="242">
        <v>1788</v>
      </c>
      <c r="B1788" s="5664"/>
      <c r="E1788" s="1091" t="s">
        <v>6629</v>
      </c>
      <c r="F1788" s="666"/>
      <c r="G1788" s="666">
        <v>10</v>
      </c>
      <c r="H1788" s="666">
        <v>1</v>
      </c>
      <c r="I1788" s="666">
        <v>5</v>
      </c>
      <c r="J1788" s="666">
        <f>COUNTIF(Elan!$C$13:$F$25,Tablas!E1788)+COUNTIF(Elan!$U$13:$X$25,Tablas!E1788)</f>
        <v>0</v>
      </c>
      <c r="K1788" s="666"/>
      <c r="L1788" s="5563" t="s">
        <v>6885</v>
      </c>
      <c r="M1788" s="5563"/>
      <c r="N1788" s="5563"/>
      <c r="O1788" s="5563"/>
      <c r="P1788" s="5563"/>
      <c r="Q1788" s="5564"/>
      <c r="R1788" s="1094">
        <f>IF(OR($J1788=0,$J1788="Aprendida"),0,SUM($J$1721:$J1788))</f>
        <v>0</v>
      </c>
      <c r="T1788" s="1228" t="s">
        <v>6963</v>
      </c>
      <c r="U1788" s="1229">
        <v>5</v>
      </c>
      <c r="V1788" s="1230" t="s">
        <v>6964</v>
      </c>
      <c r="W1788" s="1229">
        <v>2</v>
      </c>
      <c r="X1788" s="1229" t="s">
        <v>6965</v>
      </c>
      <c r="Y1788" s="1446">
        <v>-2</v>
      </c>
    </row>
    <row r="1789" spans="1:25" ht="12.75" customHeight="1" x14ac:dyDescent="0.2">
      <c r="A1789" s="242">
        <v>1789</v>
      </c>
      <c r="B1789" s="5664"/>
      <c r="E1789" s="1091" t="s">
        <v>6630</v>
      </c>
      <c r="F1789" s="666"/>
      <c r="G1789" s="666">
        <v>20</v>
      </c>
      <c r="H1789" s="666">
        <v>1</v>
      </c>
      <c r="I1789" s="666">
        <v>10</v>
      </c>
      <c r="J1789" s="666">
        <f>COUNTIF(Elan!$C$13:$F$25,Tablas!E1789)+COUNTIF(Elan!$U$13:$X$25,Tablas!E1789)</f>
        <v>0</v>
      </c>
      <c r="K1789" s="666"/>
      <c r="L1789" s="5563" t="s">
        <v>6889</v>
      </c>
      <c r="M1789" s="5563"/>
      <c r="N1789" s="5563"/>
      <c r="O1789" s="5563"/>
      <c r="P1789" s="5563"/>
      <c r="Q1789" s="5564"/>
      <c r="R1789" s="1094">
        <f>IF(OR($J1789=0,$J1789="Aprendida"),0,SUM($J$1721:$J1789))</f>
        <v>0</v>
      </c>
      <c r="T1789" s="1228" t="s">
        <v>6967</v>
      </c>
      <c r="U1789" s="1229">
        <v>2</v>
      </c>
      <c r="V1789" s="1230" t="s">
        <v>6968</v>
      </c>
      <c r="W1789" s="1229">
        <v>3</v>
      </c>
      <c r="X1789" s="1229"/>
      <c r="Y1789" s="1446"/>
    </row>
    <row r="1790" spans="1:25" ht="12.75" customHeight="1" x14ac:dyDescent="0.2">
      <c r="A1790" s="242">
        <v>1790</v>
      </c>
      <c r="B1790" s="5664"/>
      <c r="E1790" s="1091" t="s">
        <v>6631</v>
      </c>
      <c r="F1790" s="666"/>
      <c r="G1790" s="666">
        <v>20</v>
      </c>
      <c r="H1790" s="666">
        <v>1</v>
      </c>
      <c r="I1790" s="666">
        <v>5</v>
      </c>
      <c r="J1790" s="666">
        <f>COUNTIF(Elan!$C$13:$F$25,Tablas!E1790)+COUNTIF(Elan!$U$13:$X$25,Tablas!E1790)</f>
        <v>0</v>
      </c>
      <c r="K1790" s="666">
        <f>ROUNDDOWN(F$1787/2,0)*J1790</f>
        <v>0</v>
      </c>
      <c r="L1790" s="5563" t="s">
        <v>6893</v>
      </c>
      <c r="M1790" s="5563"/>
      <c r="N1790" s="5563"/>
      <c r="O1790" s="5563"/>
      <c r="P1790" s="5563"/>
      <c r="Q1790" s="5564"/>
      <c r="R1790" s="1094">
        <f>IF(OR($J1790=0,$J1790="Aprendida"),0,SUM($J$1721:$J1790))</f>
        <v>0</v>
      </c>
      <c r="T1790" s="1228" t="s">
        <v>6970</v>
      </c>
      <c r="U1790" s="1229">
        <v>2</v>
      </c>
      <c r="V1790" s="1230"/>
      <c r="W1790" s="1229"/>
      <c r="X1790" s="1229"/>
      <c r="Y1790" s="1446"/>
    </row>
    <row r="1791" spans="1:25" ht="12.75" customHeight="1" x14ac:dyDescent="0.2">
      <c r="A1791" s="242">
        <v>1791</v>
      </c>
      <c r="B1791" s="5664"/>
      <c r="E1791" s="1091" t="s">
        <v>1749</v>
      </c>
      <c r="F1791" s="666"/>
      <c r="G1791" s="666">
        <v>30</v>
      </c>
      <c r="H1791" s="666">
        <v>1</v>
      </c>
      <c r="I1791" s="666">
        <v>5</v>
      </c>
      <c r="J1791" s="666">
        <f>COUNTIF(Elan!$C$13:$F$25,Tablas!E1791)+COUNTIF(Elan!$U$13:$X$25,Tablas!E1791)</f>
        <v>0</v>
      </c>
      <c r="K1791" s="666"/>
      <c r="L1791" s="5563" t="s">
        <v>6897</v>
      </c>
      <c r="M1791" s="5563"/>
      <c r="N1791" s="5563"/>
      <c r="O1791" s="5563"/>
      <c r="P1791" s="5563"/>
      <c r="Q1791" s="5564"/>
      <c r="R1791" s="1094">
        <f>IF(OR($J1791=0,$J1791="Aprendida"),0,SUM($J$1721:$J1791))</f>
        <v>0</v>
      </c>
      <c r="T1791" s="1228" t="s">
        <v>6972</v>
      </c>
      <c r="U1791" s="1229">
        <v>3</v>
      </c>
      <c r="V1791" s="1230"/>
      <c r="W1791" s="1229"/>
      <c r="X1791" s="1229"/>
      <c r="Y1791" s="1446"/>
    </row>
    <row r="1792" spans="1:25" ht="12.75" customHeight="1" x14ac:dyDescent="0.2">
      <c r="A1792" s="242">
        <v>1792</v>
      </c>
      <c r="B1792" s="5664"/>
      <c r="E1792" s="1091" t="s">
        <v>6632</v>
      </c>
      <c r="F1792" s="666"/>
      <c r="G1792" s="666">
        <v>40</v>
      </c>
      <c r="H1792" s="666">
        <v>1</v>
      </c>
      <c r="I1792" s="666">
        <v>10</v>
      </c>
      <c r="J1792" s="666">
        <f>COUNTIF(Elan!$C$13:$F$25,Tablas!E1792)+COUNTIF(Elan!$U$13:$X$25,Tablas!E1792)</f>
        <v>0</v>
      </c>
      <c r="K1792" s="666"/>
      <c r="L1792" s="5563" t="s">
        <v>6900</v>
      </c>
      <c r="M1792" s="5563"/>
      <c r="N1792" s="5563"/>
      <c r="O1792" s="5563"/>
      <c r="P1792" s="5563"/>
      <c r="Q1792" s="5564"/>
      <c r="R1792" s="1094">
        <f>IF(OR($J1792=0,$J1792="Aprendida"),0,SUM($J$1721:$J1792))</f>
        <v>0</v>
      </c>
      <c r="T1792" s="1228" t="s">
        <v>6974</v>
      </c>
      <c r="U1792" s="1229">
        <v>5</v>
      </c>
      <c r="V1792" s="1230"/>
      <c r="W1792" s="1229"/>
      <c r="X1792" s="1229"/>
      <c r="Y1792" s="1446"/>
    </row>
    <row r="1793" spans="1:25" ht="12.75" customHeight="1" x14ac:dyDescent="0.2">
      <c r="A1793" s="242">
        <v>1793</v>
      </c>
      <c r="B1793" s="5664"/>
      <c r="E1793" s="1091" t="s">
        <v>6633</v>
      </c>
      <c r="F1793" s="666"/>
      <c r="G1793" s="666">
        <v>50</v>
      </c>
      <c r="H1793" s="666">
        <v>1</v>
      </c>
      <c r="I1793" s="666">
        <v>15</v>
      </c>
      <c r="J1793" s="666">
        <f>COUNTIF(Elan!$C$13:$F$25,Tablas!E1793)+COUNTIF(Elan!$U$13:$X$25,Tablas!E1793)</f>
        <v>0</v>
      </c>
      <c r="K1793" s="666"/>
      <c r="L1793" s="5563" t="s">
        <v>6902</v>
      </c>
      <c r="M1793" s="5563"/>
      <c r="N1793" s="5563"/>
      <c r="O1793" s="5563"/>
      <c r="P1793" s="5563"/>
      <c r="Q1793" s="5564"/>
      <c r="R1793" s="1094">
        <f>IF(OR($J1793=0,$J1793="Aprendida"),0,SUM($J$1721:$J1793))</f>
        <v>0</v>
      </c>
      <c r="T1793" s="1226" t="str">
        <f>E1839</f>
        <v>Abbadon</v>
      </c>
      <c r="U1793" s="1227"/>
      <c r="V1793" s="1233"/>
      <c r="W1793" s="1227"/>
      <c r="X1793" s="1227"/>
      <c r="Y1793" s="1445"/>
    </row>
    <row r="1794" spans="1:25" ht="12.75" customHeight="1" x14ac:dyDescent="0.2">
      <c r="A1794" s="242">
        <v>1794</v>
      </c>
      <c r="B1794" s="5664"/>
      <c r="E1794" s="1091" t="s">
        <v>6634</v>
      </c>
      <c r="F1794" s="666"/>
      <c r="G1794" s="666">
        <v>60</v>
      </c>
      <c r="H1794" s="666">
        <v>1</v>
      </c>
      <c r="I1794" s="666">
        <v>10</v>
      </c>
      <c r="J1794" s="666">
        <f>COUNTIF(Elan!$C$13:$F$25,Tablas!E1794)+COUNTIF(Elan!$U$13:$X$25,Tablas!E1794)</f>
        <v>0</v>
      </c>
      <c r="K1794" s="666"/>
      <c r="L1794" s="5563" t="s">
        <v>6903</v>
      </c>
      <c r="M1794" s="5563"/>
      <c r="N1794" s="5563"/>
      <c r="O1794" s="5563"/>
      <c r="P1794" s="5563"/>
      <c r="Q1794" s="5564"/>
      <c r="R1794" s="1094">
        <f>IF(OR($J1794=0,$J1794="Aprendida"),0,SUM($J$1721:$J1794))</f>
        <v>0</v>
      </c>
      <c r="T1794" s="1228" t="s">
        <v>6870</v>
      </c>
      <c r="U1794" s="1229">
        <v>1</v>
      </c>
      <c r="V1794" s="1230" t="s">
        <v>6981</v>
      </c>
      <c r="W1794" s="1229">
        <v>2</v>
      </c>
      <c r="X1794" s="1229" t="s">
        <v>6982</v>
      </c>
      <c r="Y1794" s="1446">
        <v>-1</v>
      </c>
    </row>
    <row r="1795" spans="1:25" ht="12.75" customHeight="1" x14ac:dyDescent="0.2">
      <c r="A1795" s="242">
        <v>1795</v>
      </c>
      <c r="B1795" s="5664"/>
      <c r="E1795" s="1091" t="s">
        <v>6635</v>
      </c>
      <c r="F1795" s="666"/>
      <c r="G1795" s="666">
        <v>70</v>
      </c>
      <c r="H1795" s="666">
        <v>1</v>
      </c>
      <c r="I1795" s="666">
        <v>15</v>
      </c>
      <c r="J1795" s="666">
        <f>COUNTIF(Elan!$C$13:$F$25,Tablas!E1795)+COUNTIF(Elan!$U$13:$X$25,Tablas!E1795)</f>
        <v>0</v>
      </c>
      <c r="K1795" s="666"/>
      <c r="L1795" s="5563" t="s">
        <v>6904</v>
      </c>
      <c r="M1795" s="5563"/>
      <c r="N1795" s="5563"/>
      <c r="O1795" s="5563"/>
      <c r="P1795" s="5563"/>
      <c r="Q1795" s="5564"/>
      <c r="R1795" s="1094">
        <f>IF(OR($J1795=0,$J1795="Aprendida"),0,SUM($J$1721:$J1795))</f>
        <v>0</v>
      </c>
      <c r="T1795" s="1228" t="s">
        <v>6984</v>
      </c>
      <c r="U1795" s="1229">
        <v>4</v>
      </c>
      <c r="V1795" s="1230" t="s">
        <v>6985</v>
      </c>
      <c r="W1795" s="1229">
        <v>3</v>
      </c>
      <c r="X1795" s="1229" t="s">
        <v>6986</v>
      </c>
      <c r="Y1795" s="1446">
        <v>-6</v>
      </c>
    </row>
    <row r="1796" spans="1:25" ht="12.75" customHeight="1" x14ac:dyDescent="0.2">
      <c r="A1796" s="242">
        <v>1796</v>
      </c>
      <c r="B1796" s="5664"/>
      <c r="E1796" s="1091" t="s">
        <v>6636</v>
      </c>
      <c r="F1796" s="666"/>
      <c r="G1796" s="666">
        <v>70</v>
      </c>
      <c r="H1796" s="666">
        <v>1</v>
      </c>
      <c r="I1796" s="666">
        <v>10</v>
      </c>
      <c r="J1796" s="666">
        <f>COUNTIF(Elan!$C$13:$F$25,Tablas!E1796)+COUNTIF(Elan!$U$13:$X$25,Tablas!E1796)</f>
        <v>0</v>
      </c>
      <c r="K1796" s="666"/>
      <c r="L1796" s="5563" t="s">
        <v>6905</v>
      </c>
      <c r="M1796" s="5563"/>
      <c r="N1796" s="5563"/>
      <c r="O1796" s="5563"/>
      <c r="P1796" s="5563"/>
      <c r="Q1796" s="5564"/>
      <c r="R1796" s="1094">
        <f>IF(OR($J1796=0,$J1796="Aprendida"),0,SUM($J$1721:$J1796))</f>
        <v>0</v>
      </c>
      <c r="T1796" s="1228" t="s">
        <v>6988</v>
      </c>
      <c r="U1796" s="1229">
        <v>3</v>
      </c>
      <c r="V1796" s="1230"/>
      <c r="W1796" s="1229"/>
      <c r="X1796" s="1229"/>
      <c r="Y1796" s="1446"/>
    </row>
    <row r="1797" spans="1:25" ht="12.75" customHeight="1" x14ac:dyDescent="0.2">
      <c r="A1797" s="242">
        <v>1797</v>
      </c>
      <c r="B1797" s="5664"/>
      <c r="E1797" s="1091" t="s">
        <v>6637</v>
      </c>
      <c r="F1797" s="666"/>
      <c r="G1797" s="666">
        <v>80</v>
      </c>
      <c r="H1797" s="666">
        <f>IF(J1791,1,0)</f>
        <v>0</v>
      </c>
      <c r="I1797" s="666">
        <v>20</v>
      </c>
      <c r="J1797" s="666">
        <f>COUNTIF(Elan!$C$13:$F$25,Tablas!E1797)+COUNTIF(Elan!$U$13:$X$25,Tablas!E1797)</f>
        <v>0</v>
      </c>
      <c r="K1797" s="666"/>
      <c r="L1797" s="5563" t="s">
        <v>6906</v>
      </c>
      <c r="M1797" s="5563"/>
      <c r="N1797" s="5563"/>
      <c r="O1797" s="5563"/>
      <c r="P1797" s="5563"/>
      <c r="Q1797" s="5564"/>
      <c r="R1797" s="1094">
        <f>IF(OR($J1797=0,$J1797="Aprendida"),0,SUM($J$1721:$J1797))</f>
        <v>0</v>
      </c>
      <c r="T1797" s="1228" t="s">
        <v>6990</v>
      </c>
      <c r="U1797" s="1229">
        <v>2</v>
      </c>
      <c r="V1797" s="1230"/>
      <c r="W1797" s="1229"/>
      <c r="X1797" s="1229"/>
      <c r="Y1797" s="1446"/>
    </row>
    <row r="1798" spans="1:25" ht="12.75" customHeight="1" x14ac:dyDescent="0.2">
      <c r="A1798" s="242">
        <v>1798</v>
      </c>
      <c r="B1798" s="5664"/>
      <c r="E1798" s="1091" t="s">
        <v>6638</v>
      </c>
      <c r="F1798" s="666"/>
      <c r="G1798" s="666">
        <v>90</v>
      </c>
      <c r="H1798" s="666">
        <v>1</v>
      </c>
      <c r="I1798" s="666">
        <v>15</v>
      </c>
      <c r="J1798" s="666">
        <f>COUNTIF(Elan!$C$13:$F$25,Tablas!E1798)+COUNTIF(Elan!$U$13:$X$25,Tablas!E1798)</f>
        <v>0</v>
      </c>
      <c r="K1798" s="666"/>
      <c r="L1798" s="5563" t="s">
        <v>6907</v>
      </c>
      <c r="M1798" s="5563"/>
      <c r="N1798" s="5563"/>
      <c r="O1798" s="5563"/>
      <c r="P1798" s="5563"/>
      <c r="Q1798" s="5564"/>
      <c r="R1798" s="1094">
        <f>IF(OR($J1798=0,$J1798="Aprendida"),0,SUM($J$1721:$J1798))</f>
        <v>0</v>
      </c>
      <c r="T1798" s="1228" t="s">
        <v>6992</v>
      </c>
      <c r="U1798" s="1229">
        <v>2</v>
      </c>
      <c r="V1798" s="1230"/>
      <c r="W1798" s="1229"/>
      <c r="X1798" s="1229"/>
      <c r="Y1798" s="1446"/>
    </row>
    <row r="1799" spans="1:25" ht="12.75" customHeight="1" x14ac:dyDescent="0.2">
      <c r="A1799" s="242">
        <v>1799</v>
      </c>
      <c r="B1799" s="5664"/>
      <c r="E1799" s="1091" t="s">
        <v>6639</v>
      </c>
      <c r="F1799" s="666"/>
      <c r="G1799" s="666">
        <v>100</v>
      </c>
      <c r="H1799" s="666">
        <v>1</v>
      </c>
      <c r="I1799" s="666">
        <v>10</v>
      </c>
      <c r="J1799" s="666">
        <f>COUNTIF(Elan!$C$13:$F$25,Tablas!E1799)+COUNTIF(Elan!$U$13:$X$25,Tablas!E1799)</f>
        <v>0</v>
      </c>
      <c r="K1799" s="666"/>
      <c r="L1799" s="5563" t="s">
        <v>6908</v>
      </c>
      <c r="M1799" s="5563"/>
      <c r="N1799" s="5563"/>
      <c r="O1799" s="5563"/>
      <c r="P1799" s="5563"/>
      <c r="Q1799" s="5564"/>
      <c r="R1799" s="1094">
        <f>IF(OR($J1799=0,$J1799="Aprendida"),0,SUM($J$1721:$J1799))</f>
        <v>0</v>
      </c>
      <c r="T1799" s="1231"/>
      <c r="U1799" s="1232"/>
      <c r="V1799" s="1232"/>
      <c r="W1799" s="1232"/>
      <c r="X1799" s="1232"/>
      <c r="Y1799" s="1447"/>
    </row>
    <row r="1800" spans="1:25" ht="12.75" customHeight="1" x14ac:dyDescent="0.2">
      <c r="A1800" s="242">
        <v>1800</v>
      </c>
      <c r="B1800" s="5664"/>
      <c r="E1800" s="1090" t="s">
        <v>6564</v>
      </c>
      <c r="F1800" s="1558">
        <f>IF(Elan!$C$11=Tablas!$E1800,Elan!$G$11,IF(Elan!$U$11=Tablas!$E1800,Elan!$Y$11,0))</f>
        <v>0</v>
      </c>
      <c r="G1800" s="1083" t="s">
        <v>1829</v>
      </c>
      <c r="H1800" s="1083" t="s">
        <v>8585</v>
      </c>
      <c r="I1800" s="1083" t="s">
        <v>1498</v>
      </c>
      <c r="J1800" s="1083" t="s">
        <v>6572</v>
      </c>
      <c r="K1800" s="1083" t="s">
        <v>7328</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664"/>
      <c r="E1801" s="1091" t="s">
        <v>6640</v>
      </c>
      <c r="F1801" s="666"/>
      <c r="G1801" s="666">
        <v>10</v>
      </c>
      <c r="H1801" s="666">
        <v>1</v>
      </c>
      <c r="I1801" s="666">
        <v>5</v>
      </c>
      <c r="J1801" s="666">
        <f>COUNTIF(Elan!$C$13:$F$25,Tablas!E1801)+COUNTIF(Elan!$U$13:$X$25,Tablas!E1801)</f>
        <v>0</v>
      </c>
      <c r="K1801" s="666">
        <f>F$1800*J1801</f>
        <v>0</v>
      </c>
      <c r="L1801" s="5563" t="s">
        <v>6909</v>
      </c>
      <c r="M1801" s="5563"/>
      <c r="N1801" s="5563"/>
      <c r="O1801" s="5563"/>
      <c r="P1801" s="5563"/>
      <c r="Q1801" s="5564"/>
      <c r="R1801" s="1094">
        <f>IF(OR($J1801=0,$J1801="Aprendida"),0,SUM($J$1721:$J1801))</f>
        <v>0</v>
      </c>
      <c r="T1801" s="1226" t="str">
        <f>E1851</f>
        <v>Barakiel</v>
      </c>
      <c r="U1801" s="1227"/>
      <c r="V1801" s="1233"/>
      <c r="W1801" s="1227"/>
      <c r="X1801" s="1227"/>
      <c r="Y1801" s="1445"/>
    </row>
    <row r="1802" spans="1:25" ht="12.75" customHeight="1" x14ac:dyDescent="0.2">
      <c r="A1802" s="242">
        <v>1802</v>
      </c>
      <c r="B1802" s="5664"/>
      <c r="E1802" s="1091" t="s">
        <v>6641</v>
      </c>
      <c r="F1802" s="666"/>
      <c r="G1802" s="666">
        <v>20</v>
      </c>
      <c r="H1802" s="666">
        <v>1</v>
      </c>
      <c r="I1802" s="666">
        <v>5</v>
      </c>
      <c r="J1802" s="666">
        <f>COUNTIF(Elan!$C$13:$F$25,Tablas!E1802)+COUNTIF(Elan!$U$13:$X$25,Tablas!E1802)</f>
        <v>0</v>
      </c>
      <c r="K1802" s="666">
        <f>F$1800*J1802</f>
        <v>0</v>
      </c>
      <c r="L1802" s="5563" t="s">
        <v>6913</v>
      </c>
      <c r="M1802" s="5563"/>
      <c r="N1802" s="5563"/>
      <c r="O1802" s="5563"/>
      <c r="P1802" s="5563"/>
      <c r="Q1802" s="5564"/>
      <c r="R1802" s="1094">
        <f>IF(OR($J1802=0,$J1802="Aprendida"),0,SUM($J$1721:$J1802))</f>
        <v>0</v>
      </c>
      <c r="T1802" s="1228" t="s">
        <v>7000</v>
      </c>
      <c r="U1802" s="1229">
        <v>1</v>
      </c>
      <c r="V1802" s="1230" t="s">
        <v>7001</v>
      </c>
      <c r="W1802" s="1229">
        <v>2</v>
      </c>
      <c r="X1802" s="1229" t="s">
        <v>7002</v>
      </c>
      <c r="Y1802" s="1446">
        <v>-2</v>
      </c>
    </row>
    <row r="1803" spans="1:25" ht="12.75" customHeight="1" x14ac:dyDescent="0.2">
      <c r="A1803" s="242">
        <v>1803</v>
      </c>
      <c r="B1803" s="5664"/>
      <c r="E1803" s="1091" t="s">
        <v>6642</v>
      </c>
      <c r="F1803" s="666"/>
      <c r="G1803" s="666">
        <v>20</v>
      </c>
      <c r="H1803" s="666">
        <v>1</v>
      </c>
      <c r="I1803" s="666">
        <v>10</v>
      </c>
      <c r="J1803" s="666">
        <f>COUNTIF(Elan!$C$13:$F$25,Tablas!E1803)+COUNTIF(Elan!$U$13:$X$25,Tablas!E1803)</f>
        <v>0</v>
      </c>
      <c r="K1803" s="666"/>
      <c r="L1803" s="5563" t="s">
        <v>6916</v>
      </c>
      <c r="M1803" s="5563"/>
      <c r="N1803" s="5563"/>
      <c r="O1803" s="5563"/>
      <c r="P1803" s="5563"/>
      <c r="Q1803" s="5564"/>
      <c r="R1803" s="1094">
        <f>IF(OR($J1803=0,$J1803="Aprendida"),0,SUM($J$1721:$J1803))</f>
        <v>0</v>
      </c>
      <c r="T1803" s="1228" t="s">
        <v>7004</v>
      </c>
      <c r="U1803" s="1229">
        <v>2</v>
      </c>
      <c r="V1803" s="1230" t="s">
        <v>7005</v>
      </c>
      <c r="W1803" s="1229">
        <v>3</v>
      </c>
      <c r="X1803" s="1229" t="s">
        <v>7006</v>
      </c>
      <c r="Y1803" s="1446">
        <v>-2</v>
      </c>
    </row>
    <row r="1804" spans="1:25" ht="12.75" customHeight="1" x14ac:dyDescent="0.2">
      <c r="A1804" s="242">
        <v>1804</v>
      </c>
      <c r="B1804" s="5664"/>
      <c r="E1804" s="1091" t="s">
        <v>6643</v>
      </c>
      <c r="F1804" s="666"/>
      <c r="G1804" s="666">
        <v>30</v>
      </c>
      <c r="H1804" s="666">
        <v>1</v>
      </c>
      <c r="I1804" s="666">
        <v>5</v>
      </c>
      <c r="J1804" s="666">
        <f>COUNTIF(Elan!$C$13:$F$25,Tablas!E1804)+COUNTIF(Elan!$U$13:$X$25,Tablas!E1804)</f>
        <v>0</v>
      </c>
      <c r="K1804" s="666"/>
      <c r="L1804" s="5563" t="s">
        <v>6920</v>
      </c>
      <c r="M1804" s="5563"/>
      <c r="N1804" s="5563"/>
      <c r="O1804" s="5563"/>
      <c r="P1804" s="5563"/>
      <c r="Q1804" s="5564"/>
      <c r="R1804" s="1094">
        <f>IF(OR($J1804=0,$J1804="Aprendida"),0,SUM($J$1721:$J1804))</f>
        <v>0</v>
      </c>
      <c r="T1804" s="1228" t="s">
        <v>7008</v>
      </c>
      <c r="U1804" s="1229">
        <v>2</v>
      </c>
      <c r="V1804" s="1230" t="s">
        <v>7009</v>
      </c>
      <c r="W1804" s="1229">
        <v>1</v>
      </c>
      <c r="X1804" s="1229" t="s">
        <v>7010</v>
      </c>
      <c r="Y1804" s="1446">
        <v>-5</v>
      </c>
    </row>
    <row r="1805" spans="1:25" ht="12.75" customHeight="1" x14ac:dyDescent="0.2">
      <c r="A1805" s="242">
        <v>1805</v>
      </c>
      <c r="B1805" s="5664"/>
      <c r="E1805" s="1091" t="s">
        <v>6644</v>
      </c>
      <c r="F1805" s="666"/>
      <c r="G1805" s="666">
        <v>40</v>
      </c>
      <c r="H1805" s="666">
        <v>1</v>
      </c>
      <c r="I1805" s="666">
        <v>10</v>
      </c>
      <c r="J1805" s="666">
        <f>COUNTIF(Elan!$C$13:$F$25,Tablas!E1805)+COUNTIF(Elan!$U$13:$X$25,Tablas!E1805)</f>
        <v>0</v>
      </c>
      <c r="K1805" s="666"/>
      <c r="L1805" s="5563" t="s">
        <v>6922</v>
      </c>
      <c r="M1805" s="5563"/>
      <c r="N1805" s="5563"/>
      <c r="O1805" s="5563"/>
      <c r="P1805" s="5563"/>
      <c r="Q1805" s="5564"/>
      <c r="R1805" s="1094">
        <f>IF(OR($J1805=0,$J1805="Aprendida"),0,SUM($J$1721:$J1805))</f>
        <v>0</v>
      </c>
      <c r="T1805" s="1228" t="s">
        <v>7012</v>
      </c>
      <c r="U1805" s="1229">
        <v>3</v>
      </c>
      <c r="V1805" s="1230"/>
      <c r="W1805" s="1229"/>
      <c r="X1805" s="1229" t="s">
        <v>7013</v>
      </c>
      <c r="Y1805" s="1446">
        <v>-10</v>
      </c>
    </row>
    <row r="1806" spans="1:25" ht="12.75" customHeight="1" x14ac:dyDescent="0.2">
      <c r="A1806" s="242">
        <v>1806</v>
      </c>
      <c r="B1806" s="5664"/>
      <c r="E1806" s="1091" t="s">
        <v>6645</v>
      </c>
      <c r="F1806" s="666"/>
      <c r="G1806" s="666">
        <v>50</v>
      </c>
      <c r="H1806" s="666">
        <v>1</v>
      </c>
      <c r="I1806" s="666">
        <v>20</v>
      </c>
      <c r="J1806" s="666">
        <f>COUNTIF(Elan!$C$13:$F$25,Tablas!E1806)+COUNTIF(Elan!$U$13:$X$25,Tablas!E1806)</f>
        <v>0</v>
      </c>
      <c r="K1806" s="666"/>
      <c r="L1806" s="5563" t="s">
        <v>6924</v>
      </c>
      <c r="M1806" s="5563"/>
      <c r="N1806" s="5563"/>
      <c r="O1806" s="5563"/>
      <c r="P1806" s="5563"/>
      <c r="Q1806" s="5564"/>
      <c r="R1806" s="1094">
        <f>IF(OR($J1806=0,$J1806="Aprendida"),0,SUM($J$1721:$J1806))</f>
        <v>0</v>
      </c>
      <c r="T1806" s="1228" t="s">
        <v>7015</v>
      </c>
      <c r="U1806" s="1229">
        <v>5</v>
      </c>
      <c r="V1806" s="1230"/>
      <c r="W1806" s="1229"/>
      <c r="X1806" s="1229"/>
      <c r="Y1806" s="1446"/>
    </row>
    <row r="1807" spans="1:25" ht="12.75" customHeight="1" x14ac:dyDescent="0.2">
      <c r="A1807" s="242">
        <v>1807</v>
      </c>
      <c r="B1807" s="5664"/>
      <c r="E1807" s="1091" t="s">
        <v>6646</v>
      </c>
      <c r="F1807" s="666"/>
      <c r="G1807" s="666">
        <v>50</v>
      </c>
      <c r="H1807" s="666">
        <f>IF(J1803,1,0)</f>
        <v>0</v>
      </c>
      <c r="I1807" s="666">
        <v>15</v>
      </c>
      <c r="J1807" s="666">
        <f>COUNTIF(Elan!$C$13:$F$25,Tablas!E1807)+COUNTIF(Elan!$U$13:$X$25,Tablas!E1807)</f>
        <v>0</v>
      </c>
      <c r="K1807" s="666"/>
      <c r="L1807" s="5563" t="s">
        <v>6925</v>
      </c>
      <c r="M1807" s="5563"/>
      <c r="N1807" s="5563"/>
      <c r="O1807" s="5563"/>
      <c r="P1807" s="5563"/>
      <c r="Q1807" s="5564"/>
      <c r="R1807" s="1094">
        <f>IF(OR($J1807=0,$J1807="Aprendida"),0,SUM($J$1721:$J1807))</f>
        <v>0</v>
      </c>
      <c r="T1807" s="1228" t="s">
        <v>7017</v>
      </c>
      <c r="U1807" s="1229">
        <v>2</v>
      </c>
      <c r="V1807" s="1230"/>
      <c r="W1807" s="1229"/>
      <c r="X1807" s="1229"/>
      <c r="Y1807" s="1446"/>
    </row>
    <row r="1808" spans="1:25" ht="12.75" customHeight="1" x14ac:dyDescent="0.2">
      <c r="A1808" s="242">
        <v>1808</v>
      </c>
      <c r="B1808" s="5664"/>
      <c r="E1808" s="1091" t="s">
        <v>6647</v>
      </c>
      <c r="F1808" s="666"/>
      <c r="G1808" s="666">
        <v>60</v>
      </c>
      <c r="H1808" s="666">
        <v>1</v>
      </c>
      <c r="I1808" s="666">
        <v>10</v>
      </c>
      <c r="J1808" s="666">
        <f>COUNTIF(Elan!$C$13:$F$25,Tablas!E1808)+COUNTIF(Elan!$U$13:$X$25,Tablas!E1808)</f>
        <v>0</v>
      </c>
      <c r="K1808" s="666"/>
      <c r="L1808" s="5563" t="s">
        <v>6926</v>
      </c>
      <c r="M1808" s="5563"/>
      <c r="N1808" s="5563"/>
      <c r="O1808" s="5563"/>
      <c r="P1808" s="5563"/>
      <c r="Q1808" s="5564"/>
      <c r="R1808" s="1094">
        <f>IF(OR($J1808=0,$J1808="Aprendida"),0,SUM($J$1721:$J1808))</f>
        <v>0</v>
      </c>
      <c r="T1808" s="1231"/>
      <c r="U1808" s="1232"/>
      <c r="V1808" s="1232"/>
      <c r="W1808" s="1232"/>
      <c r="X1808" s="1232"/>
      <c r="Y1808" s="1447"/>
    </row>
    <row r="1809" spans="1:25" ht="12.75" customHeight="1" x14ac:dyDescent="0.2">
      <c r="A1809" s="242">
        <v>1809</v>
      </c>
      <c r="B1809" s="5664"/>
      <c r="E1809" s="1091" t="s">
        <v>6648</v>
      </c>
      <c r="F1809" s="666"/>
      <c r="G1809" s="666">
        <v>60</v>
      </c>
      <c r="H1809" s="666">
        <v>1</v>
      </c>
      <c r="I1809" s="666">
        <v>10</v>
      </c>
      <c r="J1809" s="666">
        <f>COUNTIF(Elan!$C$13:$F$25,Tablas!E1809)+COUNTIF(Elan!$U$13:$X$25,Tablas!E1809)</f>
        <v>0</v>
      </c>
      <c r="K1809" s="666"/>
      <c r="L1809" s="5563" t="s">
        <v>6927</v>
      </c>
      <c r="M1809" s="5563"/>
      <c r="N1809" s="5563"/>
      <c r="O1809" s="5563"/>
      <c r="P1809" s="5563"/>
      <c r="Q1809" s="5564"/>
      <c r="R1809" s="1094">
        <f>IF(OR($J1809=0,$J1809="Aprendida"),0,SUM($J$1721:$J1809))</f>
        <v>0</v>
      </c>
      <c r="T1809" s="1226" t="str">
        <f>E1865</f>
        <v>Eriol</v>
      </c>
      <c r="U1809" s="1227"/>
      <c r="V1809" s="1233"/>
      <c r="W1809" s="1227"/>
      <c r="X1809" s="1227"/>
      <c r="Y1809" s="1445"/>
    </row>
    <row r="1810" spans="1:25" ht="12.75" customHeight="1" x14ac:dyDescent="0.2">
      <c r="A1810" s="242">
        <v>1810</v>
      </c>
      <c r="B1810" s="5664"/>
      <c r="E1810" s="1091" t="s">
        <v>6649</v>
      </c>
      <c r="F1810" s="666"/>
      <c r="G1810" s="666">
        <v>70</v>
      </c>
      <c r="H1810" s="666">
        <v>1</v>
      </c>
      <c r="I1810" s="666">
        <v>10</v>
      </c>
      <c r="J1810" s="666">
        <f>COUNTIF(Elan!$C$13:$F$25,Tablas!E1810)+COUNTIF(Elan!$U$13:$X$25,Tablas!E1810)</f>
        <v>0</v>
      </c>
      <c r="K1810" s="666"/>
      <c r="L1810" s="5563" t="s">
        <v>6928</v>
      </c>
      <c r="M1810" s="5563"/>
      <c r="N1810" s="5563"/>
      <c r="O1810" s="5563"/>
      <c r="P1810" s="5563"/>
      <c r="Q1810" s="5564"/>
      <c r="R1810" s="1094">
        <f>IF(OR($J1810=0,$J1810="Aprendida"),0,SUM($J$1721:$J1810))</f>
        <v>0</v>
      </c>
      <c r="T1810" s="1228" t="s">
        <v>7026</v>
      </c>
      <c r="U1810" s="1229">
        <v>2</v>
      </c>
      <c r="V1810" s="1230" t="s">
        <v>7027</v>
      </c>
      <c r="W1810" s="1229">
        <v>2</v>
      </c>
      <c r="X1810" s="1229" t="s">
        <v>7028</v>
      </c>
      <c r="Y1810" s="1446">
        <v>-2</v>
      </c>
    </row>
    <row r="1811" spans="1:25" ht="12.75" customHeight="1" x14ac:dyDescent="0.2">
      <c r="A1811" s="242">
        <v>1811</v>
      </c>
      <c r="B1811" s="5664"/>
      <c r="E1811" s="1091" t="s">
        <v>6650</v>
      </c>
      <c r="F1811" s="666"/>
      <c r="G1811" s="666">
        <v>80</v>
      </c>
      <c r="H1811" s="666">
        <f>IF(J1810,1,0)</f>
        <v>0</v>
      </c>
      <c r="I1811" s="666">
        <v>10</v>
      </c>
      <c r="J1811" s="666">
        <f>COUNTIF(Elan!$C$13:$F$25,Tablas!E1811)+COUNTIF(Elan!$U$13:$X$25,Tablas!E1811)</f>
        <v>0</v>
      </c>
      <c r="K1811" s="666"/>
      <c r="L1811" s="5563" t="s">
        <v>6929</v>
      </c>
      <c r="M1811" s="5563"/>
      <c r="N1811" s="5563"/>
      <c r="O1811" s="5563"/>
      <c r="P1811" s="5563"/>
      <c r="Q1811" s="5564"/>
      <c r="R1811" s="1094">
        <f>IF(OR($J1811=0,$J1811="Aprendida"),0,SUM($J$1721:$J1811))</f>
        <v>0</v>
      </c>
      <c r="T1811" s="1228" t="s">
        <v>7030</v>
      </c>
      <c r="U1811" s="1229">
        <v>2</v>
      </c>
      <c r="V1811" s="1230" t="s">
        <v>7031</v>
      </c>
      <c r="W1811" s="1229">
        <v>2</v>
      </c>
      <c r="X1811" s="1229" t="s">
        <v>7032</v>
      </c>
      <c r="Y1811" s="1446">
        <v>-3</v>
      </c>
    </row>
    <row r="1812" spans="1:25" ht="12.75" customHeight="1" x14ac:dyDescent="0.2">
      <c r="A1812" s="242">
        <v>1812</v>
      </c>
      <c r="B1812" s="5664"/>
      <c r="E1812" s="1091" t="s">
        <v>6651</v>
      </c>
      <c r="F1812" s="666"/>
      <c r="G1812" s="666">
        <v>90</v>
      </c>
      <c r="H1812" s="666">
        <f>IF(J1807,1,0)</f>
        <v>0</v>
      </c>
      <c r="I1812" s="666">
        <v>20</v>
      </c>
      <c r="J1812" s="666">
        <f>COUNTIF(Elan!$C$13:$F$25,Tablas!E1812)+COUNTIF(Elan!$U$13:$X$25,Tablas!E1812)</f>
        <v>0</v>
      </c>
      <c r="K1812" s="666"/>
      <c r="L1812" s="5563" t="s">
        <v>6930</v>
      </c>
      <c r="M1812" s="5563"/>
      <c r="N1812" s="5563"/>
      <c r="O1812" s="5563"/>
      <c r="P1812" s="5563"/>
      <c r="Q1812" s="5564"/>
      <c r="R1812" s="1094">
        <f>IF(OR($J1812=0,$J1812="Aprendida"),0,SUM($J$1721:$J1812))</f>
        <v>0</v>
      </c>
      <c r="T1812" s="1228" t="s">
        <v>7034</v>
      </c>
      <c r="U1812" s="1229">
        <v>5</v>
      </c>
      <c r="V1812" s="1230" t="s">
        <v>7035</v>
      </c>
      <c r="W1812" s="1229">
        <v>1</v>
      </c>
      <c r="X1812" s="1229" t="s">
        <v>7036</v>
      </c>
      <c r="Y1812" s="1446">
        <v>-2</v>
      </c>
    </row>
    <row r="1813" spans="1:25" ht="12.75" customHeight="1" x14ac:dyDescent="0.2">
      <c r="A1813" s="242">
        <v>1813</v>
      </c>
      <c r="B1813" s="5664"/>
      <c r="E1813" s="1091" t="s">
        <v>6652</v>
      </c>
      <c r="F1813" s="666"/>
      <c r="G1813" s="666">
        <v>100</v>
      </c>
      <c r="H1813" s="666">
        <v>1</v>
      </c>
      <c r="I1813" s="666">
        <v>10</v>
      </c>
      <c r="J1813" s="666">
        <f>COUNTIF(Elan!$C$13:$F$25,Tablas!E1813)+COUNTIF(Elan!$U$13:$X$25,Tablas!E1813)</f>
        <v>0</v>
      </c>
      <c r="K1813" s="666"/>
      <c r="L1813" s="5563" t="s">
        <v>6931</v>
      </c>
      <c r="M1813" s="5563"/>
      <c r="N1813" s="5563"/>
      <c r="O1813" s="5563"/>
      <c r="P1813" s="5563"/>
      <c r="Q1813" s="5564"/>
      <c r="R1813" s="1094">
        <f>IF(OR($J1813=0,$J1813="Aprendida"),0,SUM($J$1721:$J1813))</f>
        <v>0</v>
      </c>
      <c r="T1813" s="1228" t="s">
        <v>7038</v>
      </c>
      <c r="U1813" s="1229">
        <v>1</v>
      </c>
      <c r="V1813" s="1230"/>
      <c r="W1813" s="1229"/>
      <c r="X1813" s="1229"/>
      <c r="Y1813" s="1446"/>
    </row>
    <row r="1814" spans="1:25" ht="12.75" customHeight="1" x14ac:dyDescent="0.2">
      <c r="A1814" s="242">
        <v>1814</v>
      </c>
      <c r="B1814" s="5664"/>
      <c r="E1814" s="1090" t="s">
        <v>6565</v>
      </c>
      <c r="F1814" s="1558">
        <f>IF(Elan!$C$11=Tablas!$E1814,Elan!$G$11,IF(Elan!$U$11=Tablas!$E1814,Elan!$Y$11,0))</f>
        <v>0</v>
      </c>
      <c r="G1814" s="1083" t="s">
        <v>1829</v>
      </c>
      <c r="H1814" s="1083" t="s">
        <v>8585</v>
      </c>
      <c r="I1814" s="1083" t="s">
        <v>1498</v>
      </c>
      <c r="J1814" s="1083" t="s">
        <v>6572</v>
      </c>
      <c r="K1814" s="1083" t="s">
        <v>7328</v>
      </c>
      <c r="L1814" s="1083" t="s">
        <v>1558</v>
      </c>
      <c r="M1814" s="667"/>
      <c r="N1814" s="667"/>
      <c r="O1814" s="667"/>
      <c r="P1814" s="667"/>
      <c r="Q1814" s="1088"/>
      <c r="R1814" s="1094">
        <f>IF(OR($J1814=0,$J1814="Aprendida"),0,SUM($J$1721:$J1814))</f>
        <v>0</v>
      </c>
      <c r="T1814" s="1228" t="s">
        <v>7040</v>
      </c>
      <c r="U1814" s="1229">
        <v>2</v>
      </c>
      <c r="V1814" s="1230"/>
      <c r="W1814" s="1229"/>
      <c r="X1814" s="1229"/>
      <c r="Y1814" s="1446"/>
    </row>
    <row r="1815" spans="1:25" ht="12.75" customHeight="1" x14ac:dyDescent="0.2">
      <c r="A1815" s="242">
        <v>1815</v>
      </c>
      <c r="B1815" s="5664"/>
      <c r="E1815" s="1091" t="s">
        <v>6653</v>
      </c>
      <c r="F1815" s="666"/>
      <c r="G1815" s="666">
        <v>10</v>
      </c>
      <c r="H1815" s="666">
        <v>1</v>
      </c>
      <c r="I1815" s="666">
        <v>5</v>
      </c>
      <c r="J1815" s="666">
        <f>COUNTIF(Elan!$C$13:$F$25,Tablas!E1815)+COUNTIF(Elan!$U$13:$X$25,Tablas!E1815)</f>
        <v>0</v>
      </c>
      <c r="K1815" s="666">
        <f>F$1814*J1815</f>
        <v>0</v>
      </c>
      <c r="L1815" s="5563" t="s">
        <v>6932</v>
      </c>
      <c r="M1815" s="5563"/>
      <c r="N1815" s="5563"/>
      <c r="O1815" s="5563"/>
      <c r="P1815" s="5563"/>
      <c r="Q1815" s="5564"/>
      <c r="R1815" s="1094">
        <f>IF(OR($J1815=0,$J1815="Aprendida"),0,SUM($J$1721:$J1815))</f>
        <v>0</v>
      </c>
      <c r="T1815" s="1231"/>
      <c r="U1815" s="1232"/>
      <c r="V1815" s="1232"/>
      <c r="W1815" s="1232"/>
      <c r="X1815" s="1232"/>
      <c r="Y1815" s="1447"/>
    </row>
    <row r="1816" spans="1:25" ht="12.75" customHeight="1" x14ac:dyDescent="0.2">
      <c r="A1816" s="242">
        <v>1816</v>
      </c>
      <c r="B1816" s="5664"/>
      <c r="E1816" s="1091" t="s">
        <v>6654</v>
      </c>
      <c r="F1816" s="666"/>
      <c r="G1816" s="666">
        <v>20</v>
      </c>
      <c r="H1816" s="666">
        <v>1</v>
      </c>
      <c r="I1816" s="666">
        <v>5</v>
      </c>
      <c r="J1816" s="666">
        <f>COUNTIF(Elan!$C$13:$F$25,Tablas!E1816)+COUNTIF(Elan!$U$13:$X$25,Tablas!E1816)</f>
        <v>0</v>
      </c>
      <c r="K1816" s="666">
        <f>F$1814*J1816</f>
        <v>0</v>
      </c>
      <c r="L1816" s="5563" t="s">
        <v>6936</v>
      </c>
      <c r="M1816" s="5563"/>
      <c r="N1816" s="5563"/>
      <c r="O1816" s="5563"/>
      <c r="P1816" s="5563"/>
      <c r="Q1816" s="5564"/>
      <c r="R1816" s="1094">
        <f>IF(OR($J1816=0,$J1816="Aprendida"),0,SUM($J$1721:$J1816))</f>
        <v>0</v>
      </c>
      <c r="T1816" s="1231"/>
      <c r="U1816" s="1232"/>
      <c r="V1816" s="1232"/>
      <c r="W1816" s="1232"/>
      <c r="X1816" s="1232"/>
      <c r="Y1816" s="1447"/>
    </row>
    <row r="1817" spans="1:25" ht="12.75" customHeight="1" x14ac:dyDescent="0.2">
      <c r="A1817" s="242">
        <v>1817</v>
      </c>
      <c r="B1817" s="5664"/>
      <c r="E1817" s="1091" t="s">
        <v>6655</v>
      </c>
      <c r="F1817" s="666"/>
      <c r="G1817" s="666">
        <v>30</v>
      </c>
      <c r="H1817" s="666">
        <v>1</v>
      </c>
      <c r="I1817" s="666">
        <v>5</v>
      </c>
      <c r="J1817" s="666">
        <f>COUNTIF(Elan!$C$13:$F$25,Tablas!E1817)+COUNTIF(Elan!$U$13:$X$25,Tablas!E1817)</f>
        <v>0</v>
      </c>
      <c r="K1817" s="666"/>
      <c r="L1817" s="5563" t="s">
        <v>6940</v>
      </c>
      <c r="M1817" s="5563"/>
      <c r="N1817" s="5563"/>
      <c r="O1817" s="5563"/>
      <c r="P1817" s="5563"/>
      <c r="Q1817" s="5564"/>
      <c r="R1817" s="1094">
        <f>IF(OR($J1817=0,$J1817="Aprendida"),0,SUM($J$1721:$J1817))</f>
        <v>0</v>
      </c>
      <c r="T1817" s="1226" t="str">
        <f>E1877</f>
        <v>Edamiel</v>
      </c>
      <c r="U1817" s="1227"/>
      <c r="V1817" s="1233"/>
      <c r="W1817" s="1227"/>
      <c r="X1817" s="1227"/>
      <c r="Y1817" s="1445"/>
    </row>
    <row r="1818" spans="1:25" ht="12.75" customHeight="1" x14ac:dyDescent="0.2">
      <c r="A1818" s="242">
        <v>1818</v>
      </c>
      <c r="B1818" s="5664"/>
      <c r="E1818" s="1091" t="s">
        <v>6656</v>
      </c>
      <c r="F1818" s="666"/>
      <c r="G1818" s="666">
        <v>40</v>
      </c>
      <c r="H1818" s="666">
        <v>1</v>
      </c>
      <c r="I1818" s="666">
        <v>10</v>
      </c>
      <c r="J1818" s="666">
        <f>COUNTIF(Elan!$C$13:$F$25,Tablas!E1818)+COUNTIF(Elan!$U$13:$X$25,Tablas!E1818)</f>
        <v>0</v>
      </c>
      <c r="K1818" s="666"/>
      <c r="L1818" s="5563" t="s">
        <v>6943</v>
      </c>
      <c r="M1818" s="5563"/>
      <c r="N1818" s="5563"/>
      <c r="O1818" s="5563"/>
      <c r="P1818" s="5563"/>
      <c r="Q1818" s="5564"/>
      <c r="R1818" s="1094">
        <f>IF(OR($J1818=0,$J1818="Aprendida"),0,SUM($J$1721:$J1818))</f>
        <v>0</v>
      </c>
      <c r="T1818" s="1228" t="s">
        <v>7048</v>
      </c>
      <c r="U1818" s="1229">
        <v>3</v>
      </c>
      <c r="V1818" s="1230" t="s">
        <v>7049</v>
      </c>
      <c r="W1818" s="1229">
        <v>2</v>
      </c>
      <c r="X1818" s="1229" t="s">
        <v>7050</v>
      </c>
      <c r="Y1818" s="1446">
        <v>-2</v>
      </c>
    </row>
    <row r="1819" spans="1:25" ht="12.75" customHeight="1" x14ac:dyDescent="0.2">
      <c r="A1819" s="242">
        <v>1819</v>
      </c>
      <c r="B1819" s="5664"/>
      <c r="E1819" s="1091" t="s">
        <v>6657</v>
      </c>
      <c r="F1819" s="666"/>
      <c r="G1819" s="666">
        <v>50</v>
      </c>
      <c r="H1819" s="666">
        <v>1</v>
      </c>
      <c r="I1819" s="666">
        <v>15</v>
      </c>
      <c r="J1819" s="666">
        <f>COUNTIF(Elan!$C$13:$F$25,Tablas!E1819)+COUNTIF(Elan!$U$13:$X$25,Tablas!E1819)</f>
        <v>0</v>
      </c>
      <c r="K1819" s="666"/>
      <c r="L1819" s="5563" t="s">
        <v>6945</v>
      </c>
      <c r="M1819" s="5563"/>
      <c r="N1819" s="5563"/>
      <c r="O1819" s="5563"/>
      <c r="P1819" s="5563"/>
      <c r="Q1819" s="5564"/>
      <c r="R1819" s="1094">
        <f>IF(OR($J1819=0,$J1819="Aprendida"),0,SUM($J$1721:$J1819))</f>
        <v>0</v>
      </c>
      <c r="T1819" s="1228" t="s">
        <v>7052</v>
      </c>
      <c r="U1819" s="1229">
        <v>3</v>
      </c>
      <c r="V1819" s="1230" t="s">
        <v>7053</v>
      </c>
      <c r="W1819" s="1229">
        <v>3</v>
      </c>
      <c r="X1819" s="1229" t="s">
        <v>7054</v>
      </c>
      <c r="Y1819" s="1446">
        <v>-2</v>
      </c>
    </row>
    <row r="1820" spans="1:25" ht="12.75" customHeight="1" x14ac:dyDescent="0.2">
      <c r="A1820" s="242">
        <v>1820</v>
      </c>
      <c r="B1820" s="5664"/>
      <c r="E1820" s="1091" t="s">
        <v>6658</v>
      </c>
      <c r="F1820" s="666"/>
      <c r="G1820" s="666">
        <v>60</v>
      </c>
      <c r="H1820" s="666">
        <v>1</v>
      </c>
      <c r="I1820" s="666">
        <v>10</v>
      </c>
      <c r="J1820" s="666">
        <f>COUNTIF(Elan!$C$13:$F$25,Tablas!E1820)+COUNTIF(Elan!$U$13:$X$25,Tablas!E1820)</f>
        <v>0</v>
      </c>
      <c r="K1820" s="666"/>
      <c r="L1820" s="5563" t="s">
        <v>6947</v>
      </c>
      <c r="M1820" s="5563"/>
      <c r="N1820" s="5563"/>
      <c r="O1820" s="5563"/>
      <c r="P1820" s="5563"/>
      <c r="Q1820" s="5564"/>
      <c r="R1820" s="1094">
        <f>IF(OR($J1820=0,$J1820="Aprendida"),0,SUM($J$1721:$J1820))</f>
        <v>0</v>
      </c>
      <c r="T1820" s="1228" t="s">
        <v>7056</v>
      </c>
      <c r="U1820" s="1229">
        <v>2</v>
      </c>
      <c r="V1820" s="1230" t="s">
        <v>7057</v>
      </c>
      <c r="W1820" s="1229">
        <v>1</v>
      </c>
      <c r="X1820" s="1229"/>
      <c r="Y1820" s="1446"/>
    </row>
    <row r="1821" spans="1:25" ht="12.75" customHeight="1" x14ac:dyDescent="0.2">
      <c r="A1821" s="242">
        <v>1821</v>
      </c>
      <c r="B1821" s="5664"/>
      <c r="E1821" s="1091" t="s">
        <v>6659</v>
      </c>
      <c r="F1821" s="666"/>
      <c r="G1821" s="666">
        <v>60</v>
      </c>
      <c r="H1821" s="666">
        <v>1</v>
      </c>
      <c r="I1821" s="666">
        <v>10</v>
      </c>
      <c r="J1821" s="666">
        <f>COUNTIF(Elan!$C$13:$F$25,Tablas!E1821)+COUNTIF(Elan!$U$13:$X$25,Tablas!E1821)</f>
        <v>0</v>
      </c>
      <c r="K1821" s="666"/>
      <c r="L1821" s="5563" t="s">
        <v>6949</v>
      </c>
      <c r="M1821" s="5563"/>
      <c r="N1821" s="5563"/>
      <c r="O1821" s="5563"/>
      <c r="P1821" s="5563"/>
      <c r="Q1821" s="5564"/>
      <c r="R1821" s="1094">
        <f>IF(OR($J1821=0,$J1821="Aprendida"),0,SUM($J$1721:$J1821))</f>
        <v>0</v>
      </c>
      <c r="T1821" s="1228" t="s">
        <v>7059</v>
      </c>
      <c r="U1821" s="1229">
        <v>5</v>
      </c>
      <c r="V1821" s="1230" t="s">
        <v>7060</v>
      </c>
      <c r="W1821" s="1229">
        <v>4</v>
      </c>
      <c r="X1821" s="1229"/>
      <c r="Y1821" s="1446"/>
    </row>
    <row r="1822" spans="1:25" ht="12.75" customHeight="1" x14ac:dyDescent="0.2">
      <c r="A1822" s="242">
        <v>1822</v>
      </c>
      <c r="B1822" s="5664"/>
      <c r="E1822" s="1091" t="s">
        <v>6660</v>
      </c>
      <c r="F1822" s="666"/>
      <c r="G1822" s="666">
        <v>70</v>
      </c>
      <c r="H1822" s="666">
        <v>1</v>
      </c>
      <c r="I1822" s="666">
        <v>20</v>
      </c>
      <c r="J1822" s="666">
        <f>COUNTIF(Elan!$C$13:$F$25,Tablas!E1822)+COUNTIF(Elan!$U$13:$X$25,Tablas!E1822)</f>
        <v>0</v>
      </c>
      <c r="K1822" s="666"/>
      <c r="L1822" s="5563" t="s">
        <v>6950</v>
      </c>
      <c r="M1822" s="5563"/>
      <c r="N1822" s="5563"/>
      <c r="O1822" s="5563"/>
      <c r="P1822" s="5563"/>
      <c r="Q1822" s="5564"/>
      <c r="R1822" s="1094">
        <f>IF(OR($J1822=0,$J1822="Aprendida"),0,SUM($J$1721:$J1822))</f>
        <v>0</v>
      </c>
      <c r="T1822" s="1228" t="s">
        <v>7062</v>
      </c>
      <c r="U1822" s="1229">
        <v>4</v>
      </c>
      <c r="V1822" s="1230"/>
      <c r="W1822" s="1229"/>
      <c r="X1822" s="1229"/>
      <c r="Y1822" s="1446"/>
    </row>
    <row r="1823" spans="1:25" ht="12.75" customHeight="1" x14ac:dyDescent="0.2">
      <c r="A1823" s="242">
        <v>1823</v>
      </c>
      <c r="B1823" s="5664"/>
      <c r="E1823" s="1091" t="s">
        <v>6661</v>
      </c>
      <c r="F1823" s="666"/>
      <c r="G1823" s="666">
        <v>80</v>
      </c>
      <c r="H1823" s="666">
        <v>1</v>
      </c>
      <c r="I1823" s="666">
        <v>15</v>
      </c>
      <c r="J1823" s="666">
        <f>COUNTIF(Elan!$C$13:$F$25,Tablas!E1823)+COUNTIF(Elan!$U$13:$X$25,Tablas!E1823)</f>
        <v>0</v>
      </c>
      <c r="K1823" s="666"/>
      <c r="L1823" s="5563" t="s">
        <v>6951</v>
      </c>
      <c r="M1823" s="5563"/>
      <c r="N1823" s="5563"/>
      <c r="O1823" s="5563"/>
      <c r="P1823" s="5563"/>
      <c r="Q1823" s="5564"/>
      <c r="R1823" s="1094">
        <f>IF(OR($J1823=0,$J1823="Aprendida"),0,SUM($J$1721:$J1823))</f>
        <v>0</v>
      </c>
      <c r="T1823" s="1231"/>
      <c r="U1823" s="1232"/>
      <c r="V1823" s="1232"/>
      <c r="W1823" s="1232"/>
      <c r="X1823" s="1232"/>
      <c r="Y1823" s="1447"/>
    </row>
    <row r="1824" spans="1:25" ht="12.75" customHeight="1" x14ac:dyDescent="0.2">
      <c r="A1824" s="242">
        <v>1824</v>
      </c>
      <c r="B1824" s="5664"/>
      <c r="E1824" s="1091" t="s">
        <v>6662</v>
      </c>
      <c r="F1824" s="666"/>
      <c r="G1824" s="666">
        <v>90</v>
      </c>
      <c r="H1824" s="666">
        <f>IF(J1822,1,0)</f>
        <v>0</v>
      </c>
      <c r="I1824" s="666">
        <v>10</v>
      </c>
      <c r="J1824" s="666">
        <f>COUNTIF(Elan!$C$13:$F$25,Tablas!E1824)+COUNTIF(Elan!$U$13:$X$25,Tablas!E1824)</f>
        <v>0</v>
      </c>
      <c r="K1824" s="666"/>
      <c r="L1824" s="5563" t="s">
        <v>6952</v>
      </c>
      <c r="M1824" s="5563"/>
      <c r="N1824" s="5563"/>
      <c r="O1824" s="5563"/>
      <c r="P1824" s="5563"/>
      <c r="Q1824" s="5564"/>
      <c r="R1824" s="1094">
        <f>IF(OR($J1824=0,$J1824="Aprendida"),0,SUM($J$1721:$J1824))</f>
        <v>0</v>
      </c>
      <c r="T1824" s="1231"/>
      <c r="U1824" s="1232"/>
      <c r="V1824" s="1232"/>
      <c r="W1824" s="1232"/>
      <c r="X1824" s="1232"/>
      <c r="Y1824" s="1447"/>
    </row>
    <row r="1825" spans="1:25" ht="12.75" customHeight="1" x14ac:dyDescent="0.2">
      <c r="A1825" s="242">
        <v>1825</v>
      </c>
      <c r="B1825" s="5664"/>
      <c r="E1825" s="1091" t="s">
        <v>6663</v>
      </c>
      <c r="F1825" s="666"/>
      <c r="G1825" s="666">
        <v>100</v>
      </c>
      <c r="H1825" s="666">
        <v>1</v>
      </c>
      <c r="I1825" s="666">
        <v>10</v>
      </c>
      <c r="J1825" s="666">
        <f>COUNTIF(Elan!$C$13:$F$25,Tablas!E1825)+COUNTIF(Elan!$U$13:$X$25,Tablas!E1825)</f>
        <v>0</v>
      </c>
      <c r="K1825" s="666"/>
      <c r="L1825" s="5563" t="s">
        <v>6953</v>
      </c>
      <c r="M1825" s="5563"/>
      <c r="N1825" s="5563"/>
      <c r="O1825" s="5563"/>
      <c r="P1825" s="5563"/>
      <c r="Q1825" s="5564"/>
      <c r="R1825" s="1094">
        <f>IF(OR($J1825=0,$J1825="Aprendida"),0,SUM($J$1721:$J1825))</f>
        <v>0</v>
      </c>
      <c r="T1825" s="1226" t="str">
        <f>E1889</f>
        <v>Meseguis</v>
      </c>
      <c r="U1825" s="1227"/>
      <c r="V1825" s="1233"/>
      <c r="W1825" s="1227"/>
      <c r="X1825" s="1227"/>
      <c r="Y1825" s="1445"/>
    </row>
    <row r="1826" spans="1:25" ht="12.75" customHeight="1" x14ac:dyDescent="0.2">
      <c r="A1826" s="242">
        <v>1826</v>
      </c>
      <c r="B1826" s="5664"/>
      <c r="E1826" s="1090" t="s">
        <v>6566</v>
      </c>
      <c r="F1826" s="1558">
        <f>IF(Elan!$C$11=Tablas!$E1826,Elan!$G$11,IF(Elan!$U$11=Tablas!$E1826,Elan!$Y$11,0))</f>
        <v>0</v>
      </c>
      <c r="G1826" s="1083" t="s">
        <v>1829</v>
      </c>
      <c r="H1826" s="1083" t="s">
        <v>8585</v>
      </c>
      <c r="I1826" s="1083" t="s">
        <v>1498</v>
      </c>
      <c r="J1826" s="1083" t="s">
        <v>6572</v>
      </c>
      <c r="K1826" s="1083" t="s">
        <v>7328</v>
      </c>
      <c r="L1826" s="1083" t="s">
        <v>1558</v>
      </c>
      <c r="M1826" s="667"/>
      <c r="N1826" s="667"/>
      <c r="O1826" s="667"/>
      <c r="P1826" s="667"/>
      <c r="Q1826" s="1088"/>
      <c r="R1826" s="1094">
        <f>IF(OR($J1826=0,$J1826="Aprendida"),0,SUM($J$1721:$J1826))</f>
        <v>0</v>
      </c>
      <c r="T1826" s="1228" t="s">
        <v>7070</v>
      </c>
      <c r="U1826" s="1229">
        <v>8</v>
      </c>
      <c r="V1826" s="1230" t="s">
        <v>7071</v>
      </c>
      <c r="W1826" s="1229">
        <v>2</v>
      </c>
      <c r="X1826" s="1229" t="s">
        <v>7072</v>
      </c>
      <c r="Y1826" s="1446">
        <v>-3</v>
      </c>
    </row>
    <row r="1827" spans="1:25" ht="12.75" customHeight="1" x14ac:dyDescent="0.2">
      <c r="A1827" s="242">
        <v>1827</v>
      </c>
      <c r="B1827" s="5664"/>
      <c r="E1827" s="1091" t="s">
        <v>6664</v>
      </c>
      <c r="F1827" s="666"/>
      <c r="G1827" s="666">
        <v>10</v>
      </c>
      <c r="H1827" s="666">
        <v>1</v>
      </c>
      <c r="I1827" s="666">
        <v>5</v>
      </c>
      <c r="J1827" s="666">
        <f>COUNTIF(Elan!$C$13:$F$25,Tablas!E1827)+COUNTIF(Elan!$U$13:$X$25,Tablas!E1827)</f>
        <v>0</v>
      </c>
      <c r="K1827" s="666">
        <f>F$1826*J1827</f>
        <v>0</v>
      </c>
      <c r="L1827" s="5563" t="s">
        <v>6954</v>
      </c>
      <c r="M1827" s="5563"/>
      <c r="N1827" s="5563"/>
      <c r="O1827" s="5563"/>
      <c r="P1827" s="5563"/>
      <c r="Q1827" s="5564"/>
      <c r="R1827" s="1094">
        <f>IF(OR($J1827=0,$J1827="Aprendida"),0,SUM($J$1721:$J1827))</f>
        <v>0</v>
      </c>
      <c r="T1827" s="1228" t="s">
        <v>7074</v>
      </c>
      <c r="U1827" s="1229">
        <v>8</v>
      </c>
      <c r="V1827" s="1230" t="s">
        <v>7075</v>
      </c>
      <c r="W1827" s="1229">
        <v>1</v>
      </c>
      <c r="X1827" s="1229" t="s">
        <v>7076</v>
      </c>
      <c r="Y1827" s="1446">
        <v>-4</v>
      </c>
    </row>
    <row r="1828" spans="1:25" ht="12.75" customHeight="1" x14ac:dyDescent="0.2">
      <c r="A1828" s="242">
        <v>1828</v>
      </c>
      <c r="B1828" s="5664"/>
      <c r="E1828" s="1091" t="s">
        <v>6665</v>
      </c>
      <c r="F1828" s="666"/>
      <c r="G1828" s="666">
        <v>20</v>
      </c>
      <c r="H1828" s="666">
        <v>1</v>
      </c>
      <c r="I1828" s="666">
        <v>5</v>
      </c>
      <c r="J1828" s="666">
        <f>COUNTIF(Elan!$C$13:$F$25,Tablas!E1828)+COUNTIF(Elan!$U$13:$X$25,Tablas!E1828)</f>
        <v>0</v>
      </c>
      <c r="K1828" s="666">
        <f>F$1826*J1828</f>
        <v>0</v>
      </c>
      <c r="L1828" s="5563" t="s">
        <v>6958</v>
      </c>
      <c r="M1828" s="5563"/>
      <c r="N1828" s="5563"/>
      <c r="O1828" s="5563"/>
      <c r="P1828" s="5563"/>
      <c r="Q1828" s="5564"/>
      <c r="R1828" s="1094">
        <f>IF(OR($J1828=0,$J1828="Aprendida"),0,SUM($J$1721:$J1828))</f>
        <v>0</v>
      </c>
      <c r="T1828" s="1228"/>
      <c r="U1828" s="1229"/>
      <c r="V1828" s="1230" t="s">
        <v>7078</v>
      </c>
      <c r="W1828" s="1229">
        <v>4</v>
      </c>
      <c r="X1828" s="1229"/>
      <c r="Y1828" s="1446"/>
    </row>
    <row r="1829" spans="1:25" ht="12.75" customHeight="1" x14ac:dyDescent="0.2">
      <c r="A1829" s="242">
        <v>1829</v>
      </c>
      <c r="B1829" s="5664"/>
      <c r="E1829" s="1091" t="s">
        <v>6666</v>
      </c>
      <c r="F1829" s="666"/>
      <c r="G1829" s="666">
        <v>30</v>
      </c>
      <c r="H1829" s="666">
        <v>1</v>
      </c>
      <c r="I1829" s="666">
        <v>10</v>
      </c>
      <c r="J1829" s="666">
        <f>COUNTIF(Elan!$C$13:$F$25,Tablas!E1829)+COUNTIF(Elan!$U$13:$X$25,Tablas!E1829)</f>
        <v>0</v>
      </c>
      <c r="K1829" s="666"/>
      <c r="L1829" s="5563" t="s">
        <v>6962</v>
      </c>
      <c r="M1829" s="5563"/>
      <c r="N1829" s="5563"/>
      <c r="O1829" s="5563"/>
      <c r="P1829" s="5563"/>
      <c r="Q1829" s="5564"/>
      <c r="R1829" s="1094">
        <f>IF(OR($J1829=0,$J1829="Aprendida"),0,SUM($J$1721:$J1829))</f>
        <v>0</v>
      </c>
      <c r="T1829" s="1231"/>
      <c r="U1829" s="1232"/>
      <c r="V1829" s="1232"/>
      <c r="W1829" s="1232"/>
      <c r="X1829" s="1232"/>
      <c r="Y1829" s="1447"/>
    </row>
    <row r="1830" spans="1:25" ht="12.75" customHeight="1" x14ac:dyDescent="0.2">
      <c r="A1830" s="242">
        <v>1830</v>
      </c>
      <c r="B1830" s="5664"/>
      <c r="E1830" s="1091" t="s">
        <v>6667</v>
      </c>
      <c r="F1830" s="666"/>
      <c r="G1830" s="666">
        <v>40</v>
      </c>
      <c r="H1830" s="666">
        <v>1</v>
      </c>
      <c r="I1830" s="666">
        <v>10</v>
      </c>
      <c r="J1830" s="666">
        <f>COUNTIF(Elan!$C$13:$F$25,Tablas!E1830)+COUNTIF(Elan!$U$13:$X$25,Tablas!E1830)</f>
        <v>0</v>
      </c>
      <c r="K1830" s="666"/>
      <c r="L1830" s="5563" t="s">
        <v>6966</v>
      </c>
      <c r="M1830" s="5563"/>
      <c r="N1830" s="5563"/>
      <c r="O1830" s="5563"/>
      <c r="P1830" s="5563"/>
      <c r="Q1830" s="5564"/>
      <c r="R1830" s="1094">
        <f>IF(OR($J1830=0,$J1830="Aprendida"),0,SUM($J$1721:$J1830))</f>
        <v>0</v>
      </c>
      <c r="T1830" s="1231"/>
      <c r="U1830" s="1232"/>
      <c r="V1830" s="1232"/>
      <c r="W1830" s="1232"/>
      <c r="X1830" s="1232"/>
      <c r="Y1830" s="1447"/>
    </row>
    <row r="1831" spans="1:25" ht="12.75" customHeight="1" x14ac:dyDescent="0.2">
      <c r="A1831" s="242">
        <v>1831</v>
      </c>
      <c r="B1831" s="5664"/>
      <c r="E1831" s="1091" t="s">
        <v>6668</v>
      </c>
      <c r="F1831" s="666"/>
      <c r="G1831" s="666">
        <v>50</v>
      </c>
      <c r="H1831" s="666">
        <v>1</v>
      </c>
      <c r="I1831" s="666">
        <v>5</v>
      </c>
      <c r="J1831" s="666">
        <f>COUNTIF(Elan!$C$13:$F$25,Tablas!E1831)+COUNTIF(Elan!$U$13:$X$25,Tablas!E1831)</f>
        <v>0</v>
      </c>
      <c r="K1831" s="666"/>
      <c r="L1831" s="5563" t="s">
        <v>6969</v>
      </c>
      <c r="M1831" s="5563"/>
      <c r="N1831" s="5563"/>
      <c r="O1831" s="5563"/>
      <c r="P1831" s="5563"/>
      <c r="Q1831" s="5564"/>
      <c r="R1831" s="1094">
        <f>IF(OR($J1831=0,$J1831="Aprendida"),0,SUM($J$1721:$J1831))</f>
        <v>0</v>
      </c>
      <c r="T1831" s="1231"/>
      <c r="U1831" s="1232"/>
      <c r="V1831" s="1232"/>
      <c r="W1831" s="1232"/>
      <c r="X1831" s="1232"/>
      <c r="Y1831" s="1447"/>
    </row>
    <row r="1832" spans="1:25" ht="12.75" customHeight="1" x14ac:dyDescent="0.2">
      <c r="A1832" s="242">
        <v>1832</v>
      </c>
      <c r="B1832" s="5664"/>
      <c r="E1832" s="1091" t="s">
        <v>6669</v>
      </c>
      <c r="F1832" s="666"/>
      <c r="G1832" s="666">
        <v>60</v>
      </c>
      <c r="H1832" s="666">
        <f>IF(J1831,1,0)</f>
        <v>0</v>
      </c>
      <c r="I1832" s="666">
        <v>10</v>
      </c>
      <c r="J1832" s="666">
        <f>COUNTIF(Elan!$C$13:$F$25,Tablas!E1832)+COUNTIF(Elan!$U$13:$X$25,Tablas!E1832)</f>
        <v>0</v>
      </c>
      <c r="K1832" s="666"/>
      <c r="L1832" s="5563" t="s">
        <v>6971</v>
      </c>
      <c r="M1832" s="5563"/>
      <c r="N1832" s="5563"/>
      <c r="O1832" s="5563"/>
      <c r="P1832" s="5563"/>
      <c r="Q1832" s="5564"/>
      <c r="R1832" s="1094">
        <f>IF(OR($J1832=0,$J1832="Aprendida"),0,SUM($J$1721:$J1832))</f>
        <v>0</v>
      </c>
      <c r="T1832" s="1231"/>
      <c r="U1832" s="1232"/>
      <c r="V1832" s="1232"/>
      <c r="W1832" s="1232"/>
      <c r="X1832" s="1232"/>
      <c r="Y1832" s="1447"/>
    </row>
    <row r="1833" spans="1:25" ht="12.75" customHeight="1" x14ac:dyDescent="0.2">
      <c r="A1833" s="242">
        <v>1833</v>
      </c>
      <c r="B1833" s="5664"/>
      <c r="E1833" s="1091" t="s">
        <v>195</v>
      </c>
      <c r="F1833" s="666"/>
      <c r="G1833" s="666">
        <v>60</v>
      </c>
      <c r="H1833" s="666">
        <v>1</v>
      </c>
      <c r="I1833" s="666">
        <v>15</v>
      </c>
      <c r="J1833" s="666">
        <f>COUNTIF(Elan!$C$13:$F$25,Tablas!E1833)+COUNTIF(Elan!$U$13:$X$25,Tablas!E1833)</f>
        <v>0</v>
      </c>
      <c r="K1833" s="666"/>
      <c r="L1833" s="5563" t="s">
        <v>6973</v>
      </c>
      <c r="M1833" s="5563"/>
      <c r="N1833" s="5563"/>
      <c r="O1833" s="5563"/>
      <c r="P1833" s="5563"/>
      <c r="Q1833" s="5564"/>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664"/>
      <c r="E1834" s="1091" t="s">
        <v>6670</v>
      </c>
      <c r="F1834" s="666"/>
      <c r="G1834" s="666">
        <v>70</v>
      </c>
      <c r="H1834" s="666">
        <v>1</v>
      </c>
      <c r="I1834" s="666">
        <v>15</v>
      </c>
      <c r="J1834" s="666">
        <f>COUNTIF(Elan!$C$13:$F$25,Tablas!E1834)+COUNTIF(Elan!$U$13:$X$25,Tablas!E1834)</f>
        <v>0</v>
      </c>
      <c r="K1834" s="666"/>
      <c r="L1834" s="5563" t="s">
        <v>6975</v>
      </c>
      <c r="M1834" s="5563"/>
      <c r="N1834" s="5563"/>
      <c r="O1834" s="5563"/>
      <c r="P1834" s="5563"/>
      <c r="Q1834" s="5564"/>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664"/>
      <c r="E1835" s="1091" t="s">
        <v>6671</v>
      </c>
      <c r="F1835" s="666"/>
      <c r="G1835" s="666">
        <v>70</v>
      </c>
      <c r="H1835" s="666">
        <v>1</v>
      </c>
      <c r="I1835" s="666">
        <v>20</v>
      </c>
      <c r="J1835" s="666">
        <f>COUNTIF(Elan!$C$13:$F$25,Tablas!E1835)+COUNTIF(Elan!$U$13:$X$25,Tablas!E1835)</f>
        <v>0</v>
      </c>
      <c r="K1835" s="666"/>
      <c r="L1835" s="5563" t="s">
        <v>6976</v>
      </c>
      <c r="M1835" s="5563"/>
      <c r="N1835" s="5563"/>
      <c r="O1835" s="5563"/>
      <c r="P1835" s="5563"/>
      <c r="Q1835" s="5564"/>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664"/>
      <c r="E1836" s="1091" t="s">
        <v>6672</v>
      </c>
      <c r="F1836" s="666"/>
      <c r="G1836" s="666">
        <v>80</v>
      </c>
      <c r="H1836" s="666">
        <v>1</v>
      </c>
      <c r="I1836" s="666">
        <v>10</v>
      </c>
      <c r="J1836" s="666">
        <f>COUNTIF(Elan!$C$13:$F$25,Tablas!E1836)+COUNTIF(Elan!$U$13:$X$25,Tablas!E1836)</f>
        <v>0</v>
      </c>
      <c r="K1836" s="666">
        <f>IF(J1836&gt;0,1,0)</f>
        <v>0</v>
      </c>
      <c r="L1836" s="5563" t="s">
        <v>6977</v>
      </c>
      <c r="M1836" s="5563"/>
      <c r="N1836" s="5563"/>
      <c r="O1836" s="5563"/>
      <c r="P1836" s="5563"/>
      <c r="Q1836" s="5564"/>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664"/>
      <c r="E1837" s="1091" t="s">
        <v>6673</v>
      </c>
      <c r="F1837" s="666"/>
      <c r="G1837" s="666">
        <v>90</v>
      </c>
      <c r="H1837" s="666">
        <f>IF(J1832,1,0)</f>
        <v>0</v>
      </c>
      <c r="I1837" s="666">
        <v>15</v>
      </c>
      <c r="J1837" s="666">
        <f>COUNTIF(Elan!$C$13:$F$25,Tablas!E1837)+COUNTIF(Elan!$U$13:$X$25,Tablas!E1837)</f>
        <v>0</v>
      </c>
      <c r="K1837" s="666"/>
      <c r="L1837" s="5563" t="s">
        <v>6978</v>
      </c>
      <c r="M1837" s="5563"/>
      <c r="N1837" s="5563"/>
      <c r="O1837" s="5563"/>
      <c r="P1837" s="5563"/>
      <c r="Q1837" s="5564"/>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664"/>
      <c r="E1838" s="1091" t="s">
        <v>6674</v>
      </c>
      <c r="F1838" s="666"/>
      <c r="G1838" s="666">
        <v>100</v>
      </c>
      <c r="H1838" s="666">
        <v>1</v>
      </c>
      <c r="I1838" s="666">
        <v>10</v>
      </c>
      <c r="J1838" s="666">
        <f>COUNTIF(Elan!$C$13:$F$25,Tablas!E1838)+COUNTIF(Elan!$U$13:$X$25,Tablas!E1838)</f>
        <v>0</v>
      </c>
      <c r="K1838" s="666"/>
      <c r="L1838" s="5563" t="s">
        <v>6979</v>
      </c>
      <c r="M1838" s="5563"/>
      <c r="N1838" s="5563"/>
      <c r="O1838" s="5563"/>
      <c r="P1838" s="5563"/>
      <c r="Q1838" s="5564"/>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664"/>
      <c r="E1839" s="1090" t="s">
        <v>6567</v>
      </c>
      <c r="F1839" s="1558">
        <f>IF(Elan!$C$11=Tablas!$E1839,Elan!$G$11,IF(Elan!$U$11=Tablas!$E1839,Elan!$Y$11,0))</f>
        <v>0</v>
      </c>
      <c r="G1839" s="1083" t="s">
        <v>1829</v>
      </c>
      <c r="H1839" s="1083" t="s">
        <v>8585</v>
      </c>
      <c r="I1839" s="1083" t="s">
        <v>1498</v>
      </c>
      <c r="J1839" s="1083" t="s">
        <v>6572</v>
      </c>
      <c r="K1839" s="1083" t="s">
        <v>7328</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664"/>
      <c r="E1840" s="1091" t="s">
        <v>6675</v>
      </c>
      <c r="F1840" s="666"/>
      <c r="G1840" s="666">
        <v>10</v>
      </c>
      <c r="H1840" s="666">
        <v>1</v>
      </c>
      <c r="I1840" s="666">
        <v>10</v>
      </c>
      <c r="J1840" s="666">
        <f>COUNTIF(Elan!$C$13:$F$25,Tablas!E1840)+COUNTIF(Elan!$U$13:$X$25,Tablas!E1840)</f>
        <v>0</v>
      </c>
      <c r="K1840" s="666"/>
      <c r="L1840" s="5563" t="s">
        <v>6980</v>
      </c>
      <c r="M1840" s="5563"/>
      <c r="N1840" s="5563"/>
      <c r="O1840" s="5563"/>
      <c r="P1840" s="5563"/>
      <c r="Q1840" s="5564"/>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664"/>
      <c r="E1841" s="1091" t="s">
        <v>6676</v>
      </c>
      <c r="F1841" s="666"/>
      <c r="G1841" s="666">
        <v>20</v>
      </c>
      <c r="H1841" s="666">
        <v>1</v>
      </c>
      <c r="I1841" s="666">
        <v>5</v>
      </c>
      <c r="J1841" s="666">
        <f>COUNTIF(Elan!$C$13:$F$25,Tablas!E1841)+COUNTIF(Elan!$U$13:$X$25,Tablas!E1841)</f>
        <v>0</v>
      </c>
      <c r="K1841" s="666"/>
      <c r="L1841" s="5563" t="s">
        <v>6983</v>
      </c>
      <c r="M1841" s="5563"/>
      <c r="N1841" s="5563"/>
      <c r="O1841" s="5563"/>
      <c r="P1841" s="5563"/>
      <c r="Q1841" s="5564"/>
      <c r="R1841" s="1094">
        <f>IF(OR($J1841=0,$J1841="Aprendida"),0,SUM($J$1721:$J1841))</f>
        <v>0</v>
      </c>
    </row>
    <row r="1842" spans="1:18" ht="12.75" customHeight="1" x14ac:dyDescent="0.2">
      <c r="A1842" s="242">
        <v>1842</v>
      </c>
      <c r="B1842" s="5664"/>
      <c r="E1842" s="1091" t="s">
        <v>6677</v>
      </c>
      <c r="F1842" s="666"/>
      <c r="G1842" s="666">
        <v>30</v>
      </c>
      <c r="H1842" s="666">
        <v>1</v>
      </c>
      <c r="I1842" s="666">
        <v>10</v>
      </c>
      <c r="J1842" s="666">
        <f>COUNTIF(Elan!$C$13:$F$25,Tablas!E1842)+COUNTIF(Elan!$U$13:$X$25,Tablas!E1842)</f>
        <v>0</v>
      </c>
      <c r="K1842" s="666"/>
      <c r="L1842" s="5563" t="s">
        <v>6987</v>
      </c>
      <c r="M1842" s="5563"/>
      <c r="N1842" s="5563"/>
      <c r="O1842" s="5563"/>
      <c r="P1842" s="5563"/>
      <c r="Q1842" s="5564"/>
      <c r="R1842" s="1094">
        <f>IF(OR($J1842=0,$J1842="Aprendida"),0,SUM($J$1721:$J1842))</f>
        <v>0</v>
      </c>
    </row>
    <row r="1843" spans="1:18" ht="12.75" customHeight="1" x14ac:dyDescent="0.2">
      <c r="A1843" s="242">
        <v>1843</v>
      </c>
      <c r="B1843" s="5664"/>
      <c r="E1843" s="1091" t="s">
        <v>6678</v>
      </c>
      <c r="F1843" s="666"/>
      <c r="G1843" s="666">
        <v>40</v>
      </c>
      <c r="H1843" s="666">
        <v>1</v>
      </c>
      <c r="I1843" s="666">
        <v>5</v>
      </c>
      <c r="J1843" s="666">
        <f>COUNTIF(Elan!$C$13:$F$25,Tablas!E1843)+COUNTIF(Elan!$U$13:$X$25,Tablas!E1843)</f>
        <v>0</v>
      </c>
      <c r="K1843" s="666"/>
      <c r="L1843" s="5563" t="s">
        <v>6989</v>
      </c>
      <c r="M1843" s="5563"/>
      <c r="N1843" s="5563"/>
      <c r="O1843" s="5563"/>
      <c r="P1843" s="5563"/>
      <c r="Q1843" s="5564"/>
      <c r="R1843" s="1094">
        <f>IF(OR($J1843=0,$J1843="Aprendida"),0,SUM($J$1721:$J1843))</f>
        <v>0</v>
      </c>
    </row>
    <row r="1844" spans="1:18" ht="12.75" customHeight="1" x14ac:dyDescent="0.2">
      <c r="A1844" s="242">
        <v>1844</v>
      </c>
      <c r="B1844" s="5664"/>
      <c r="E1844" s="1091" t="s">
        <v>6679</v>
      </c>
      <c r="F1844" s="666"/>
      <c r="G1844" s="666">
        <v>50</v>
      </c>
      <c r="H1844" s="666">
        <v>1</v>
      </c>
      <c r="I1844" s="666">
        <v>15</v>
      </c>
      <c r="J1844" s="666">
        <f>COUNTIF(Elan!$C$13:$F$25,Tablas!E1844)+COUNTIF(Elan!$U$13:$X$25,Tablas!E1844)</f>
        <v>0</v>
      </c>
      <c r="K1844" s="666"/>
      <c r="L1844" s="5563" t="s">
        <v>6991</v>
      </c>
      <c r="M1844" s="5563"/>
      <c r="N1844" s="5563"/>
      <c r="O1844" s="5563"/>
      <c r="P1844" s="5563"/>
      <c r="Q1844" s="5564"/>
      <c r="R1844" s="1094">
        <f>IF(OR($J1844=0,$J1844="Aprendida"),0,SUM($J$1721:$J1844))</f>
        <v>0</v>
      </c>
    </row>
    <row r="1845" spans="1:18" ht="12.75" customHeight="1" x14ac:dyDescent="0.2">
      <c r="A1845" s="242">
        <v>1845</v>
      </c>
      <c r="B1845" s="5664"/>
      <c r="E1845" s="1091" t="s">
        <v>6680</v>
      </c>
      <c r="F1845" s="666"/>
      <c r="G1845" s="666">
        <v>60</v>
      </c>
      <c r="H1845" s="666">
        <f>IF(J1843,1,0)</f>
        <v>0</v>
      </c>
      <c r="I1845" s="666">
        <v>10</v>
      </c>
      <c r="J1845" s="666">
        <f>COUNTIF(Elan!$C$13:$F$25,Tablas!E1845)+COUNTIF(Elan!$U$13:$X$25,Tablas!E1845)</f>
        <v>0</v>
      </c>
      <c r="K1845" s="666">
        <f>2*J1845*F1839</f>
        <v>0</v>
      </c>
      <c r="L1845" s="5563" t="s">
        <v>6993</v>
      </c>
      <c r="M1845" s="5563"/>
      <c r="N1845" s="5563"/>
      <c r="O1845" s="5563"/>
      <c r="P1845" s="5563"/>
      <c r="Q1845" s="5564"/>
      <c r="R1845" s="1094">
        <f>IF(OR($J1845=0,$J1845="Aprendida"),0,SUM($J$1721:$J1845))</f>
        <v>0</v>
      </c>
    </row>
    <row r="1846" spans="1:18" ht="12.75" customHeight="1" x14ac:dyDescent="0.2">
      <c r="A1846" s="242">
        <v>1846</v>
      </c>
      <c r="B1846" s="5664"/>
      <c r="E1846" s="1091" t="s">
        <v>6681</v>
      </c>
      <c r="F1846" s="666"/>
      <c r="G1846" s="666">
        <v>70</v>
      </c>
      <c r="H1846" s="666">
        <v>1</v>
      </c>
      <c r="I1846" s="666">
        <v>15</v>
      </c>
      <c r="J1846" s="666">
        <f>COUNTIF(Elan!$C$13:$F$25,Tablas!E1846)+COUNTIF(Elan!$U$13:$X$25,Tablas!E1846)</f>
        <v>0</v>
      </c>
      <c r="K1846" s="666"/>
      <c r="L1846" s="5563" t="s">
        <v>6994</v>
      </c>
      <c r="M1846" s="5563"/>
      <c r="N1846" s="5563"/>
      <c r="O1846" s="5563"/>
      <c r="P1846" s="5563"/>
      <c r="Q1846" s="5564"/>
      <c r="R1846" s="1094">
        <f>IF(OR($J1846=0,$J1846="Aprendida"),0,SUM($J$1721:$J1846))</f>
        <v>0</v>
      </c>
    </row>
    <row r="1847" spans="1:18" ht="12.75" customHeight="1" x14ac:dyDescent="0.2">
      <c r="A1847" s="242">
        <v>1847</v>
      </c>
      <c r="B1847" s="5664"/>
      <c r="E1847" s="1091" t="s">
        <v>6682</v>
      </c>
      <c r="F1847" s="666"/>
      <c r="G1847" s="666">
        <v>80</v>
      </c>
      <c r="H1847" s="666">
        <f>IF(J1843,1,0)</f>
        <v>0</v>
      </c>
      <c r="I1847" s="666">
        <v>10</v>
      </c>
      <c r="J1847" s="666">
        <f>COUNTIF(Elan!$C$13:$F$25,Tablas!E1847)+COUNTIF(Elan!$U$13:$X$25,Tablas!E1847)</f>
        <v>0</v>
      </c>
      <c r="K1847" s="666"/>
      <c r="L1847" s="5563" t="s">
        <v>6995</v>
      </c>
      <c r="M1847" s="5563"/>
      <c r="N1847" s="5563"/>
      <c r="O1847" s="5563"/>
      <c r="P1847" s="5563"/>
      <c r="Q1847" s="5564"/>
      <c r="R1847" s="1094">
        <f>IF(OR($J1847=0,$J1847="Aprendida"),0,SUM($J$1721:$J1847))</f>
        <v>0</v>
      </c>
    </row>
    <row r="1848" spans="1:18" ht="12.75" customHeight="1" x14ac:dyDescent="0.2">
      <c r="A1848" s="242">
        <v>1848</v>
      </c>
      <c r="B1848" s="5664"/>
      <c r="E1848" s="1091" t="s">
        <v>6683</v>
      </c>
      <c r="F1848" s="666"/>
      <c r="G1848" s="666">
        <v>80</v>
      </c>
      <c r="H1848" s="666">
        <v>1</v>
      </c>
      <c r="I1848" s="666">
        <v>15</v>
      </c>
      <c r="J1848" s="666">
        <f>COUNTIF(Elan!$C$13:$F$25,Tablas!E1848)+COUNTIF(Elan!$U$13:$X$25,Tablas!E1848)</f>
        <v>0</v>
      </c>
      <c r="K1848" s="666"/>
      <c r="L1848" s="5563" t="s">
        <v>6996</v>
      </c>
      <c r="M1848" s="5563"/>
      <c r="N1848" s="5563"/>
      <c r="O1848" s="5563"/>
      <c r="P1848" s="5563"/>
      <c r="Q1848" s="5564"/>
      <c r="R1848" s="1094">
        <f>IF(OR($J1848=0,$J1848="Aprendida"),0,SUM($J$1721:$J1848))</f>
        <v>0</v>
      </c>
    </row>
    <row r="1849" spans="1:18" ht="12.75" customHeight="1" x14ac:dyDescent="0.2">
      <c r="A1849" s="242">
        <v>1849</v>
      </c>
      <c r="B1849" s="5664"/>
      <c r="E1849" s="1091" t="s">
        <v>6684</v>
      </c>
      <c r="F1849" s="666"/>
      <c r="G1849" s="666">
        <v>90</v>
      </c>
      <c r="H1849" s="666">
        <v>1</v>
      </c>
      <c r="I1849" s="666">
        <v>15</v>
      </c>
      <c r="J1849" s="666">
        <f>COUNTIF(Elan!$C$13:$F$25,Tablas!E1849)+COUNTIF(Elan!$U$13:$X$25,Tablas!E1849)</f>
        <v>0</v>
      </c>
      <c r="K1849" s="666"/>
      <c r="L1849" s="5563" t="s">
        <v>6997</v>
      </c>
      <c r="M1849" s="5563"/>
      <c r="N1849" s="5563"/>
      <c r="O1849" s="5563"/>
      <c r="P1849" s="5563"/>
      <c r="Q1849" s="5564"/>
      <c r="R1849" s="1094">
        <f>IF(OR($J1849=0,$J1849="Aprendida"),0,SUM($J$1721:$J1849))</f>
        <v>0</v>
      </c>
    </row>
    <row r="1850" spans="1:18" ht="12.75" customHeight="1" x14ac:dyDescent="0.2">
      <c r="A1850" s="242">
        <v>1850</v>
      </c>
      <c r="B1850" s="5664"/>
      <c r="E1850" s="1091" t="s">
        <v>6685</v>
      </c>
      <c r="F1850" s="666"/>
      <c r="G1850" s="666">
        <v>100</v>
      </c>
      <c r="H1850" s="666">
        <v>1</v>
      </c>
      <c r="I1850" s="666">
        <v>10</v>
      </c>
      <c r="J1850" s="666">
        <f>COUNTIF(Elan!$C$13:$F$25,Tablas!E1850)+COUNTIF(Elan!$U$13:$X$25,Tablas!E1850)</f>
        <v>0</v>
      </c>
      <c r="K1850" s="666"/>
      <c r="L1850" s="5563" t="s">
        <v>6998</v>
      </c>
      <c r="M1850" s="5563"/>
      <c r="N1850" s="5563"/>
      <c r="O1850" s="5563"/>
      <c r="P1850" s="5563"/>
      <c r="Q1850" s="5564"/>
      <c r="R1850" s="1094">
        <f>IF(OR($J1850=0,$J1850="Aprendida"),0,SUM($J$1721:$J1850))</f>
        <v>0</v>
      </c>
    </row>
    <row r="1851" spans="1:18" ht="12.75" customHeight="1" x14ac:dyDescent="0.2">
      <c r="A1851" s="242">
        <v>1851</v>
      </c>
      <c r="B1851" s="5664"/>
      <c r="E1851" s="1090" t="s">
        <v>6568</v>
      </c>
      <c r="F1851" s="1558">
        <f>IF(Elan!$C$11=Tablas!$E1851,Elan!$G$11,IF(Elan!$U$11=Tablas!$E1851,Elan!$Y$11,0))</f>
        <v>0</v>
      </c>
      <c r="G1851" s="1083" t="s">
        <v>1829</v>
      </c>
      <c r="H1851" s="1083" t="s">
        <v>8585</v>
      </c>
      <c r="I1851" s="1083" t="s">
        <v>1498</v>
      </c>
      <c r="J1851" s="1083" t="s">
        <v>6572</v>
      </c>
      <c r="K1851" s="1083" t="s">
        <v>7328</v>
      </c>
      <c r="L1851" s="1083" t="s">
        <v>1558</v>
      </c>
      <c r="M1851" s="667"/>
      <c r="N1851" s="667"/>
      <c r="O1851" s="667"/>
      <c r="P1851" s="667"/>
      <c r="Q1851" s="1088"/>
      <c r="R1851" s="1094">
        <f>IF(OR($J1851=0,$J1851="Aprendida"),0,SUM($J$1721:$J1851))</f>
        <v>0</v>
      </c>
    </row>
    <row r="1852" spans="1:18" ht="12.75" customHeight="1" x14ac:dyDescent="0.2">
      <c r="A1852" s="242">
        <v>1852</v>
      </c>
      <c r="B1852" s="5664"/>
      <c r="E1852" s="1091" t="s">
        <v>6686</v>
      </c>
      <c r="F1852" s="666"/>
      <c r="G1852" s="666">
        <v>10</v>
      </c>
      <c r="H1852" s="666">
        <v>1</v>
      </c>
      <c r="I1852" s="666">
        <v>5</v>
      </c>
      <c r="J1852" s="666">
        <f>COUNTIF(Elan!$C$13:$F$25,Tablas!E1852)+COUNTIF(Elan!$U$13:$X$25,Tablas!E1852)</f>
        <v>0</v>
      </c>
      <c r="K1852" s="666">
        <f>F$1851*J1852</f>
        <v>0</v>
      </c>
      <c r="L1852" s="5563" t="s">
        <v>6999</v>
      </c>
      <c r="M1852" s="5563"/>
      <c r="N1852" s="5563"/>
      <c r="O1852" s="5563"/>
      <c r="P1852" s="5563"/>
      <c r="Q1852" s="5564"/>
      <c r="R1852" s="1094">
        <f>IF(OR($J1852=0,$J1852="Aprendida"),0,SUM($J$1721:$J1852))</f>
        <v>0</v>
      </c>
    </row>
    <row r="1853" spans="1:18" ht="12.75" customHeight="1" x14ac:dyDescent="0.2">
      <c r="A1853" s="242">
        <v>1853</v>
      </c>
      <c r="B1853" s="5664"/>
      <c r="E1853" s="1091" t="s">
        <v>6687</v>
      </c>
      <c r="F1853" s="666"/>
      <c r="G1853" s="666">
        <v>20</v>
      </c>
      <c r="H1853" s="666">
        <v>1</v>
      </c>
      <c r="I1853" s="666">
        <v>10</v>
      </c>
      <c r="J1853" s="666">
        <f>COUNTIF(Elan!$C$13:$F$25,Tablas!E1853)+COUNTIF(Elan!$U$13:$X$25,Tablas!E1853)</f>
        <v>0</v>
      </c>
      <c r="K1853" s="666"/>
      <c r="L1853" s="5563" t="s">
        <v>7003</v>
      </c>
      <c r="M1853" s="5563"/>
      <c r="N1853" s="5563"/>
      <c r="O1853" s="5563"/>
      <c r="P1853" s="5563"/>
      <c r="Q1853" s="5564"/>
      <c r="R1853" s="1094">
        <f>IF(OR($J1853=0,$J1853="Aprendida"),0,SUM($J$1721:$J1853))</f>
        <v>0</v>
      </c>
    </row>
    <row r="1854" spans="1:18" ht="12.75" customHeight="1" x14ac:dyDescent="0.2">
      <c r="A1854" s="242">
        <v>1854</v>
      </c>
      <c r="B1854" s="5664"/>
      <c r="E1854" s="1091" t="s">
        <v>6688</v>
      </c>
      <c r="F1854" s="666"/>
      <c r="G1854" s="666">
        <v>30</v>
      </c>
      <c r="H1854" s="666">
        <v>1</v>
      </c>
      <c r="I1854" s="666">
        <v>10</v>
      </c>
      <c r="J1854" s="666">
        <f>COUNTIF(Elan!$C$13:$F$25,Tablas!E1854)+COUNTIF(Elan!$U$13:$X$25,Tablas!E1854)</f>
        <v>0</v>
      </c>
      <c r="K1854" s="666">
        <f>F$1851*J1854</f>
        <v>0</v>
      </c>
      <c r="L1854" s="5563" t="s">
        <v>7007</v>
      </c>
      <c r="M1854" s="5563"/>
      <c r="N1854" s="5563"/>
      <c r="O1854" s="5563"/>
      <c r="P1854" s="5563"/>
      <c r="Q1854" s="5564"/>
      <c r="R1854" s="1094">
        <f>IF(OR($J1854=0,$J1854="Aprendida"),0,SUM($J$1721:$J1854))</f>
        <v>0</v>
      </c>
    </row>
    <row r="1855" spans="1:18" ht="12.75" customHeight="1" x14ac:dyDescent="0.2">
      <c r="A1855" s="242">
        <v>1855</v>
      </c>
      <c r="B1855" s="5664"/>
      <c r="E1855" s="1091" t="s">
        <v>6689</v>
      </c>
      <c r="F1855" s="666"/>
      <c r="G1855" s="666">
        <v>40</v>
      </c>
      <c r="H1855" s="666">
        <v>1</v>
      </c>
      <c r="I1855" s="666">
        <v>10</v>
      </c>
      <c r="J1855" s="666">
        <f>COUNTIF(Elan!$C$13:$F$25,Tablas!E1855)+COUNTIF(Elan!$U$13:$X$25,Tablas!E1855)</f>
        <v>0</v>
      </c>
      <c r="K1855" s="666"/>
      <c r="L1855" s="5563" t="s">
        <v>7011</v>
      </c>
      <c r="M1855" s="5563"/>
      <c r="N1855" s="5563"/>
      <c r="O1855" s="5563"/>
      <c r="P1855" s="5563"/>
      <c r="Q1855" s="5564"/>
      <c r="R1855" s="1094">
        <f>IF(OR($J1855=0,$J1855="Aprendida"),0,SUM($J$1721:$J1855))</f>
        <v>0</v>
      </c>
    </row>
    <row r="1856" spans="1:18" ht="12.75" customHeight="1" x14ac:dyDescent="0.2">
      <c r="A1856" s="242">
        <v>1856</v>
      </c>
      <c r="B1856" s="5664"/>
      <c r="E1856" s="1091" t="s">
        <v>6690</v>
      </c>
      <c r="F1856" s="666"/>
      <c r="G1856" s="666">
        <v>40</v>
      </c>
      <c r="H1856" s="666">
        <v>1</v>
      </c>
      <c r="I1856" s="666">
        <v>5</v>
      </c>
      <c r="J1856" s="666">
        <f>COUNTIF(Elan!$C$13:$F$25,Tablas!E1856)+COUNTIF(Elan!$U$13:$X$25,Tablas!E1856)</f>
        <v>0</v>
      </c>
      <c r="K1856" s="666"/>
      <c r="L1856" s="5563" t="s">
        <v>7014</v>
      </c>
      <c r="M1856" s="5563"/>
      <c r="N1856" s="5563"/>
      <c r="O1856" s="5563"/>
      <c r="P1856" s="5563"/>
      <c r="Q1856" s="5564"/>
      <c r="R1856" s="1094">
        <f>IF(OR($J1856=0,$J1856="Aprendida"),0,SUM($J$1721:$J1856))</f>
        <v>0</v>
      </c>
    </row>
    <row r="1857" spans="1:18" ht="12.75" customHeight="1" x14ac:dyDescent="0.2">
      <c r="A1857" s="242">
        <v>1857</v>
      </c>
      <c r="B1857" s="5664"/>
      <c r="D1857" s="859"/>
      <c r="E1857" s="1091" t="s">
        <v>6691</v>
      </c>
      <c r="F1857" s="666"/>
      <c r="G1857" s="666">
        <v>50</v>
      </c>
      <c r="H1857" s="666">
        <f>IF(J1858,1,0)</f>
        <v>0</v>
      </c>
      <c r="I1857" s="666">
        <v>15</v>
      </c>
      <c r="J1857" s="666">
        <f>COUNTIF(Elan!$C$13:$F$25,Tablas!E1857)+COUNTIF(Elan!$U$13:$X$25,Tablas!E1857)</f>
        <v>0</v>
      </c>
      <c r="K1857" s="666"/>
      <c r="L1857" s="5563" t="s">
        <v>7016</v>
      </c>
      <c r="M1857" s="5563"/>
      <c r="N1857" s="5563"/>
      <c r="O1857" s="5563"/>
      <c r="P1857" s="5563"/>
      <c r="Q1857" s="5564"/>
      <c r="R1857" s="1094">
        <f>IF(OR($J1857=0,$J1857="Aprendida"),0,SUM($J$1721:$J1857))</f>
        <v>0</v>
      </c>
    </row>
    <row r="1858" spans="1:18" ht="12.75" customHeight="1" x14ac:dyDescent="0.2">
      <c r="A1858" s="242">
        <v>1858</v>
      </c>
      <c r="B1858" s="5664"/>
      <c r="E1858" s="1091" t="s">
        <v>6692</v>
      </c>
      <c r="F1858" s="666"/>
      <c r="G1858" s="666">
        <v>50</v>
      </c>
      <c r="H1858" s="666">
        <v>1</v>
      </c>
      <c r="I1858" s="666">
        <v>5</v>
      </c>
      <c r="J1858" s="666">
        <f>COUNTIF(Elan!$C$13:$F$25,Tablas!E1858)+COUNTIF(Elan!$U$13:$X$25,Tablas!E1858)</f>
        <v>0</v>
      </c>
      <c r="K1858" s="666"/>
      <c r="L1858" s="5563" t="s">
        <v>7018</v>
      </c>
      <c r="M1858" s="5563"/>
      <c r="N1858" s="5563"/>
      <c r="O1858" s="5563"/>
      <c r="P1858" s="5563"/>
      <c r="Q1858" s="5564"/>
      <c r="R1858" s="1094">
        <f>IF(OR($J1858=0,$J1858="Aprendida"),0,SUM($J$1721:$J1858))</f>
        <v>0</v>
      </c>
    </row>
    <row r="1859" spans="1:18" ht="12.75" customHeight="1" x14ac:dyDescent="0.2">
      <c r="A1859" s="242">
        <v>1859</v>
      </c>
      <c r="B1859" s="5664"/>
      <c r="E1859" s="1091" t="s">
        <v>6693</v>
      </c>
      <c r="F1859" s="666"/>
      <c r="G1859" s="666">
        <v>60</v>
      </c>
      <c r="H1859" s="666">
        <v>1</v>
      </c>
      <c r="I1859" s="666">
        <v>10</v>
      </c>
      <c r="J1859" s="666">
        <f>COUNTIF(Elan!$C$13:$F$25,Tablas!E1859)+COUNTIF(Elan!$U$13:$X$25,Tablas!E1859)</f>
        <v>0</v>
      </c>
      <c r="K1859" s="666"/>
      <c r="L1859" s="5563" t="s">
        <v>7019</v>
      </c>
      <c r="M1859" s="5563"/>
      <c r="N1859" s="5563"/>
      <c r="O1859" s="5563"/>
      <c r="P1859" s="5563"/>
      <c r="Q1859" s="5564"/>
      <c r="R1859" s="1094">
        <f>IF(OR($J1859=0,$J1859="Aprendida"),0,SUM($J$1721:$J1859))</f>
        <v>0</v>
      </c>
    </row>
    <row r="1860" spans="1:18" ht="12.75" customHeight="1" x14ac:dyDescent="0.2">
      <c r="A1860" s="242">
        <v>1860</v>
      </c>
      <c r="B1860" s="5664"/>
      <c r="E1860" s="1091" t="s">
        <v>6694</v>
      </c>
      <c r="F1860" s="666"/>
      <c r="G1860" s="666">
        <v>70</v>
      </c>
      <c r="H1860" s="666">
        <v>1</v>
      </c>
      <c r="I1860" s="666">
        <v>20</v>
      </c>
      <c r="J1860" s="666">
        <f>COUNTIF(Elan!$C$13:$F$25,Tablas!E1860)+COUNTIF(Elan!$U$13:$X$25,Tablas!E1860)</f>
        <v>0</v>
      </c>
      <c r="K1860" s="666"/>
      <c r="L1860" s="5563" t="s">
        <v>7020</v>
      </c>
      <c r="M1860" s="5563"/>
      <c r="N1860" s="5563"/>
      <c r="O1860" s="5563"/>
      <c r="P1860" s="5563"/>
      <c r="Q1860" s="5564"/>
      <c r="R1860" s="1094">
        <f>IF(OR($J1860=0,$J1860="Aprendida"),0,SUM($J$1721:$J1860))</f>
        <v>0</v>
      </c>
    </row>
    <row r="1861" spans="1:18" ht="12.75" customHeight="1" x14ac:dyDescent="0.2">
      <c r="A1861" s="242">
        <v>1861</v>
      </c>
      <c r="B1861" s="5664"/>
      <c r="E1861" s="1091" t="s">
        <v>6695</v>
      </c>
      <c r="F1861" s="666"/>
      <c r="G1861" s="666">
        <v>70</v>
      </c>
      <c r="H1861" s="666">
        <v>1</v>
      </c>
      <c r="I1861" s="666">
        <v>10</v>
      </c>
      <c r="J1861" s="666">
        <f>COUNTIF(Elan!$C$13:$F$25,Tablas!E1861)+COUNTIF(Elan!$U$13:$X$25,Tablas!E1861)</f>
        <v>0</v>
      </c>
      <c r="K1861" s="666"/>
      <c r="L1861" s="5563" t="s">
        <v>7021</v>
      </c>
      <c r="M1861" s="5563"/>
      <c r="N1861" s="5563"/>
      <c r="O1861" s="5563"/>
      <c r="P1861" s="5563"/>
      <c r="Q1861" s="5564"/>
      <c r="R1861" s="1094">
        <f>IF(OR($J1861=0,$J1861="Aprendida"),0,SUM($J$1721:$J1861))</f>
        <v>0</v>
      </c>
    </row>
    <row r="1862" spans="1:18" ht="12.75" customHeight="1" x14ac:dyDescent="0.2">
      <c r="A1862" s="242">
        <v>1862</v>
      </c>
      <c r="B1862" s="5664"/>
      <c r="E1862" s="1091" t="s">
        <v>6696</v>
      </c>
      <c r="F1862" s="666"/>
      <c r="G1862" s="666">
        <v>80</v>
      </c>
      <c r="H1862" s="666">
        <f>IF(J1857,1,0)</f>
        <v>0</v>
      </c>
      <c r="I1862" s="666">
        <v>20</v>
      </c>
      <c r="J1862" s="666">
        <f>COUNTIF(Elan!$C$13:$F$25,Tablas!E1862)+COUNTIF(Elan!$U$13:$X$25,Tablas!E1862)</f>
        <v>0</v>
      </c>
      <c r="K1862" s="666"/>
      <c r="L1862" s="5563" t="s">
        <v>7022</v>
      </c>
      <c r="M1862" s="5563"/>
      <c r="N1862" s="5563"/>
      <c r="O1862" s="5563"/>
      <c r="P1862" s="5563"/>
      <c r="Q1862" s="5564"/>
      <c r="R1862" s="1094">
        <f>IF(OR($J1862=0,$J1862="Aprendida"),0,SUM($J$1721:$J1862))</f>
        <v>0</v>
      </c>
    </row>
    <row r="1863" spans="1:18" ht="12.75" customHeight="1" x14ac:dyDescent="0.2">
      <c r="A1863" s="242">
        <v>1863</v>
      </c>
      <c r="B1863" s="5664"/>
      <c r="E1863" s="1091" t="s">
        <v>472</v>
      </c>
      <c r="F1863" s="666"/>
      <c r="G1863" s="666">
        <v>90</v>
      </c>
      <c r="H1863" s="666">
        <f>IF(J1857,1,0)</f>
        <v>0</v>
      </c>
      <c r="I1863" s="666">
        <v>10</v>
      </c>
      <c r="J1863" s="666">
        <f>COUNTIF(Elan!$C$13:$F$25,Tablas!E1863)+COUNTIF(Elan!$U$13:$X$25,Tablas!E1863)</f>
        <v>0</v>
      </c>
      <c r="K1863" s="666"/>
      <c r="L1863" s="5563" t="s">
        <v>7023</v>
      </c>
      <c r="M1863" s="5563"/>
      <c r="N1863" s="5563"/>
      <c r="O1863" s="5563"/>
      <c r="P1863" s="5563"/>
      <c r="Q1863" s="5564"/>
      <c r="R1863" s="1094">
        <f>IF(OR($J1863=0,$J1863="Aprendida"),0,SUM($J$1721:$J1863))</f>
        <v>0</v>
      </c>
    </row>
    <row r="1864" spans="1:18" ht="12.75" customHeight="1" x14ac:dyDescent="0.2">
      <c r="A1864" s="242">
        <v>1864</v>
      </c>
      <c r="B1864" s="5664"/>
      <c r="E1864" s="1091" t="s">
        <v>6697</v>
      </c>
      <c r="F1864" s="666"/>
      <c r="G1864" s="666">
        <v>100</v>
      </c>
      <c r="H1864" s="666">
        <v>1</v>
      </c>
      <c r="I1864" s="666">
        <v>10</v>
      </c>
      <c r="J1864" s="666">
        <f>COUNTIF(Elan!$C$13:$F$25,Tablas!E1864)+COUNTIF(Elan!$U$13:$X$25,Tablas!E1864)</f>
        <v>0</v>
      </c>
      <c r="K1864" s="666"/>
      <c r="L1864" s="5563" t="s">
        <v>7024</v>
      </c>
      <c r="M1864" s="5563"/>
      <c r="N1864" s="5563"/>
      <c r="O1864" s="5563"/>
      <c r="P1864" s="5563"/>
      <c r="Q1864" s="5564"/>
      <c r="R1864" s="1094">
        <f>IF(OR($J1864=0,$J1864="Aprendida"),0,SUM($J$1721:$J1864))</f>
        <v>0</v>
      </c>
    </row>
    <row r="1865" spans="1:18" ht="12.75" customHeight="1" x14ac:dyDescent="0.2">
      <c r="A1865" s="242">
        <v>1865</v>
      </c>
      <c r="B1865" s="5664"/>
      <c r="E1865" s="1090" t="s">
        <v>6569</v>
      </c>
      <c r="F1865" s="1558">
        <f>IF(Elan!$C$11=Tablas!$E1865,Elan!$G$11,IF(Elan!$U$11=Tablas!$E1865,Elan!$Y$11,0))</f>
        <v>0</v>
      </c>
      <c r="G1865" s="1083" t="s">
        <v>1829</v>
      </c>
      <c r="H1865" s="1083" t="s">
        <v>8585</v>
      </c>
      <c r="I1865" s="1083" t="s">
        <v>1498</v>
      </c>
      <c r="J1865" s="1083" t="s">
        <v>6572</v>
      </c>
      <c r="K1865" s="1083" t="s">
        <v>7328</v>
      </c>
      <c r="L1865" s="1083" t="s">
        <v>1558</v>
      </c>
      <c r="M1865" s="667"/>
      <c r="N1865" s="667"/>
      <c r="O1865" s="667"/>
      <c r="P1865" s="667"/>
      <c r="Q1865" s="1088"/>
      <c r="R1865" s="1094">
        <f>IF(OR($J1865=0,$J1865="Aprendida"),0,SUM($J$1721:$J1865))</f>
        <v>0</v>
      </c>
    </row>
    <row r="1866" spans="1:18" ht="12.75" customHeight="1" x14ac:dyDescent="0.2">
      <c r="A1866" s="242">
        <v>1866</v>
      </c>
      <c r="B1866" s="5664"/>
      <c r="E1866" s="1091" t="s">
        <v>6698</v>
      </c>
      <c r="F1866" s="666"/>
      <c r="G1866" s="666">
        <v>10</v>
      </c>
      <c r="H1866" s="666">
        <v>1</v>
      </c>
      <c r="I1866" s="666">
        <v>10</v>
      </c>
      <c r="J1866" s="666">
        <f>COUNTIF(Elan!$C$13:$F$25,Tablas!E1866)+COUNTIF(Elan!$U$13:$X$25,Tablas!E1866)</f>
        <v>0</v>
      </c>
      <c r="K1866" s="666"/>
      <c r="L1866" s="5563" t="s">
        <v>7025</v>
      </c>
      <c r="M1866" s="5563"/>
      <c r="N1866" s="5563"/>
      <c r="O1866" s="5563"/>
      <c r="P1866" s="5563"/>
      <c r="Q1866" s="5564"/>
      <c r="R1866" s="1094">
        <f>IF(OR($J1866=0,$J1866="Aprendida"),0,SUM($J$1721:$J1866))</f>
        <v>0</v>
      </c>
    </row>
    <row r="1867" spans="1:18" ht="12.75" customHeight="1" x14ac:dyDescent="0.2">
      <c r="A1867" s="242">
        <v>1867</v>
      </c>
      <c r="B1867" s="5664"/>
      <c r="E1867" s="1091" t="s">
        <v>6699</v>
      </c>
      <c r="F1867" s="666"/>
      <c r="G1867" s="666">
        <v>20</v>
      </c>
      <c r="H1867" s="666">
        <v>1</v>
      </c>
      <c r="I1867" s="666">
        <v>5</v>
      </c>
      <c r="J1867" s="666">
        <f>COUNTIF(Elan!$C$13:$F$25,Tablas!E1867)+COUNTIF(Elan!$U$13:$X$25,Tablas!E1867)</f>
        <v>0</v>
      </c>
      <c r="K1867" s="666"/>
      <c r="L1867" s="5563" t="s">
        <v>7029</v>
      </c>
      <c r="M1867" s="5563"/>
      <c r="N1867" s="5563"/>
      <c r="O1867" s="5563"/>
      <c r="P1867" s="5563"/>
      <c r="Q1867" s="5564"/>
      <c r="R1867" s="1094">
        <f>IF(OR($J1867=0,$J1867="Aprendida"),0,SUM($J$1721:$J1867))</f>
        <v>0</v>
      </c>
    </row>
    <row r="1868" spans="1:18" ht="12.75" customHeight="1" x14ac:dyDescent="0.2">
      <c r="A1868" s="242">
        <v>1868</v>
      </c>
      <c r="B1868" s="5664"/>
      <c r="E1868" s="1091" t="s">
        <v>6700</v>
      </c>
      <c r="F1868" s="666"/>
      <c r="G1868" s="666">
        <v>30</v>
      </c>
      <c r="H1868" s="666">
        <v>1</v>
      </c>
      <c r="I1868" s="666">
        <v>5</v>
      </c>
      <c r="J1868" s="666">
        <f>COUNTIF(Elan!$C$13:$F$25,Tablas!E1868)+COUNTIF(Elan!$U$13:$X$25,Tablas!E1868)</f>
        <v>0</v>
      </c>
      <c r="K1868" s="666"/>
      <c r="L1868" s="5563" t="s">
        <v>7033</v>
      </c>
      <c r="M1868" s="5563"/>
      <c r="N1868" s="5563"/>
      <c r="O1868" s="5563"/>
      <c r="P1868" s="5563"/>
      <c r="Q1868" s="5564"/>
      <c r="R1868" s="1094">
        <f>IF(OR($J1868=0,$J1868="Aprendida"),0,SUM($J$1721:$J1868))</f>
        <v>0</v>
      </c>
    </row>
    <row r="1869" spans="1:18" ht="12.75" customHeight="1" x14ac:dyDescent="0.2">
      <c r="A1869" s="242">
        <v>1869</v>
      </c>
      <c r="B1869" s="5664"/>
      <c r="E1869" s="1091" t="s">
        <v>6701</v>
      </c>
      <c r="F1869" s="666"/>
      <c r="G1869" s="666">
        <v>40</v>
      </c>
      <c r="H1869" s="666">
        <v>1</v>
      </c>
      <c r="I1869" s="666">
        <v>10</v>
      </c>
      <c r="J1869" s="666">
        <f>COUNTIF(Elan!$C$13:$F$25,Tablas!E1869)+COUNTIF(Elan!$U$13:$X$25,Tablas!E1869)</f>
        <v>0</v>
      </c>
      <c r="K1869" s="666"/>
      <c r="L1869" s="5563" t="s">
        <v>7037</v>
      </c>
      <c r="M1869" s="5563"/>
      <c r="N1869" s="5563"/>
      <c r="O1869" s="5563"/>
      <c r="P1869" s="5563"/>
      <c r="Q1869" s="5564"/>
      <c r="R1869" s="1094">
        <f>IF(OR($J1869=0,$J1869="Aprendida"),0,SUM($J$1721:$J1869))</f>
        <v>0</v>
      </c>
    </row>
    <row r="1870" spans="1:18" ht="12.75" customHeight="1" x14ac:dyDescent="0.2">
      <c r="A1870" s="242">
        <v>1870</v>
      </c>
      <c r="B1870" s="5664"/>
      <c r="E1870" s="1091" t="s">
        <v>6702</v>
      </c>
      <c r="F1870" s="666"/>
      <c r="G1870" s="666">
        <v>50</v>
      </c>
      <c r="H1870" s="666">
        <v>1</v>
      </c>
      <c r="I1870" s="666">
        <v>10</v>
      </c>
      <c r="J1870" s="666">
        <f>COUNTIF(Elan!$C$13:$F$25,Tablas!E1870)+COUNTIF(Elan!$U$13:$X$25,Tablas!E1870)</f>
        <v>0</v>
      </c>
      <c r="K1870" s="666"/>
      <c r="L1870" s="5563" t="s">
        <v>7039</v>
      </c>
      <c r="M1870" s="5563"/>
      <c r="N1870" s="5563"/>
      <c r="O1870" s="5563"/>
      <c r="P1870" s="5563"/>
      <c r="Q1870" s="5564"/>
      <c r="R1870" s="1094">
        <f>IF(OR($J1870=0,$J1870="Aprendida"),0,SUM($J$1721:$J1870))</f>
        <v>0</v>
      </c>
    </row>
    <row r="1871" spans="1:18" ht="12.75" customHeight="1" x14ac:dyDescent="0.2">
      <c r="A1871" s="242">
        <v>1871</v>
      </c>
      <c r="B1871" s="5664"/>
      <c r="E1871" s="1091" t="s">
        <v>6703</v>
      </c>
      <c r="F1871" s="666"/>
      <c r="G1871" s="666">
        <v>50</v>
      </c>
      <c r="H1871" s="666">
        <v>1</v>
      </c>
      <c r="I1871" s="666">
        <v>15</v>
      </c>
      <c r="J1871" s="666">
        <f>COUNTIF(Elan!$C$13:$F$25,Tablas!E1871)+COUNTIF(Elan!$U$13:$X$25,Tablas!E1871)</f>
        <v>0</v>
      </c>
      <c r="K1871" s="666"/>
      <c r="L1871" s="5563" t="s">
        <v>7041</v>
      </c>
      <c r="M1871" s="5563"/>
      <c r="N1871" s="5563"/>
      <c r="O1871" s="5563"/>
      <c r="P1871" s="5563"/>
      <c r="Q1871" s="5564"/>
      <c r="R1871" s="1094">
        <f>IF(OR($J1871=0,$J1871="Aprendida"),0,SUM($J$1721:$J1871))</f>
        <v>0</v>
      </c>
    </row>
    <row r="1872" spans="1:18" ht="12.75" customHeight="1" x14ac:dyDescent="0.2">
      <c r="A1872" s="242">
        <v>1872</v>
      </c>
      <c r="B1872" s="5664"/>
      <c r="E1872" s="1091" t="s">
        <v>497</v>
      </c>
      <c r="F1872" s="666"/>
      <c r="G1872" s="666">
        <v>60</v>
      </c>
      <c r="H1872" s="666">
        <v>1</v>
      </c>
      <c r="I1872" s="666">
        <v>10</v>
      </c>
      <c r="J1872" s="666">
        <f>COUNTIF(Elan!$C$13:$F$25,Tablas!E1872)+COUNTIF(Elan!$U$13:$X$25,Tablas!E1872)</f>
        <v>0</v>
      </c>
      <c r="K1872" s="666"/>
      <c r="L1872" s="5563" t="s">
        <v>7042</v>
      </c>
      <c r="M1872" s="5563"/>
      <c r="N1872" s="5563"/>
      <c r="O1872" s="5563"/>
      <c r="P1872" s="5563"/>
      <c r="Q1872" s="5564"/>
      <c r="R1872" s="1094">
        <f>IF(OR($J1872=0,$J1872="Aprendida"),0,SUM($J$1721:$J1872))</f>
        <v>0</v>
      </c>
    </row>
    <row r="1873" spans="1:18" ht="12.75" customHeight="1" x14ac:dyDescent="0.2">
      <c r="A1873" s="242">
        <v>1873</v>
      </c>
      <c r="B1873" s="5664"/>
      <c r="E1873" s="1091" t="s">
        <v>6704</v>
      </c>
      <c r="F1873" s="666"/>
      <c r="G1873" s="666">
        <v>70</v>
      </c>
      <c r="H1873" s="666">
        <f>IF(J1870,1,0)</f>
        <v>0</v>
      </c>
      <c r="I1873" s="666">
        <v>15</v>
      </c>
      <c r="J1873" s="666">
        <f>COUNTIF(Elan!$C$13:$F$25,Tablas!E1873)+COUNTIF(Elan!$U$13:$X$25,Tablas!E1873)</f>
        <v>0</v>
      </c>
      <c r="K1873" s="666"/>
      <c r="L1873" s="5563" t="s">
        <v>7043</v>
      </c>
      <c r="M1873" s="5563"/>
      <c r="N1873" s="5563"/>
      <c r="O1873" s="5563"/>
      <c r="P1873" s="5563"/>
      <c r="Q1873" s="5564"/>
      <c r="R1873" s="1094">
        <f>IF(OR($J1873=0,$J1873="Aprendida"),0,SUM($J$1721:$J1873))</f>
        <v>0</v>
      </c>
    </row>
    <row r="1874" spans="1:18" ht="12.75" customHeight="1" x14ac:dyDescent="0.2">
      <c r="A1874" s="242">
        <v>1874</v>
      </c>
      <c r="B1874" s="5664"/>
      <c r="E1874" s="1091" t="s">
        <v>6705</v>
      </c>
      <c r="F1874" s="666"/>
      <c r="G1874" s="666">
        <v>80</v>
      </c>
      <c r="H1874" s="666">
        <v>1</v>
      </c>
      <c r="I1874" s="666">
        <v>15</v>
      </c>
      <c r="J1874" s="666">
        <f>COUNTIF(Elan!$C$13:$F$25,Tablas!E1874)+COUNTIF(Elan!$U$13:$X$25,Tablas!E1874)</f>
        <v>0</v>
      </c>
      <c r="K1874" s="666"/>
      <c r="L1874" s="5563" t="s">
        <v>7044</v>
      </c>
      <c r="M1874" s="5563"/>
      <c r="N1874" s="5563"/>
      <c r="O1874" s="5563"/>
      <c r="P1874" s="5563"/>
      <c r="Q1874" s="5564"/>
      <c r="R1874" s="1094">
        <f>IF(OR($J1874=0,$J1874="Aprendida"),0,SUM($J$1721:$J1874))</f>
        <v>0</v>
      </c>
    </row>
    <row r="1875" spans="1:18" ht="12.75" customHeight="1" x14ac:dyDescent="0.2">
      <c r="A1875" s="242">
        <v>1875</v>
      </c>
      <c r="B1875" s="5664"/>
      <c r="E1875" s="1091" t="s">
        <v>6706</v>
      </c>
      <c r="F1875" s="666"/>
      <c r="G1875" s="666">
        <v>90</v>
      </c>
      <c r="H1875" s="666">
        <v>1</v>
      </c>
      <c r="I1875" s="666">
        <v>15</v>
      </c>
      <c r="J1875" s="666">
        <f>COUNTIF(Elan!$C$13:$F$25,Tablas!E1875)+COUNTIF(Elan!$U$13:$X$25,Tablas!E1875)</f>
        <v>0</v>
      </c>
      <c r="K1875" s="666"/>
      <c r="L1875" s="5563" t="s">
        <v>7045</v>
      </c>
      <c r="M1875" s="5563"/>
      <c r="N1875" s="5563"/>
      <c r="O1875" s="5563"/>
      <c r="P1875" s="5563"/>
      <c r="Q1875" s="5564"/>
      <c r="R1875" s="1094">
        <f>IF(OR($J1875=0,$J1875="Aprendida"),0,SUM($J$1721:$J1875))</f>
        <v>0</v>
      </c>
    </row>
    <row r="1876" spans="1:18" ht="12.75" customHeight="1" x14ac:dyDescent="0.2">
      <c r="A1876" s="242">
        <v>1876</v>
      </c>
      <c r="B1876" s="5664"/>
      <c r="E1876" s="1091" t="s">
        <v>6707</v>
      </c>
      <c r="F1876" s="666"/>
      <c r="G1876" s="666">
        <v>100</v>
      </c>
      <c r="H1876" s="666">
        <f>IF(J1872,1,0)</f>
        <v>0</v>
      </c>
      <c r="I1876" s="666">
        <v>10</v>
      </c>
      <c r="J1876" s="666">
        <f>COUNTIF(Elan!$C$13:$F$25,Tablas!E1876)+COUNTIF(Elan!$U$13:$X$25,Tablas!E1876)</f>
        <v>0</v>
      </c>
      <c r="K1876" s="666"/>
      <c r="L1876" s="5563" t="s">
        <v>7046</v>
      </c>
      <c r="M1876" s="5563"/>
      <c r="N1876" s="5563"/>
      <c r="O1876" s="5563"/>
      <c r="P1876" s="5563"/>
      <c r="Q1876" s="5564"/>
      <c r="R1876" s="1094">
        <f>IF(OR($J1876=0,$J1876="Aprendida"),0,SUM($J$1721:$J1876))</f>
        <v>0</v>
      </c>
    </row>
    <row r="1877" spans="1:18" ht="12.75" customHeight="1" x14ac:dyDescent="0.2">
      <c r="A1877" s="242">
        <v>1877</v>
      </c>
      <c r="B1877" s="5664"/>
      <c r="E1877" s="1090" t="s">
        <v>6570</v>
      </c>
      <c r="F1877" s="1558">
        <f>IF(Elan!$C$11=Tablas!$E1877,Elan!$G$11,IF(Elan!$U$11=Tablas!$E1877,Elan!$Y$11,0))</f>
        <v>0</v>
      </c>
      <c r="G1877" s="1083" t="s">
        <v>1829</v>
      </c>
      <c r="H1877" s="1083" t="s">
        <v>8585</v>
      </c>
      <c r="I1877" s="1083" t="s">
        <v>1498</v>
      </c>
      <c r="J1877" s="1083" t="s">
        <v>6572</v>
      </c>
      <c r="K1877" s="1083" t="s">
        <v>7328</v>
      </c>
      <c r="L1877" s="1083" t="s">
        <v>1558</v>
      </c>
      <c r="M1877" s="667"/>
      <c r="N1877" s="667"/>
      <c r="O1877" s="667"/>
      <c r="P1877" s="667"/>
      <c r="Q1877" s="1088"/>
      <c r="R1877" s="1094">
        <f>IF(OR($J1877=0,$J1877="Aprendida"),0,SUM($J$1721:$J1877))</f>
        <v>0</v>
      </c>
    </row>
    <row r="1878" spans="1:18" ht="12.75" customHeight="1" x14ac:dyDescent="0.2">
      <c r="A1878" s="242">
        <v>1878</v>
      </c>
      <c r="B1878" s="5664"/>
      <c r="E1878" s="1091" t="s">
        <v>6708</v>
      </c>
      <c r="F1878" s="666"/>
      <c r="G1878" s="666">
        <v>10</v>
      </c>
      <c r="H1878" s="666">
        <v>1</v>
      </c>
      <c r="I1878" s="666">
        <v>5</v>
      </c>
      <c r="J1878" s="666">
        <f>COUNTIF(Elan!$C$13:$F$25,Tablas!E1878)+COUNTIF(Elan!$U$13:$X$25,Tablas!E1878)</f>
        <v>0</v>
      </c>
      <c r="K1878" s="666"/>
      <c r="L1878" s="5563" t="s">
        <v>7047</v>
      </c>
      <c r="M1878" s="5563"/>
      <c r="N1878" s="5563"/>
      <c r="O1878" s="5563"/>
      <c r="P1878" s="5563"/>
      <c r="Q1878" s="5564"/>
      <c r="R1878" s="1094">
        <f>IF(OR($J1878=0,$J1878="Aprendida"),0,SUM($J$1721:$J1878))</f>
        <v>0</v>
      </c>
    </row>
    <row r="1879" spans="1:18" ht="12.75" customHeight="1" x14ac:dyDescent="0.2">
      <c r="A1879" s="242">
        <v>1879</v>
      </c>
      <c r="B1879" s="5664"/>
      <c r="E1879" s="1091" t="s">
        <v>6709</v>
      </c>
      <c r="F1879" s="666"/>
      <c r="G1879" s="666">
        <v>20</v>
      </c>
      <c r="H1879" s="666">
        <v>1</v>
      </c>
      <c r="I1879" s="666">
        <v>5</v>
      </c>
      <c r="J1879" s="666">
        <f>COUNTIF(Elan!$C$13:$F$25,Tablas!E1879)+COUNTIF(Elan!$U$13:$X$25,Tablas!E1879)</f>
        <v>0</v>
      </c>
      <c r="K1879" s="666"/>
      <c r="L1879" s="5563" t="s">
        <v>7051</v>
      </c>
      <c r="M1879" s="5563"/>
      <c r="N1879" s="5563"/>
      <c r="O1879" s="5563"/>
      <c r="P1879" s="5563"/>
      <c r="Q1879" s="5564"/>
      <c r="R1879" s="1094">
        <f>IF(OR($J1879=0,$J1879="Aprendida"),0,SUM($J$1721:$J1879))</f>
        <v>0</v>
      </c>
    </row>
    <row r="1880" spans="1:18" ht="12.75" customHeight="1" x14ac:dyDescent="0.2">
      <c r="A1880" s="242">
        <v>1880</v>
      </c>
      <c r="B1880" s="5664"/>
      <c r="E1880" s="1091" t="s">
        <v>6710</v>
      </c>
      <c r="F1880" s="666"/>
      <c r="G1880" s="666">
        <v>30</v>
      </c>
      <c r="H1880" s="666">
        <v>1</v>
      </c>
      <c r="I1880" s="666">
        <v>5</v>
      </c>
      <c r="J1880" s="666">
        <f>COUNTIF(Elan!$C$13:$F$25,Tablas!E1880)+COUNTIF(Elan!$U$13:$X$25,Tablas!E1880)</f>
        <v>0</v>
      </c>
      <c r="K1880" s="666">
        <f>F1877*J1880</f>
        <v>0</v>
      </c>
      <c r="L1880" s="5563" t="s">
        <v>7055</v>
      </c>
      <c r="M1880" s="5563"/>
      <c r="N1880" s="5563"/>
      <c r="O1880" s="5563"/>
      <c r="P1880" s="5563"/>
      <c r="Q1880" s="5564"/>
      <c r="R1880" s="1094">
        <f>IF(OR($J1880=0,$J1880="Aprendida"),0,SUM($J$1721:$J1880))</f>
        <v>0</v>
      </c>
    </row>
    <row r="1881" spans="1:18" ht="12.75" customHeight="1" x14ac:dyDescent="0.2">
      <c r="A1881" s="242">
        <v>1881</v>
      </c>
      <c r="B1881" s="5664"/>
      <c r="E1881" s="1091" t="s">
        <v>6711</v>
      </c>
      <c r="F1881" s="666"/>
      <c r="G1881" s="666">
        <v>40</v>
      </c>
      <c r="H1881" s="666">
        <v>1</v>
      </c>
      <c r="I1881" s="666">
        <v>10</v>
      </c>
      <c r="J1881" s="666">
        <f>COUNTIF(Elan!$C$13:$F$25,Tablas!E1881)+COUNTIF(Elan!$U$13:$X$25,Tablas!E1881)</f>
        <v>0</v>
      </c>
      <c r="K1881" s="666"/>
      <c r="L1881" s="5563" t="s">
        <v>7058</v>
      </c>
      <c r="M1881" s="5563"/>
      <c r="N1881" s="5563"/>
      <c r="O1881" s="5563"/>
      <c r="P1881" s="5563"/>
      <c r="Q1881" s="5564"/>
      <c r="R1881" s="1094">
        <f>IF(OR($J1881=0,$J1881="Aprendida"),0,SUM($J$1721:$J1881))</f>
        <v>0</v>
      </c>
    </row>
    <row r="1882" spans="1:18" ht="12.75" customHeight="1" x14ac:dyDescent="0.2">
      <c r="A1882" s="242">
        <v>1882</v>
      </c>
      <c r="B1882" s="5664"/>
      <c r="E1882" s="1091" t="s">
        <v>8586</v>
      </c>
      <c r="F1882" s="666"/>
      <c r="G1882" s="666">
        <v>50</v>
      </c>
      <c r="H1882" s="666">
        <v>1</v>
      </c>
      <c r="I1882" s="666">
        <v>10</v>
      </c>
      <c r="J1882" s="666">
        <f>COUNTIF(Elan!$C$13:$F$25,Tablas!E1882)+COUNTIF(Elan!$U$13:$X$25,Tablas!E1882)</f>
        <v>0</v>
      </c>
      <c r="K1882" s="666"/>
      <c r="L1882" s="5563" t="s">
        <v>7061</v>
      </c>
      <c r="M1882" s="5563"/>
      <c r="N1882" s="5563"/>
      <c r="O1882" s="5563"/>
      <c r="P1882" s="5563"/>
      <c r="Q1882" s="5564"/>
      <c r="R1882" s="1094">
        <f>IF(OR($J1882=0,$J1882="Aprendida"),0,SUM($J$1721:$J1882))</f>
        <v>0</v>
      </c>
    </row>
    <row r="1883" spans="1:18" ht="12.75" customHeight="1" x14ac:dyDescent="0.2">
      <c r="A1883" s="242">
        <v>1883</v>
      </c>
      <c r="B1883" s="5664"/>
      <c r="E1883" s="1091" t="s">
        <v>6712</v>
      </c>
      <c r="F1883" s="666"/>
      <c r="G1883" s="666">
        <v>60</v>
      </c>
      <c r="H1883" s="666">
        <v>1</v>
      </c>
      <c r="I1883" s="666">
        <v>10</v>
      </c>
      <c r="J1883" s="666">
        <f>COUNTIF(Elan!$C$13:$F$25,Tablas!E1883)+COUNTIF(Elan!$U$13:$X$25,Tablas!E1883)</f>
        <v>0</v>
      </c>
      <c r="K1883" s="666"/>
      <c r="L1883" s="5563" t="s">
        <v>7063</v>
      </c>
      <c r="M1883" s="5563"/>
      <c r="N1883" s="5563"/>
      <c r="O1883" s="5563"/>
      <c r="P1883" s="5563"/>
      <c r="Q1883" s="5564"/>
      <c r="R1883" s="1094">
        <f>IF(OR($J1883=0,$J1883="Aprendida"),0,SUM($J$1721:$J1883))</f>
        <v>0</v>
      </c>
    </row>
    <row r="1884" spans="1:18" ht="12.75" customHeight="1" x14ac:dyDescent="0.2">
      <c r="A1884" s="242">
        <v>1884</v>
      </c>
      <c r="B1884" s="5664"/>
      <c r="E1884" s="1091" t="s">
        <v>6713</v>
      </c>
      <c r="F1884" s="666"/>
      <c r="G1884" s="666">
        <v>60</v>
      </c>
      <c r="H1884" s="666">
        <v>1</v>
      </c>
      <c r="I1884" s="666">
        <v>15</v>
      </c>
      <c r="J1884" s="666">
        <f>COUNTIF(Elan!$C$13:$F$25,Tablas!E1884)+COUNTIF(Elan!$U$13:$X$25,Tablas!E1884)</f>
        <v>0</v>
      </c>
      <c r="K1884" s="666"/>
      <c r="L1884" s="5563" t="s">
        <v>7064</v>
      </c>
      <c r="M1884" s="5563"/>
      <c r="N1884" s="5563"/>
      <c r="O1884" s="5563"/>
      <c r="P1884" s="5563"/>
      <c r="Q1884" s="5564"/>
      <c r="R1884" s="1094">
        <f>IF(OR($J1884=0,$J1884="Aprendida"),0,SUM($J$1721:$J1884))</f>
        <v>0</v>
      </c>
    </row>
    <row r="1885" spans="1:18" ht="12.75" customHeight="1" x14ac:dyDescent="0.2">
      <c r="A1885" s="242">
        <v>1885</v>
      </c>
      <c r="B1885" s="5664"/>
      <c r="E1885" s="1091" t="s">
        <v>6714</v>
      </c>
      <c r="F1885" s="666"/>
      <c r="G1885" s="666">
        <v>70</v>
      </c>
      <c r="H1885" s="666">
        <f>IF(J1883,1,0)</f>
        <v>0</v>
      </c>
      <c r="I1885" s="666">
        <v>15</v>
      </c>
      <c r="J1885" s="666">
        <f>COUNTIF(Elan!$C$13:$F$25,Tablas!E1885)+COUNTIF(Elan!$U$13:$X$25,Tablas!E1885)</f>
        <v>0</v>
      </c>
      <c r="K1885" s="666"/>
      <c r="L1885" s="5563" t="s">
        <v>7065</v>
      </c>
      <c r="M1885" s="5563"/>
      <c r="N1885" s="5563"/>
      <c r="O1885" s="5563"/>
      <c r="P1885" s="5563"/>
      <c r="Q1885" s="5564"/>
      <c r="R1885" s="1094">
        <f>IF(OR($J1885=0,$J1885="Aprendida"),0,SUM($J$1721:$J1885))</f>
        <v>0</v>
      </c>
    </row>
    <row r="1886" spans="1:18" ht="12.75" customHeight="1" x14ac:dyDescent="0.2">
      <c r="A1886" s="242">
        <v>1886</v>
      </c>
      <c r="B1886" s="5664"/>
      <c r="E1886" s="1091" t="s">
        <v>6715</v>
      </c>
      <c r="F1886" s="666"/>
      <c r="G1886" s="666">
        <v>80</v>
      </c>
      <c r="H1886" s="666">
        <v>1</v>
      </c>
      <c r="I1886" s="666">
        <v>15</v>
      </c>
      <c r="J1886" s="666">
        <f>COUNTIF(Elan!$C$13:$F$25,Tablas!E1886)+COUNTIF(Elan!$U$13:$X$25,Tablas!E1886)</f>
        <v>0</v>
      </c>
      <c r="K1886" s="666"/>
      <c r="L1886" s="5563" t="s">
        <v>7066</v>
      </c>
      <c r="M1886" s="5563"/>
      <c r="N1886" s="5563"/>
      <c r="O1886" s="5563"/>
      <c r="P1886" s="5563"/>
      <c r="Q1886" s="5564"/>
      <c r="R1886" s="1094">
        <f>IF(OR($J1886=0,$J1886="Aprendida"),0,SUM($J$1721:$J1886))</f>
        <v>0</v>
      </c>
    </row>
    <row r="1887" spans="1:18" ht="12.75" customHeight="1" x14ac:dyDescent="0.2">
      <c r="A1887" s="242">
        <v>1887</v>
      </c>
      <c r="B1887" s="5664"/>
      <c r="E1887" s="1091" t="s">
        <v>6716</v>
      </c>
      <c r="F1887" s="666"/>
      <c r="G1887" s="666">
        <v>90</v>
      </c>
      <c r="H1887" s="666">
        <v>1</v>
      </c>
      <c r="I1887" s="666">
        <v>25</v>
      </c>
      <c r="J1887" s="666">
        <f>COUNTIF(Elan!$C$13:$F$25,Tablas!E1887)+COUNTIF(Elan!$U$13:$X$25,Tablas!E1887)</f>
        <v>0</v>
      </c>
      <c r="K1887" s="666"/>
      <c r="L1887" s="5563" t="s">
        <v>7067</v>
      </c>
      <c r="M1887" s="5563"/>
      <c r="N1887" s="5563"/>
      <c r="O1887" s="5563"/>
      <c r="P1887" s="5563"/>
      <c r="Q1887" s="5564"/>
      <c r="R1887" s="1094">
        <f>IF(OR($J1887=0,$J1887="Aprendida"),0,SUM($J$1721:$J1887))</f>
        <v>0</v>
      </c>
    </row>
    <row r="1888" spans="1:18" ht="12.75" customHeight="1" x14ac:dyDescent="0.2">
      <c r="A1888" s="242">
        <v>1888</v>
      </c>
      <c r="B1888" s="5664"/>
      <c r="E1888" s="1091" t="s">
        <v>6717</v>
      </c>
      <c r="F1888" s="666"/>
      <c r="G1888" s="666">
        <v>100</v>
      </c>
      <c r="H1888" s="666">
        <v>1</v>
      </c>
      <c r="I1888" s="666">
        <v>10</v>
      </c>
      <c r="J1888" s="666">
        <f>COUNTIF(Elan!$C$13:$F$25,Tablas!E1888)+COUNTIF(Elan!$U$13:$X$25,Tablas!E1888)</f>
        <v>0</v>
      </c>
      <c r="K1888" s="666"/>
      <c r="L1888" s="5563" t="s">
        <v>7068</v>
      </c>
      <c r="M1888" s="5563"/>
      <c r="N1888" s="5563"/>
      <c r="O1888" s="5563"/>
      <c r="P1888" s="5563"/>
      <c r="Q1888" s="5564"/>
      <c r="R1888" s="1094">
        <f>IF(OR($J1888=0,$J1888="Aprendida"),0,SUM($J$1721:$J1888))</f>
        <v>0</v>
      </c>
    </row>
    <row r="1889" spans="1:18" ht="12.75" customHeight="1" x14ac:dyDescent="0.2">
      <c r="A1889" s="242">
        <v>1889</v>
      </c>
      <c r="B1889" s="5664"/>
      <c r="E1889" s="1097" t="s">
        <v>6571</v>
      </c>
      <c r="F1889" s="1558">
        <f>IF(Elan!$C$11=Tablas!$E1889,Elan!$G$11,IF(Elan!$U$11=Tablas!$E1889,Elan!$Y$11,0))</f>
        <v>0</v>
      </c>
      <c r="G1889" s="1083" t="s">
        <v>1829</v>
      </c>
      <c r="H1889" s="1083" t="s">
        <v>8585</v>
      </c>
      <c r="I1889" s="1083" t="s">
        <v>1498</v>
      </c>
      <c r="J1889" s="1083" t="s">
        <v>6572</v>
      </c>
      <c r="K1889" s="1083" t="s">
        <v>7328</v>
      </c>
      <c r="L1889" s="1083" t="s">
        <v>1558</v>
      </c>
      <c r="M1889" s="667"/>
      <c r="N1889" s="667"/>
      <c r="O1889" s="667"/>
      <c r="P1889" s="667"/>
      <c r="Q1889" s="1088"/>
      <c r="R1889" s="1094">
        <f>IF(OR($J1889=0,$J1889="Aprendida"),0,SUM($J$1721:$J1889))</f>
        <v>0</v>
      </c>
    </row>
    <row r="1890" spans="1:18" ht="12.75" customHeight="1" x14ac:dyDescent="0.2">
      <c r="A1890" s="242">
        <v>1890</v>
      </c>
      <c r="B1890" s="5664"/>
      <c r="E1890" s="1091" t="s">
        <v>6718</v>
      </c>
      <c r="F1890" s="666"/>
      <c r="G1890" s="666">
        <v>10</v>
      </c>
      <c r="H1890" s="666">
        <v>1</v>
      </c>
      <c r="I1890" s="666">
        <v>5</v>
      </c>
      <c r="J1890" s="666">
        <f>COUNTIF(Elan!$C$13:$F$25,Tablas!E1890)+COUNTIF(Elan!$U$13:$X$25,Tablas!E1890)</f>
        <v>0</v>
      </c>
      <c r="K1890" s="666">
        <f>F1889*J1890</f>
        <v>0</v>
      </c>
      <c r="L1890" s="5563" t="s">
        <v>7069</v>
      </c>
      <c r="M1890" s="5563"/>
      <c r="N1890" s="5563"/>
      <c r="O1890" s="5563"/>
      <c r="P1890" s="5563"/>
      <c r="Q1890" s="5564"/>
      <c r="R1890" s="1094">
        <f>IF(OR($J1890=0,$J1890="Aprendida"),0,SUM($J$1721:$J1890))</f>
        <v>0</v>
      </c>
    </row>
    <row r="1891" spans="1:18" ht="12.75" customHeight="1" x14ac:dyDescent="0.2">
      <c r="A1891" s="242">
        <v>1891</v>
      </c>
      <c r="B1891" s="5664"/>
      <c r="E1891" s="1091" t="s">
        <v>6719</v>
      </c>
      <c r="F1891" s="666"/>
      <c r="G1891" s="666">
        <v>20</v>
      </c>
      <c r="H1891" s="666">
        <v>1</v>
      </c>
      <c r="I1891" s="666">
        <v>5</v>
      </c>
      <c r="J1891" s="666">
        <f>COUNTIF(Elan!$C$13:$F$25,Tablas!E1891)+COUNTIF(Elan!$U$13:$X$25,Tablas!E1891)</f>
        <v>0</v>
      </c>
      <c r="K1891" s="666"/>
      <c r="L1891" s="5563" t="s">
        <v>7073</v>
      </c>
      <c r="M1891" s="5563"/>
      <c r="N1891" s="5563"/>
      <c r="O1891" s="5563"/>
      <c r="P1891" s="5563"/>
      <c r="Q1891" s="5564"/>
      <c r="R1891" s="1094">
        <f>IF(OR($J1891=0,$J1891="Aprendida"),0,SUM($J$1721:$J1891))</f>
        <v>0</v>
      </c>
    </row>
    <row r="1892" spans="1:18" ht="12.75" customHeight="1" x14ac:dyDescent="0.2">
      <c r="A1892" s="242">
        <v>1892</v>
      </c>
      <c r="B1892" s="5664"/>
      <c r="E1892" s="1091" t="s">
        <v>6720</v>
      </c>
      <c r="F1892" s="666"/>
      <c r="G1892" s="666">
        <v>30</v>
      </c>
      <c r="H1892" s="666">
        <v>1</v>
      </c>
      <c r="I1892" s="666">
        <v>10</v>
      </c>
      <c r="J1892" s="666">
        <f>COUNTIF(Elan!$C$13:$F$25,Tablas!E1892)+COUNTIF(Elan!$U$13:$X$25,Tablas!E1892)</f>
        <v>0</v>
      </c>
      <c r="K1892" s="666"/>
      <c r="L1892" s="5563" t="s">
        <v>7077</v>
      </c>
      <c r="M1892" s="5563"/>
      <c r="N1892" s="5563"/>
      <c r="O1892" s="5563"/>
      <c r="P1892" s="5563"/>
      <c r="Q1892" s="5564"/>
      <c r="R1892" s="1094">
        <f>IF(OR($J1892=0,$J1892="Aprendida"),0,SUM($J$1721:$J1892))</f>
        <v>0</v>
      </c>
    </row>
    <row r="1893" spans="1:18" ht="12.75" customHeight="1" x14ac:dyDescent="0.2">
      <c r="A1893" s="242">
        <v>1893</v>
      </c>
      <c r="B1893" s="5664"/>
      <c r="E1893" s="1091" t="s">
        <v>6721</v>
      </c>
      <c r="F1893" s="666"/>
      <c r="G1893" s="666">
        <v>30</v>
      </c>
      <c r="H1893" s="666">
        <v>1</v>
      </c>
      <c r="I1893" s="666">
        <v>5</v>
      </c>
      <c r="J1893" s="666">
        <f>COUNTIF(Elan!$C$13:$F$25,Tablas!E1893)+COUNTIF(Elan!$U$13:$X$25,Tablas!E1893)</f>
        <v>0</v>
      </c>
      <c r="K1893" s="666"/>
      <c r="L1893" s="5563" t="s">
        <v>7079</v>
      </c>
      <c r="M1893" s="5563"/>
      <c r="N1893" s="5563"/>
      <c r="O1893" s="5563"/>
      <c r="P1893" s="5563"/>
      <c r="Q1893" s="5564"/>
      <c r="R1893" s="1094">
        <f>IF(OR($J1893=0,$J1893="Aprendida"),0,SUM($J$1721:$J1893))</f>
        <v>0</v>
      </c>
    </row>
    <row r="1894" spans="1:18" ht="12.75" customHeight="1" x14ac:dyDescent="0.2">
      <c r="A1894" s="242">
        <v>1894</v>
      </c>
      <c r="B1894" s="5664"/>
      <c r="E1894" s="1091" t="s">
        <v>6722</v>
      </c>
      <c r="F1894" s="666"/>
      <c r="G1894" s="666">
        <v>40</v>
      </c>
      <c r="H1894" s="666">
        <v>1</v>
      </c>
      <c r="I1894" s="666">
        <v>10</v>
      </c>
      <c r="J1894" s="666">
        <f>COUNTIF(Elan!$C$13:$F$25,Tablas!E1894)+COUNTIF(Elan!$U$13:$X$25,Tablas!E1894)</f>
        <v>0</v>
      </c>
      <c r="K1894" s="666"/>
      <c r="L1894" s="5563" t="s">
        <v>7080</v>
      </c>
      <c r="M1894" s="5563"/>
      <c r="N1894" s="5563"/>
      <c r="O1894" s="5563"/>
      <c r="P1894" s="5563"/>
      <c r="Q1894" s="5564"/>
      <c r="R1894" s="1094">
        <f>IF(OR($J1894=0,$J1894="Aprendida"),0,SUM($J$1721:$J1894))</f>
        <v>0</v>
      </c>
    </row>
    <row r="1895" spans="1:18" ht="12.75" customHeight="1" x14ac:dyDescent="0.2">
      <c r="A1895" s="242">
        <v>1895</v>
      </c>
      <c r="B1895" s="5664"/>
      <c r="E1895" s="1091" t="s">
        <v>6723</v>
      </c>
      <c r="F1895" s="666"/>
      <c r="G1895" s="666">
        <v>40</v>
      </c>
      <c r="H1895" s="666">
        <v>1</v>
      </c>
      <c r="I1895" s="666">
        <v>10</v>
      </c>
      <c r="J1895" s="666">
        <f>COUNTIF(Elan!$C$13:$F$25,Tablas!E1895)+COUNTIF(Elan!$U$13:$X$25,Tablas!E1895)</f>
        <v>0</v>
      </c>
      <c r="K1895" s="666"/>
      <c r="L1895" s="5563" t="s">
        <v>7081</v>
      </c>
      <c r="M1895" s="5563"/>
      <c r="N1895" s="5563"/>
      <c r="O1895" s="5563"/>
      <c r="P1895" s="5563"/>
      <c r="Q1895" s="5564"/>
      <c r="R1895" s="1094">
        <f>IF(OR($J1895=0,$J1895="Aprendida"),0,SUM($J$1721:$J1895))</f>
        <v>0</v>
      </c>
    </row>
    <row r="1896" spans="1:18" ht="12.75" customHeight="1" x14ac:dyDescent="0.2">
      <c r="A1896" s="242">
        <v>1896</v>
      </c>
      <c r="B1896" s="5664"/>
      <c r="E1896" s="1091" t="s">
        <v>6724</v>
      </c>
      <c r="F1896" s="666"/>
      <c r="G1896" s="666">
        <v>50</v>
      </c>
      <c r="H1896" s="666">
        <v>1</v>
      </c>
      <c r="I1896" s="666">
        <v>10</v>
      </c>
      <c r="J1896" s="666">
        <f>COUNTIF(Elan!$C$13:$F$25,Tablas!E1896)+COUNTIF(Elan!$U$13:$X$25,Tablas!E1896)</f>
        <v>0</v>
      </c>
      <c r="K1896" s="666"/>
      <c r="L1896" s="5563" t="s">
        <v>7082</v>
      </c>
      <c r="M1896" s="5563"/>
      <c r="N1896" s="5563"/>
      <c r="O1896" s="5563"/>
      <c r="P1896" s="5563"/>
      <c r="Q1896" s="5564"/>
      <c r="R1896" s="1094">
        <f>IF(OR($J1896=0,$J1896="Aprendida"),0,SUM($J$1721:$J1896))</f>
        <v>0</v>
      </c>
    </row>
    <row r="1897" spans="1:18" ht="12.75" customHeight="1" x14ac:dyDescent="0.2">
      <c r="A1897" s="242">
        <v>1897</v>
      </c>
      <c r="B1897" s="5664"/>
      <c r="E1897" s="1091" t="s">
        <v>6725</v>
      </c>
      <c r="F1897" s="666"/>
      <c r="G1897" s="666">
        <v>60</v>
      </c>
      <c r="H1897" s="666">
        <v>1</v>
      </c>
      <c r="I1897" s="666">
        <v>10</v>
      </c>
      <c r="J1897" s="666">
        <f>COUNTIF(Elan!$C$13:$F$25,Tablas!E1897)+COUNTIF(Elan!$U$13:$X$25,Tablas!E1897)</f>
        <v>0</v>
      </c>
      <c r="K1897" s="666"/>
      <c r="L1897" s="5563" t="s">
        <v>7083</v>
      </c>
      <c r="M1897" s="5563"/>
      <c r="N1897" s="5563"/>
      <c r="O1897" s="5563"/>
      <c r="P1897" s="5563"/>
      <c r="Q1897" s="5564"/>
      <c r="R1897" s="1094">
        <f>IF(OR($J1897=0,$J1897="Aprendida"),0,SUM($J$1721:$J1897))</f>
        <v>0</v>
      </c>
    </row>
    <row r="1898" spans="1:18" ht="12.75" customHeight="1" x14ac:dyDescent="0.2">
      <c r="A1898" s="242">
        <v>1898</v>
      </c>
      <c r="B1898" s="5664"/>
      <c r="E1898" s="1091" t="s">
        <v>6726</v>
      </c>
      <c r="F1898" s="666"/>
      <c r="G1898" s="666">
        <v>60</v>
      </c>
      <c r="H1898" s="666">
        <f>IF(J1894,1,0)</f>
        <v>0</v>
      </c>
      <c r="I1898" s="666">
        <v>15</v>
      </c>
      <c r="J1898" s="666">
        <f>COUNTIF(Elan!$C$13:$F$25,Tablas!E1898)+COUNTIF(Elan!$U$13:$X$25,Tablas!E1898)</f>
        <v>0</v>
      </c>
      <c r="K1898" s="666"/>
      <c r="L1898" s="5563" t="s">
        <v>7084</v>
      </c>
      <c r="M1898" s="5563"/>
      <c r="N1898" s="5563"/>
      <c r="O1898" s="5563"/>
      <c r="P1898" s="5563"/>
      <c r="Q1898" s="5564"/>
      <c r="R1898" s="1094">
        <f>IF(OR($J1898=0,$J1898="Aprendida"),0,SUM($J$1721:$J1898))</f>
        <v>0</v>
      </c>
    </row>
    <row r="1899" spans="1:18" ht="12.75" customHeight="1" x14ac:dyDescent="0.2">
      <c r="A1899" s="242">
        <v>1899</v>
      </c>
      <c r="B1899" s="5664"/>
      <c r="E1899" s="1091" t="s">
        <v>6727</v>
      </c>
      <c r="F1899" s="666"/>
      <c r="G1899" s="666">
        <v>70</v>
      </c>
      <c r="H1899" s="666">
        <v>1</v>
      </c>
      <c r="I1899" s="666">
        <v>10</v>
      </c>
      <c r="J1899" s="666">
        <f>COUNTIF(Elan!$C$13:$F$25,Tablas!E1899)+COUNTIF(Elan!$U$13:$X$25,Tablas!E1899)</f>
        <v>0</v>
      </c>
      <c r="K1899" s="666"/>
      <c r="L1899" s="5563" t="s">
        <v>7085</v>
      </c>
      <c r="M1899" s="5563"/>
      <c r="N1899" s="5563"/>
      <c r="O1899" s="5563"/>
      <c r="P1899" s="5563"/>
      <c r="Q1899" s="5564"/>
      <c r="R1899" s="1094">
        <f>IF(OR($J1899=0,$J1899="Aprendida"),0,SUM($J$1721:$J1899))</f>
        <v>0</v>
      </c>
    </row>
    <row r="1900" spans="1:18" ht="12.75" customHeight="1" x14ac:dyDescent="0.2">
      <c r="A1900" s="242">
        <v>1900</v>
      </c>
      <c r="B1900" s="5664"/>
      <c r="E1900" s="1091" t="s">
        <v>6728</v>
      </c>
      <c r="F1900" s="666"/>
      <c r="G1900" s="666">
        <v>80</v>
      </c>
      <c r="H1900" s="666">
        <f>IF(J1897,1,0)</f>
        <v>0</v>
      </c>
      <c r="I1900" s="666">
        <v>10</v>
      </c>
      <c r="J1900" s="666">
        <f>COUNTIF(Elan!$C$13:$F$25,Tablas!E1900)+COUNTIF(Elan!$U$13:$X$25,Tablas!E1900)</f>
        <v>0</v>
      </c>
      <c r="K1900" s="666"/>
      <c r="L1900" s="5563" t="s">
        <v>7086</v>
      </c>
      <c r="M1900" s="5563"/>
      <c r="N1900" s="5563"/>
      <c r="O1900" s="5563"/>
      <c r="P1900" s="5563"/>
      <c r="Q1900" s="5564"/>
      <c r="R1900" s="1094">
        <f>IF(OR($J1900=0,$J1900="Aprendida"),0,SUM($J$1721:$J1900))</f>
        <v>0</v>
      </c>
    </row>
    <row r="1901" spans="1:18" ht="12.75" customHeight="1" x14ac:dyDescent="0.2">
      <c r="A1901" s="242">
        <v>1901</v>
      </c>
      <c r="B1901" s="5664"/>
      <c r="E1901" s="1091" t="s">
        <v>6729</v>
      </c>
      <c r="F1901" s="666"/>
      <c r="G1901" s="666">
        <v>90</v>
      </c>
      <c r="H1901" s="666">
        <v>1</v>
      </c>
      <c r="I1901" s="666">
        <v>15</v>
      </c>
      <c r="J1901" s="666">
        <f>COUNTIF(Elan!$C$13:$F$25,Tablas!E1901)+COUNTIF(Elan!$U$13:$X$25,Tablas!E1901)</f>
        <v>0</v>
      </c>
      <c r="K1901" s="666"/>
      <c r="L1901" s="5563" t="s">
        <v>7087</v>
      </c>
      <c r="M1901" s="5563"/>
      <c r="N1901" s="5563"/>
      <c r="O1901" s="5563"/>
      <c r="P1901" s="5563"/>
      <c r="Q1901" s="5564"/>
      <c r="R1901" s="1094">
        <f>IF(OR($J1901=0,$J1901="Aprendida"),0,SUM($J$1721:$J1901))</f>
        <v>0</v>
      </c>
    </row>
    <row r="1902" spans="1:18" ht="12.75" customHeight="1" thickBot="1" x14ac:dyDescent="0.25">
      <c r="A1902" s="242">
        <v>1902</v>
      </c>
      <c r="B1902" s="5664"/>
      <c r="E1902" s="1091" t="s">
        <v>6730</v>
      </c>
      <c r="F1902" s="669"/>
      <c r="G1902" s="669">
        <v>100</v>
      </c>
      <c r="H1902" s="669">
        <f>IF(J1896,1,0)</f>
        <v>0</v>
      </c>
      <c r="I1902" s="669">
        <v>10</v>
      </c>
      <c r="J1902" s="669">
        <f>COUNTIF(Elan!$C$13:$F$25,Tablas!E1902)+COUNTIF(Elan!$U$13:$X$25,Tablas!E1902)</f>
        <v>0</v>
      </c>
      <c r="K1902" s="669"/>
      <c r="L1902" s="5563" t="s">
        <v>7088</v>
      </c>
      <c r="M1902" s="5563"/>
      <c r="N1902" s="5563"/>
      <c r="O1902" s="5563"/>
      <c r="P1902" s="5563"/>
      <c r="Q1902" s="5564"/>
      <c r="R1902" s="1094">
        <f>IF(OR($J1902=0,$J1902="Aprendida"),0,SUM($J$1721:$J1902))</f>
        <v>0</v>
      </c>
    </row>
    <row r="1903" spans="1:18" ht="12.75" customHeight="1" x14ac:dyDescent="0.2">
      <c r="A1903" s="242">
        <v>1903</v>
      </c>
      <c r="B1903" s="5664"/>
      <c r="E1903" s="1092" t="str">
        <f>IF(Personalización!$F$81=0,"ElanPersonalizado",Personalización!$F$81)</f>
        <v>ElanPersonalizado</v>
      </c>
      <c r="F1903" s="1558">
        <f>IF(Elan!$C$11=Tablas!$E1903,Elan!$G$11,IF(Elan!$U$11=Tablas!$E1903,Elan!$Y$11,0))</f>
        <v>0</v>
      </c>
      <c r="G1903" s="1083" t="s">
        <v>1829</v>
      </c>
      <c r="H1903" s="1083" t="s">
        <v>8585</v>
      </c>
      <c r="I1903" s="1083" t="s">
        <v>1498</v>
      </c>
      <c r="J1903" s="1083" t="s">
        <v>6572</v>
      </c>
      <c r="K1903" s="1083" t="s">
        <v>7328</v>
      </c>
      <c r="L1903" s="1083" t="s">
        <v>1558</v>
      </c>
      <c r="M1903" s="667"/>
      <c r="N1903" s="667"/>
      <c r="O1903" s="667"/>
      <c r="P1903" s="667"/>
      <c r="Q1903" s="1088"/>
      <c r="R1903" s="1094">
        <f>IF(OR($J1903=0,$J1903="Aprendida"),0,SUM($J$1721:$J1903))</f>
        <v>0</v>
      </c>
    </row>
    <row r="1904" spans="1:18" ht="12.75" customHeight="1" x14ac:dyDescent="0.2">
      <c r="A1904" s="242">
        <v>1904</v>
      </c>
      <c r="B1904" s="5664"/>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63">
        <f>IF(E1904="Poder no definido",0,VLOOKUP(E1904,Personalización!$D$83:$Q$98,6,FALSE))</f>
        <v>0</v>
      </c>
      <c r="M1904" s="5563"/>
      <c r="N1904" s="5563"/>
      <c r="O1904" s="5563"/>
      <c r="P1904" s="5563"/>
      <c r="Q1904" s="5564"/>
      <c r="R1904" s="1094">
        <f>IF(OR($J1904=0,$J1904="Aprendida"),0,SUM($J$1721:$J1904))</f>
        <v>0</v>
      </c>
    </row>
    <row r="1905" spans="1:18" ht="12.75" customHeight="1" x14ac:dyDescent="0.2">
      <c r="A1905" s="242">
        <v>1905</v>
      </c>
      <c r="B1905" s="5664"/>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63">
        <f>IF(E1905="Poder no definido",0,VLOOKUP(E1905,Personalización!$D$83:$Q$98,6,FALSE))</f>
        <v>0</v>
      </c>
      <c r="M1905" s="5563"/>
      <c r="N1905" s="5563"/>
      <c r="O1905" s="5563"/>
      <c r="P1905" s="5563"/>
      <c r="Q1905" s="5564"/>
      <c r="R1905" s="1094">
        <f>IF(OR($J1905=0,$J1905="Aprendida"),0,SUM($J$1721:$J1905))</f>
        <v>0</v>
      </c>
    </row>
    <row r="1906" spans="1:18" ht="12.75" customHeight="1" x14ac:dyDescent="0.2">
      <c r="A1906" s="242">
        <v>1906</v>
      </c>
      <c r="B1906" s="5664"/>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63">
        <f>IF(E1906="Poder no definido",0,VLOOKUP(E1906,Personalización!$D$83:$Q$98,6,FALSE))</f>
        <v>0</v>
      </c>
      <c r="M1906" s="5563"/>
      <c r="N1906" s="5563"/>
      <c r="O1906" s="5563"/>
      <c r="P1906" s="5563"/>
      <c r="Q1906" s="5564"/>
      <c r="R1906" s="1094">
        <f>IF(OR($J1906=0,$J1906="Aprendida"),0,SUM($J$1721:$J1906))</f>
        <v>0</v>
      </c>
    </row>
    <row r="1907" spans="1:18" ht="12.75" customHeight="1" x14ac:dyDescent="0.2">
      <c r="A1907" s="242">
        <v>1907</v>
      </c>
      <c r="B1907" s="5664"/>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63">
        <f>IF(E1907="Poder no definido",0,VLOOKUP(E1907,Personalización!$D$83:$Q$98,6,FALSE))</f>
        <v>0</v>
      </c>
      <c r="M1907" s="5563"/>
      <c r="N1907" s="5563"/>
      <c r="O1907" s="5563"/>
      <c r="P1907" s="5563"/>
      <c r="Q1907" s="5564"/>
      <c r="R1907" s="1094">
        <f>IF(OR($J1907=0,$J1907="Aprendida"),0,SUM($J$1721:$J1907))</f>
        <v>0</v>
      </c>
    </row>
    <row r="1908" spans="1:18" ht="12.75" customHeight="1" x14ac:dyDescent="0.2">
      <c r="A1908" s="242">
        <v>1908</v>
      </c>
      <c r="B1908" s="5664"/>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63">
        <f>IF(E1908="Poder no definido",0,VLOOKUP(E1908,Personalización!$D$83:$Q$98,6,FALSE))</f>
        <v>0</v>
      </c>
      <c r="M1908" s="5563"/>
      <c r="N1908" s="5563"/>
      <c r="O1908" s="5563"/>
      <c r="P1908" s="5563"/>
      <c r="Q1908" s="5564"/>
      <c r="R1908" s="1094">
        <f>IF(OR($J1908=0,$J1908="Aprendida"),0,SUM($J$1721:$J1908))</f>
        <v>0</v>
      </c>
    </row>
    <row r="1909" spans="1:18" ht="12.75" customHeight="1" x14ac:dyDescent="0.2">
      <c r="A1909" s="242">
        <v>1909</v>
      </c>
      <c r="B1909" s="5664"/>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63">
        <f>IF(E1909="Poder no definido",0,VLOOKUP(E1909,Personalización!$D$83:$Q$98,6,FALSE))</f>
        <v>0</v>
      </c>
      <c r="M1909" s="5563"/>
      <c r="N1909" s="5563"/>
      <c r="O1909" s="5563"/>
      <c r="P1909" s="5563"/>
      <c r="Q1909" s="5564"/>
      <c r="R1909" s="1094">
        <f>IF(OR($J1909=0,$J1909="Aprendida"),0,SUM($J$1721:$J1909))</f>
        <v>0</v>
      </c>
    </row>
    <row r="1910" spans="1:18" ht="12.75" customHeight="1" x14ac:dyDescent="0.2">
      <c r="A1910" s="242">
        <v>1910</v>
      </c>
      <c r="B1910" s="5664"/>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63">
        <f>IF(E1910="Poder no definido",0,VLOOKUP(E1910,Personalización!$D$83:$Q$98,6,FALSE))</f>
        <v>0</v>
      </c>
      <c r="M1910" s="5563"/>
      <c r="N1910" s="5563"/>
      <c r="O1910" s="5563"/>
      <c r="P1910" s="5563"/>
      <c r="Q1910" s="5564"/>
      <c r="R1910" s="1094">
        <f>IF(OR($J1910=0,$J1910="Aprendida"),0,SUM($J$1721:$J1910))</f>
        <v>0</v>
      </c>
    </row>
    <row r="1911" spans="1:18" ht="12.75" customHeight="1" x14ac:dyDescent="0.2">
      <c r="A1911" s="242">
        <v>1911</v>
      </c>
      <c r="B1911" s="5664"/>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63">
        <f>IF(E1911="Poder no definido",0,VLOOKUP(E1911,Personalización!$D$83:$Q$98,6,FALSE))</f>
        <v>0</v>
      </c>
      <c r="M1911" s="5563"/>
      <c r="N1911" s="5563"/>
      <c r="O1911" s="5563"/>
      <c r="P1911" s="5563"/>
      <c r="Q1911" s="5564"/>
      <c r="R1911" s="1094">
        <f>IF(OR($J1911=0,$J1911="Aprendida"),0,SUM($J$1721:$J1911))</f>
        <v>0</v>
      </c>
    </row>
    <row r="1912" spans="1:18" ht="12.75" customHeight="1" x14ac:dyDescent="0.2">
      <c r="A1912" s="242">
        <v>1912</v>
      </c>
      <c r="B1912" s="5664"/>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63">
        <f>IF(E1912="Poder no definido",0,VLOOKUP(E1912,Personalización!$D$83:$Q$98,6,FALSE))</f>
        <v>0</v>
      </c>
      <c r="M1912" s="5563"/>
      <c r="N1912" s="5563"/>
      <c r="O1912" s="5563"/>
      <c r="P1912" s="5563"/>
      <c r="Q1912" s="5564"/>
      <c r="R1912" s="1094">
        <f>IF(OR($J1912=0,$J1912="Aprendida"),0,SUM($J$1721:$J1912))</f>
        <v>0</v>
      </c>
    </row>
    <row r="1913" spans="1:18" ht="12.75" customHeight="1" x14ac:dyDescent="0.2">
      <c r="A1913" s="242">
        <v>1913</v>
      </c>
      <c r="B1913" s="5664"/>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63">
        <f>IF(E1913="Poder no definido",0,VLOOKUP(E1913,Personalización!$D$83:$Q$98,6,FALSE))</f>
        <v>0</v>
      </c>
      <c r="M1913" s="5563"/>
      <c r="N1913" s="5563"/>
      <c r="O1913" s="5563"/>
      <c r="P1913" s="5563"/>
      <c r="Q1913" s="5564"/>
      <c r="R1913" s="1094">
        <f>IF(OR($J1913=0,$J1913="Aprendida"),0,SUM($J$1721:$J1913))</f>
        <v>0</v>
      </c>
    </row>
    <row r="1914" spans="1:18" ht="12.75" customHeight="1" x14ac:dyDescent="0.2">
      <c r="A1914" s="242">
        <v>1914</v>
      </c>
      <c r="B1914" s="5664"/>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63">
        <f>IF(E1914="Poder no definido",0,VLOOKUP(E1914,Personalización!$D$83:$Q$98,6,FALSE))</f>
        <v>0</v>
      </c>
      <c r="M1914" s="5563"/>
      <c r="N1914" s="5563"/>
      <c r="O1914" s="5563"/>
      <c r="P1914" s="5563"/>
      <c r="Q1914" s="5564"/>
      <c r="R1914" s="1094">
        <f>IF(OR($J1914=0,$J1914="Aprendida"),0,SUM($J$1721:$J1914))</f>
        <v>0</v>
      </c>
    </row>
    <row r="1915" spans="1:18" ht="12.75" customHeight="1" x14ac:dyDescent="0.2">
      <c r="A1915" s="242">
        <v>1915</v>
      </c>
      <c r="B1915" s="5664"/>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63">
        <f>IF(E1915="Poder no definido",0,VLOOKUP(E1915,Personalización!$D$83:$Q$98,6,FALSE))</f>
        <v>0</v>
      </c>
      <c r="M1915" s="5563"/>
      <c r="N1915" s="5563"/>
      <c r="O1915" s="5563"/>
      <c r="P1915" s="5563"/>
      <c r="Q1915" s="5564"/>
      <c r="R1915" s="1094">
        <f>IF(OR($J1915=0,$J1915="Aprendida"),0,SUM($J$1721:$J1915))</f>
        <v>0</v>
      </c>
    </row>
    <row r="1916" spans="1:18" ht="12.75" customHeight="1" x14ac:dyDescent="0.2">
      <c r="A1916" s="242">
        <v>1916</v>
      </c>
      <c r="B1916" s="5664"/>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63">
        <f>IF(E1916="Poder no definido",0,VLOOKUP(E1916,Personalización!$D$83:$Q$98,6,FALSE))</f>
        <v>0</v>
      </c>
      <c r="M1916" s="5563"/>
      <c r="N1916" s="5563"/>
      <c r="O1916" s="5563"/>
      <c r="P1916" s="5563"/>
      <c r="Q1916" s="5564"/>
      <c r="R1916" s="1094">
        <f>IF(OR($J1916=0,$J1916="Aprendida"),0,SUM($J$1721:$J1916))</f>
        <v>0</v>
      </c>
    </row>
    <row r="1917" spans="1:18" ht="12.75" customHeight="1" x14ac:dyDescent="0.2">
      <c r="A1917" s="242">
        <v>1917</v>
      </c>
      <c r="B1917" s="5664"/>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63">
        <f>IF(E1917="Poder no definido",0,VLOOKUP(E1917,Personalización!$D$83:$Q$98,6,FALSE))</f>
        <v>0</v>
      </c>
      <c r="M1917" s="5563"/>
      <c r="N1917" s="5563"/>
      <c r="O1917" s="5563"/>
      <c r="P1917" s="5563"/>
      <c r="Q1917" s="5564"/>
      <c r="R1917" s="1094">
        <f>IF(OR($J1917=0,$J1917="Aprendida"),0,SUM($J$1721:$J1917))</f>
        <v>0</v>
      </c>
    </row>
    <row r="1918" spans="1:18" ht="12.75" customHeight="1" x14ac:dyDescent="0.2">
      <c r="A1918" s="242">
        <v>1918</v>
      </c>
      <c r="B1918" s="5664"/>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63">
        <f>IF(E1918="Poder no definido",0,VLOOKUP(E1918,Personalización!$D$83:$Q$98,6,FALSE))</f>
        <v>0</v>
      </c>
      <c r="M1918" s="5563"/>
      <c r="N1918" s="5563"/>
      <c r="O1918" s="5563"/>
      <c r="P1918" s="5563"/>
      <c r="Q1918" s="5564"/>
      <c r="R1918" s="1094">
        <f>IF(OR($J1918=0,$J1918="Aprendida"),0,SUM($J$1721:$J1918))</f>
        <v>0</v>
      </c>
    </row>
    <row r="1919" spans="1:18" ht="12.75" customHeight="1" thickBot="1" x14ac:dyDescent="0.25">
      <c r="A1919" s="242">
        <v>1919</v>
      </c>
      <c r="B1919" s="5664"/>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631">
        <f>IF(E1919="Poder no definido",0,VLOOKUP(E1919,Personalización!$D$83:$Q$98,6,FALSE))</f>
        <v>0</v>
      </c>
      <c r="M1919" s="5631"/>
      <c r="N1919" s="5631"/>
      <c r="O1919" s="5631"/>
      <c r="P1919" s="5631"/>
      <c r="Q1919" s="5632"/>
      <c r="R1919" s="1559">
        <f>IF(OR($J1919=0,$J1919="Aprendida"),0,SUM($J$1721:$J1919))</f>
        <v>0</v>
      </c>
    </row>
    <row r="1920" spans="1:18" ht="12.75" customHeight="1" x14ac:dyDescent="0.2">
      <c r="A1920" s="242">
        <v>1920</v>
      </c>
      <c r="B1920" s="5664"/>
      <c r="H1920"/>
      <c r="I1920" s="624"/>
      <c r="N1920"/>
      <c r="O1920" s="624"/>
    </row>
    <row r="1921" spans="1:34" ht="12.75" customHeight="1" x14ac:dyDescent="0.2">
      <c r="A1921" s="242">
        <v>1921</v>
      </c>
      <c r="B1921" s="5664"/>
      <c r="C1921" s="5534" t="s">
        <v>7574</v>
      </c>
      <c r="D1921" s="5534"/>
      <c r="E1921" s="5534"/>
      <c r="F1921" s="5534"/>
      <c r="G1921" s="5534"/>
      <c r="H1921" s="5534"/>
      <c r="I1921" s="5534"/>
      <c r="J1921" s="5534"/>
      <c r="K1921" s="5534"/>
      <c r="L1921" s="5534"/>
      <c r="M1921" s="5534"/>
      <c r="N1921" s="5534"/>
      <c r="O1921" s="5534"/>
      <c r="P1921" s="5534"/>
      <c r="Q1921" s="5534"/>
      <c r="R1921" s="5534"/>
      <c r="S1921" s="5534"/>
      <c r="T1921" s="5534"/>
      <c r="U1921" s="5534"/>
      <c r="V1921" s="5534"/>
      <c r="W1921" s="5534"/>
      <c r="X1921" s="5534"/>
      <c r="Y1921" s="5534"/>
      <c r="Z1921" s="5534"/>
      <c r="AA1921" s="5534"/>
      <c r="AB1921" s="5534"/>
      <c r="AC1921" s="5534"/>
      <c r="AD1921" s="5534"/>
      <c r="AE1921" s="5534"/>
      <c r="AF1921" s="5534"/>
      <c r="AG1921" s="5534"/>
    </row>
    <row r="1922" spans="1:34" ht="12.75" customHeight="1" x14ac:dyDescent="0.2">
      <c r="A1922" s="242">
        <v>1922</v>
      </c>
      <c r="B1922" s="5664"/>
      <c r="C1922" s="5534"/>
      <c r="D1922" s="5534"/>
      <c r="E1922" s="5534"/>
      <c r="F1922" s="5534"/>
      <c r="G1922" s="5534"/>
      <c r="H1922" s="5534"/>
      <c r="I1922" s="5534"/>
      <c r="J1922" s="5534"/>
      <c r="K1922" s="5534"/>
      <c r="L1922" s="5534"/>
      <c r="M1922" s="5534"/>
      <c r="N1922" s="5534"/>
      <c r="O1922" s="5534"/>
      <c r="P1922" s="5534"/>
      <c r="Q1922" s="5534"/>
      <c r="R1922" s="5534"/>
      <c r="S1922" s="5534"/>
      <c r="T1922" s="5534"/>
      <c r="U1922" s="5534"/>
      <c r="V1922" s="5534"/>
      <c r="W1922" s="5534"/>
      <c r="X1922" s="5534"/>
      <c r="Y1922" s="5534"/>
      <c r="Z1922" s="5534"/>
      <c r="AA1922" s="5534"/>
      <c r="AB1922" s="5534"/>
      <c r="AC1922" s="5534"/>
      <c r="AD1922" s="5534"/>
      <c r="AE1922" s="5534"/>
      <c r="AF1922" s="5534"/>
      <c r="AG1922" s="5534"/>
    </row>
    <row r="1923" spans="1:34" ht="12.75" customHeight="1" x14ac:dyDescent="0.2">
      <c r="A1923" s="242">
        <v>1923</v>
      </c>
      <c r="B1923" s="5664"/>
      <c r="C1923" s="5534"/>
      <c r="D1923" s="5534"/>
      <c r="E1923" s="5534"/>
      <c r="F1923" s="5534"/>
      <c r="G1923" s="5534"/>
      <c r="H1923" s="5534"/>
      <c r="I1923" s="5534"/>
      <c r="J1923" s="5534"/>
      <c r="K1923" s="5534"/>
      <c r="L1923" s="5534"/>
      <c r="M1923" s="5534"/>
      <c r="N1923" s="5534"/>
      <c r="O1923" s="5534"/>
      <c r="P1923" s="5534"/>
      <c r="Q1923" s="5534"/>
      <c r="R1923" s="5534"/>
      <c r="S1923" s="5534"/>
      <c r="T1923" s="5534"/>
      <c r="U1923" s="5534"/>
      <c r="V1923" s="5534"/>
      <c r="W1923" s="5534"/>
      <c r="X1923" s="5534"/>
      <c r="Y1923" s="5534"/>
      <c r="Z1923" s="5534"/>
      <c r="AA1923" s="5534"/>
      <c r="AB1923" s="5534"/>
      <c r="AC1923" s="5534"/>
      <c r="AD1923" s="5534"/>
      <c r="AE1923" s="5534"/>
      <c r="AF1923" s="5534"/>
      <c r="AG1923" s="5534"/>
    </row>
    <row r="1924" spans="1:34" ht="12.75" customHeight="1" thickBot="1" x14ac:dyDescent="0.25">
      <c r="A1924" s="242">
        <v>1924</v>
      </c>
      <c r="B1924" s="5664"/>
      <c r="H1924"/>
      <c r="I1924" s="624"/>
      <c r="N1924"/>
      <c r="O1924" s="624"/>
    </row>
    <row r="1925" spans="1:34" ht="12.75" customHeight="1" thickBot="1" x14ac:dyDescent="0.25">
      <c r="A1925" s="242">
        <v>1925</v>
      </c>
      <c r="B1925" s="5664"/>
      <c r="C1925" s="5858" t="s">
        <v>645</v>
      </c>
      <c r="D1925" s="5858"/>
      <c r="E1925" s="5858"/>
      <c r="F1925" s="290"/>
      <c r="G1925" s="5610" t="s">
        <v>9973</v>
      </c>
      <c r="H1925" s="5611"/>
      <c r="I1925" s="5612"/>
      <c r="J1925" s="2729"/>
      <c r="K1925" s="2847" t="s">
        <v>647</v>
      </c>
      <c r="L1925" s="2848"/>
      <c r="M1925" s="2848"/>
      <c r="N1925" s="2849"/>
      <c r="O1925" s="5600" t="s">
        <v>8739</v>
      </c>
      <c r="P1925" s="5627" t="b">
        <f>PDs!AF123</f>
        <v>0</v>
      </c>
      <c r="Q1925" s="5628"/>
      <c r="Y1925"/>
      <c r="Z1925"/>
      <c r="AA1925"/>
      <c r="AB1925"/>
    </row>
    <row r="1926" spans="1:34" ht="12.75" customHeight="1" thickBot="1" x14ac:dyDescent="0.25">
      <c r="A1926" s="242">
        <v>1926</v>
      </c>
      <c r="B1926" s="5664"/>
      <c r="C1926" s="5858"/>
      <c r="D1926" s="5858"/>
      <c r="E1926" s="5858"/>
      <c r="F1926" s="290"/>
      <c r="G1926" s="5621"/>
      <c r="H1926" s="5622"/>
      <c r="I1926" s="5623"/>
      <c r="K1926" s="3146"/>
      <c r="L1926" s="5823"/>
      <c r="M1926" s="5823"/>
      <c r="N1926" s="3147"/>
      <c r="O1926" s="5601"/>
      <c r="P1926" s="5629"/>
      <c r="Q1926" s="5630"/>
      <c r="S1926" s="624"/>
      <c r="Y1926"/>
      <c r="Z1926"/>
      <c r="AA1926"/>
      <c r="AB1926"/>
    </row>
    <row r="1927" spans="1:34" ht="12.75" customHeight="1" x14ac:dyDescent="0.2">
      <c r="A1927" s="242">
        <v>1927</v>
      </c>
      <c r="B1927" s="5664"/>
      <c r="C1927" s="293" t="str">
        <f>IF(UsodelKi,", "&amp;Ki!$K$10,"")</f>
        <v/>
      </c>
      <c r="D1927" s="55"/>
      <c r="E1927" s="92"/>
      <c r="F1927" s="290"/>
      <c r="G1927" s="2733" t="s">
        <v>9976</v>
      </c>
      <c r="H1927" s="2736" t="s">
        <v>9974</v>
      </c>
      <c r="I1927" s="2737" t="s">
        <v>9975</v>
      </c>
      <c r="K1927" s="5615" t="s">
        <v>6540</v>
      </c>
      <c r="L1927" s="5616"/>
      <c r="M1927" s="5616" t="s">
        <v>9892</v>
      </c>
      <c r="N1927" s="5619"/>
      <c r="O1927" s="5600" t="s">
        <v>6555</v>
      </c>
      <c r="P1927" s="5594" t="s">
        <v>1449</v>
      </c>
      <c r="Q1927" s="5594" t="s">
        <v>8736</v>
      </c>
      <c r="R1927" s="5594" t="s">
        <v>6538</v>
      </c>
      <c r="S1927" s="5594" t="s">
        <v>8745</v>
      </c>
      <c r="T1927" s="5594" t="s">
        <v>8741</v>
      </c>
      <c r="U1927" s="5594" t="s">
        <v>8742</v>
      </c>
      <c r="V1927" s="5594" t="s">
        <v>8740</v>
      </c>
      <c r="W1927" s="5594" t="s">
        <v>8737</v>
      </c>
      <c r="X1927" s="5594" t="s">
        <v>8744</v>
      </c>
      <c r="Y1927" s="5594" t="s">
        <v>8747</v>
      </c>
      <c r="Z1927" s="5594" t="s">
        <v>8743</v>
      </c>
      <c r="AA1927" s="5594" t="s">
        <v>8746</v>
      </c>
      <c r="AB1927" s="5594" t="s">
        <v>8738</v>
      </c>
      <c r="AC1927" s="5613" t="s">
        <v>6540</v>
      </c>
      <c r="AD1927" s="5614"/>
      <c r="AE1927" s="5590" t="s">
        <v>6557</v>
      </c>
      <c r="AF1927" s="5590" t="s">
        <v>1215</v>
      </c>
    </row>
    <row r="1928" spans="1:34" ht="12.75" customHeight="1" thickBot="1" x14ac:dyDescent="0.25">
      <c r="A1928" s="242">
        <v>1928</v>
      </c>
      <c r="B1928" s="5664"/>
      <c r="C1928" s="294" t="str">
        <f>IF(Ki!$P$12="-",", "&amp;Ki!$K$12,"")</f>
        <v/>
      </c>
      <c r="D1928" s="23"/>
      <c r="E1928" s="40"/>
      <c r="F1928" s="290"/>
      <c r="G1928" s="351">
        <f>COUNTIF($H$1928:H1928,H1928)</f>
        <v>1</v>
      </c>
      <c r="H1928" s="2730" t="str">
        <f>IF(Principal!C35&lt;&gt;"",Principal!C35,"")</f>
        <v>Bono natural incrementado</v>
      </c>
      <c r="I1928" s="696" t="str">
        <f t="shared" ref="I1928:I1956" si="258">IFERROR(VLOOKUP(H1928,$G$1961:$I$1967,G1928+1,0),H1928)</f>
        <v>Bono natural incrementado</v>
      </c>
      <c r="K1928" s="5617"/>
      <c r="L1928" s="5618"/>
      <c r="M1928" s="5618"/>
      <c r="N1928" s="5620"/>
      <c r="O1928" s="5822"/>
      <c r="P1928" s="5595"/>
      <c r="Q1928" s="5595"/>
      <c r="R1928" s="5595"/>
      <c r="S1928" s="5595"/>
      <c r="T1928" s="5595"/>
      <c r="U1928" s="5595"/>
      <c r="V1928" s="5595"/>
      <c r="W1928" s="5595"/>
      <c r="X1928" s="5595"/>
      <c r="Y1928" s="5595"/>
      <c r="Z1928" s="5595"/>
      <c r="AA1928" s="5595"/>
      <c r="AB1928" s="5595"/>
      <c r="AC1928" s="1449" t="s">
        <v>6552</v>
      </c>
      <c r="AD1928" s="1450" t="s">
        <v>6553</v>
      </c>
      <c r="AE1928" s="5591"/>
      <c r="AF1928" s="5591"/>
    </row>
    <row r="1929" spans="1:34" ht="12.75" customHeight="1" x14ac:dyDescent="0.2">
      <c r="A1929" s="242">
        <v>1929</v>
      </c>
      <c r="B1929" s="5664"/>
      <c r="C1929" s="294" t="str">
        <f>IF(Ki!$P$13="-",", "&amp;Ki!$L$13&amp;" "&amp;Ki!$F$35,"")</f>
        <v/>
      </c>
      <c r="D1929" s="23"/>
      <c r="E1929" s="40"/>
      <c r="F1929" s="290"/>
      <c r="G1929" s="351">
        <f>COUNTIF($H$1928:H1929,H1929)</f>
        <v>1</v>
      </c>
      <c r="H1929" s="2730" t="str">
        <f>IF(Principal!C36&lt;&gt;"",Principal!C36,"")</f>
        <v/>
      </c>
      <c r="I1929" s="696" t="str">
        <f t="shared" si="258"/>
        <v/>
      </c>
      <c r="K1929" s="542" t="str">
        <f t="shared" ref="K1929:K1960" si="259">IF(AD1929&lt;&gt;"",", "&amp;AD1929,"")</f>
        <v/>
      </c>
      <c r="L1929" s="23"/>
      <c r="M1929" s="2463"/>
      <c r="N1929" s="2466" t="str">
        <f>IF($O1929,", "&amp;AB1929,"")</f>
        <v/>
      </c>
      <c r="O1929" s="946" t="b">
        <f>AND(NOT(Acrobacias_final="-"),OR(PDs!T126&gt;4,PDs!W126&gt;0,PDs!X126&gt;0,$G$303&gt;0))</f>
        <v>0</v>
      </c>
      <c r="P1929" s="656" t="s">
        <v>1413</v>
      </c>
      <c r="Q1929" s="2095">
        <f>PDs!AA126</f>
        <v>-15</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-15</v>
      </c>
      <c r="X1929" s="654" t="str">
        <f t="shared" ref="X1929:X1949" si="261">IFERROR(IF(AND(NOT(R1929=""),R1929=T1929,$P$1925),W1929+S1929+80,""),"-")</f>
        <v/>
      </c>
      <c r="Y1929" s="654" t="str">
        <f t="shared" ref="Y1929:Y1949" si="262">IFERROR(IF(AND(X1929="",NOT(T1929=""),$P$1925),W1929+S1929,""),"")</f>
        <v/>
      </c>
      <c r="Z1929" s="1367" t="str">
        <f t="shared" ref="Z1929:Z1960" si="263">IFERROR(IF(AND(X1929="",NOT(V1929="")),W1929+U1929,""),"")</f>
        <v/>
      </c>
      <c r="AA1929" s="654" t="str">
        <f t="shared" ref="AA1929:AA1976" si="264">IFERROR(IF(AND(X1929="",NOT(R1929="")),W1929+80,""),"-")</f>
        <v/>
      </c>
      <c r="AB1929" s="654" t="str">
        <f t="shared" ref="AB1929:AB1960" si="265">P1929&amp;" "&amp;W1929&amp;IF(X1929="","",", "&amp;T1929&amp;" "&amp;X1929)&amp;IF(Y1929="","",", "&amp;T1929&amp;" "&amp;Y1929)&amp;IF(Z1929="","",", "&amp;V1929&amp;" "&amp;Z1929)&amp;IF(AA1929="","",", "&amp;R1929&amp;" "&amp;AA1929)</f>
        <v>Acrobacias -15</v>
      </c>
      <c r="AC1929" s="656">
        <f t="shared" ref="AC1929:AC1960" si="266">COUNTIF($P$1929:$P$1984,"&lt;="&amp;P1929)</f>
        <v>1</v>
      </c>
      <c r="AD1929" s="656" t="str">
        <f t="shared" ref="AD1929:AD1960" si="267">IF(INDEX($O$1929:$O$1984,MATCH($A1,$AC$1929:$AC$1984,0)),INDEX($AB$1929:$AB$1984,MATCH($A1,$AC$1929:$AC$1984,0)),"")</f>
        <v/>
      </c>
      <c r="AE1929" s="5853" t="s">
        <v>7370</v>
      </c>
      <c r="AF1929" s="1451">
        <f>Principal!O22</f>
        <v>0</v>
      </c>
      <c r="AH1929" s="2719"/>
    </row>
    <row r="1930" spans="1:34" ht="12.75" customHeight="1" x14ac:dyDescent="0.2">
      <c r="A1930" s="242">
        <v>1930</v>
      </c>
      <c r="B1930" s="5664"/>
      <c r="C1930" s="294" t="str">
        <f>IF(Erudición,", "&amp;Ki!$M$14,"")</f>
        <v/>
      </c>
      <c r="D1930" s="23"/>
      <c r="E1930" s="40"/>
      <c r="F1930" s="290"/>
      <c r="G1930" s="351">
        <f>COUNTIF($H$1928:H1930,H1930)</f>
        <v>2</v>
      </c>
      <c r="H1930" s="2730" t="str">
        <f>IF(Principal!C37&lt;&gt;"",Principal!C37,"")</f>
        <v/>
      </c>
      <c r="I1930" s="696" t="str">
        <f t="shared" si="258"/>
        <v/>
      </c>
      <c r="K1930" s="542" t="str">
        <f t="shared" si="259"/>
        <v/>
      </c>
      <c r="L1930" s="23"/>
      <c r="M1930" s="2464"/>
      <c r="N1930" s="2466" t="str">
        <f t="shared" ref="N1930:N1961" si="268">IF(O1930,", "&amp;AB1930,"")</f>
        <v/>
      </c>
      <c r="O1930" s="946" t="b">
        <f>AND(NOT(Atletismo_final="-"),OR(PDs!T127&gt;4,PDs!W127&gt;0,PDs!X127&gt;0,$G$303&gt;0))</f>
        <v>0</v>
      </c>
      <c r="P1930" s="656" t="s">
        <v>1414</v>
      </c>
      <c r="Q1930" s="655">
        <f>PDs!AA127</f>
        <v>-15</v>
      </c>
      <c r="R1930" s="654" t="str">
        <f>IF(PDs!I127=0,"",P1930&amp;" ("&amp;PDs!I127&amp;")")</f>
        <v/>
      </c>
      <c r="S1930" s="654" t="e">
        <f>LEFT(PDs!AG127,2)+LEFT(PDs!AH127,2)</f>
        <v>#N/A</v>
      </c>
      <c r="T1930" s="654" t="str">
        <f>IF(PDs!AI127,MID(PDs!AH127,4,25)&amp;MID(PDs!AG127,4,25),"")</f>
        <v/>
      </c>
      <c r="U1930" s="1367"/>
      <c r="V1930" s="1367"/>
      <c r="W1930" s="654">
        <f t="shared" si="260"/>
        <v>-15</v>
      </c>
      <c r="X1930" s="654" t="str">
        <f t="shared" si="261"/>
        <v/>
      </c>
      <c r="Y1930" s="654" t="str">
        <f t="shared" si="262"/>
        <v/>
      </c>
      <c r="Z1930" s="1367" t="str">
        <f t="shared" si="263"/>
        <v/>
      </c>
      <c r="AA1930" s="654" t="str">
        <f t="shared" si="264"/>
        <v/>
      </c>
      <c r="AB1930" s="654" t="str">
        <f t="shared" si="265"/>
        <v>Atletismo -15</v>
      </c>
      <c r="AC1930" s="656">
        <f t="shared" si="266"/>
        <v>7</v>
      </c>
      <c r="AD1930" s="656" t="str">
        <f t="shared" si="267"/>
        <v/>
      </c>
      <c r="AE1930" s="5853"/>
      <c r="AF1930" s="1451">
        <f>Principal!O23</f>
        <v>0</v>
      </c>
      <c r="AH1930" s="2719"/>
    </row>
    <row r="1931" spans="1:34" ht="12.75" customHeight="1" x14ac:dyDescent="0.2">
      <c r="A1931" s="242">
        <v>1931</v>
      </c>
      <c r="B1931" s="5664"/>
      <c r="C1931" s="294" t="str">
        <f>IF(Ki!$P$15="-",", "&amp;Ki!$L$15,"")</f>
        <v/>
      </c>
      <c r="D1931" s="23"/>
      <c r="E1931" s="40"/>
      <c r="F1931" s="290"/>
      <c r="G1931" s="351">
        <f>COUNTIF($H$1928:H1931,H1931)</f>
        <v>3</v>
      </c>
      <c r="H1931" s="2730" t="str">
        <f>IF(Principal!C38&lt;&gt;"",Principal!C38,"")</f>
        <v/>
      </c>
      <c r="I1931" s="696" t="str">
        <f t="shared" si="258"/>
        <v/>
      </c>
      <c r="K1931" s="542" t="str">
        <f t="shared" si="259"/>
        <v/>
      </c>
      <c r="L1931" s="23"/>
      <c r="M1931" s="2464"/>
      <c r="N1931" s="2466" t="str">
        <f t="shared" si="268"/>
        <v/>
      </c>
      <c r="O1931" s="946" t="b">
        <f>AND(NOT(Montar_final="-"),OR(PDs!T128&gt;4,PDs!W128&gt;0,PDs!X128&gt;0,$G$303&gt;0))</f>
        <v>0</v>
      </c>
      <c r="P1931" s="656" t="s">
        <v>1417</v>
      </c>
      <c r="Q1931" s="655">
        <f>PDs!AA128</f>
        <v>-15</v>
      </c>
      <c r="R1931" s="654" t="str">
        <f>IF(PDs!I128=0,"",P1931&amp;" ("&amp;PDs!I128&amp;")")</f>
        <v/>
      </c>
      <c r="S1931" s="654" t="e">
        <f>LEFT(PDs!AG128,2)+LEFT(PDs!AH128,2)</f>
        <v>#N/A</v>
      </c>
      <c r="T1931" s="654" t="str">
        <f>IF(PDs!AI128,MID(PDs!AH128,4,25)&amp;MID(PDs!AG128,4,25),"")</f>
        <v/>
      </c>
      <c r="U1931" s="1367"/>
      <c r="V1931" s="1367"/>
      <c r="W1931" s="654">
        <f t="shared" si="260"/>
        <v>-15</v>
      </c>
      <c r="X1931" s="654" t="str">
        <f t="shared" si="261"/>
        <v/>
      </c>
      <c r="Y1931" s="654" t="str">
        <f t="shared" si="262"/>
        <v/>
      </c>
      <c r="Z1931" s="1367" t="str">
        <f t="shared" si="263"/>
        <v/>
      </c>
      <c r="AA1931" s="654" t="str">
        <f t="shared" si="264"/>
        <v/>
      </c>
      <c r="AB1931" s="654" t="str">
        <f t="shared" si="265"/>
        <v>Montar -15</v>
      </c>
      <c r="AC1931" s="656">
        <f t="shared" si="266"/>
        <v>29</v>
      </c>
      <c r="AD1931" s="656" t="str">
        <f t="shared" si="267"/>
        <v/>
      </c>
      <c r="AE1931" s="5853"/>
      <c r="AF1931" s="1451">
        <f>Principal!O24</f>
        <v>0</v>
      </c>
      <c r="AH1931" s="2719"/>
    </row>
    <row r="1932" spans="1:34" ht="12.75" customHeight="1" x14ac:dyDescent="0.2">
      <c r="A1932" s="242">
        <v>1932</v>
      </c>
      <c r="B1932" s="5664"/>
      <c r="C1932" s="294" t="str">
        <f>IF(Ki!$P$16="-",", "&amp;Ki!$L$16,"")</f>
        <v/>
      </c>
      <c r="D1932" s="23"/>
      <c r="E1932" s="40"/>
      <c r="F1932" s="290"/>
      <c r="G1932" s="351">
        <f>COUNTIF($H$1928:H1932,H1932)</f>
        <v>4</v>
      </c>
      <c r="H1932" s="2730" t="str">
        <f>IF(Principal!C39&lt;&gt;"",Principal!C39,"")</f>
        <v/>
      </c>
      <c r="I1932" s="696" t="str">
        <f t="shared" si="258"/>
        <v/>
      </c>
      <c r="K1932" s="542" t="str">
        <f t="shared" si="259"/>
        <v/>
      </c>
      <c r="L1932" s="23"/>
      <c r="M1932" s="2464"/>
      <c r="N1932" s="2466" t="str">
        <f t="shared" si="268"/>
        <v/>
      </c>
      <c r="O1932" s="946" t="b">
        <f>AND(NOT(Nadar_final="-"),OR(PDs!T129&gt;4,PDs!W129&gt;0,PDs!X129&gt;0,$G$303&gt;0))</f>
        <v>0</v>
      </c>
      <c r="P1932" s="656" t="s">
        <v>1421</v>
      </c>
      <c r="Q1932" s="655">
        <f>PDs!AA129</f>
        <v>-15</v>
      </c>
      <c r="R1932" s="654" t="str">
        <f>IF(PDs!I129=0,"",P1932&amp;" ("&amp;PDs!I129&amp;")")</f>
        <v/>
      </c>
      <c r="S1932" s="654" t="e">
        <f>LEFT(PDs!AG129,2)+LEFT(PDs!AH129,2)</f>
        <v>#N/A</v>
      </c>
      <c r="T1932" s="654" t="str">
        <f>IF(PDs!AI129,MID(PDs!AH129,4,25)&amp;MID(PDs!AG129,4,25),"")</f>
        <v/>
      </c>
      <c r="U1932" s="1367"/>
      <c r="V1932" s="1367"/>
      <c r="W1932" s="654">
        <f t="shared" si="260"/>
        <v>-15</v>
      </c>
      <c r="X1932" s="654" t="str">
        <f t="shared" si="261"/>
        <v/>
      </c>
      <c r="Y1932" s="654" t="str">
        <f t="shared" si="262"/>
        <v/>
      </c>
      <c r="Z1932" s="1367" t="str">
        <f t="shared" si="263"/>
        <v/>
      </c>
      <c r="AA1932" s="654" t="str">
        <f t="shared" si="264"/>
        <v/>
      </c>
      <c r="AB1932" s="654" t="str">
        <f t="shared" si="265"/>
        <v>Nadar -15</v>
      </c>
      <c r="AC1932" s="656">
        <f t="shared" si="266"/>
        <v>31</v>
      </c>
      <c r="AD1932" s="656" t="str">
        <f t="shared" si="267"/>
        <v/>
      </c>
      <c r="AE1932" s="5853"/>
      <c r="AF1932" s="1451">
        <f>Principal!O25</f>
        <v>0</v>
      </c>
      <c r="AH1932" s="2719"/>
    </row>
    <row r="1933" spans="1:34" ht="12.75" customHeight="1" x14ac:dyDescent="0.2">
      <c r="A1933" s="242">
        <v>1933</v>
      </c>
      <c r="B1933" s="5664"/>
      <c r="C1933" s="294" t="str">
        <f>IF(Ki!$P$17="-",", "&amp;Ki!$M$17,"")</f>
        <v/>
      </c>
      <c r="D1933" s="23"/>
      <c r="E1933" s="40"/>
      <c r="F1933" s="290"/>
      <c r="G1933" s="351">
        <f>COUNTIF($H$1928:H1933,H1933)</f>
        <v>5</v>
      </c>
      <c r="H1933" s="2730" t="str">
        <f>IF(Principal!C40&lt;&gt;"",Principal!C40,"")</f>
        <v/>
      </c>
      <c r="I1933" s="696" t="str">
        <f t="shared" si="258"/>
        <v/>
      </c>
      <c r="K1933" s="542" t="str">
        <f t="shared" si="259"/>
        <v/>
      </c>
      <c r="L1933" s="23"/>
      <c r="M1933" s="2464"/>
      <c r="N1933" s="2466" t="str">
        <f t="shared" si="268"/>
        <v/>
      </c>
      <c r="O1933" s="946" t="b">
        <f>AND(NOT(Trepar_final="-"),OR(PDs!T130&gt;4,PDs!W130&gt;0,PDs!X130&gt;0,$G$303&gt;0))</f>
        <v>0</v>
      </c>
      <c r="P1933" s="656" t="s">
        <v>1424</v>
      </c>
      <c r="Q1933" s="655">
        <f>PDs!AA130</f>
        <v>-15</v>
      </c>
      <c r="R1933" s="654" t="str">
        <f>IF(PDs!I130=0,"",P1933&amp;" ("&amp;PDs!I130&amp;")")</f>
        <v/>
      </c>
      <c r="S1933" s="654" t="e">
        <f>LEFT(PDs!AG130,2)+LEFT(PDs!AH130,2)</f>
        <v>#N/A</v>
      </c>
      <c r="T1933" s="654" t="str">
        <f>IF(PDs!AI130,MID(PDs!AH130,4,25)&amp;MID(PDs!AG130,4,25),"")</f>
        <v/>
      </c>
      <c r="U1933" s="1367"/>
      <c r="V1933" s="1367"/>
      <c r="W1933" s="654">
        <f t="shared" si="260"/>
        <v>-15</v>
      </c>
      <c r="X1933" s="654" t="str">
        <f t="shared" si="261"/>
        <v/>
      </c>
      <c r="Y1933" s="654" t="str">
        <f t="shared" si="262"/>
        <v/>
      </c>
      <c r="Z1933" s="1367" t="str">
        <f t="shared" si="263"/>
        <v/>
      </c>
      <c r="AA1933" s="654" t="str">
        <f t="shared" si="264"/>
        <v/>
      </c>
      <c r="AB1933" s="654" t="str">
        <f t="shared" si="265"/>
        <v>Trepar -15</v>
      </c>
      <c r="AC1933" s="656">
        <f t="shared" si="266"/>
        <v>54</v>
      </c>
      <c r="AD1933" s="656" t="str">
        <f t="shared" si="267"/>
        <v/>
      </c>
      <c r="AE1933" s="5853"/>
      <c r="AF1933" s="1451">
        <f>Principal!O26</f>
        <v>0</v>
      </c>
      <c r="AH1933" s="2719"/>
    </row>
    <row r="1934" spans="1:34" ht="12.75" customHeight="1" x14ac:dyDescent="0.2">
      <c r="A1934" s="242">
        <v>1934</v>
      </c>
      <c r="B1934" s="5664"/>
      <c r="C1934" s="294" t="str">
        <f>IF(Ki!$P$18="-",", "&amp;Ki!$N$18,"")</f>
        <v/>
      </c>
      <c r="D1934" s="23"/>
      <c r="E1934" s="40"/>
      <c r="F1934" s="290"/>
      <c r="G1934" s="351">
        <f>COUNTIF($H$1928:H1934,H1934)</f>
        <v>6</v>
      </c>
      <c r="H1934" s="2730" t="str">
        <f>IF(Principal!C41&lt;&gt;"",Principal!C41,"")</f>
        <v/>
      </c>
      <c r="I1934" s="696" t="str">
        <f t="shared" si="258"/>
        <v/>
      </c>
      <c r="K1934" s="542" t="str">
        <f t="shared" si="259"/>
        <v/>
      </c>
      <c r="L1934" s="23"/>
      <c r="M1934" s="2464"/>
      <c r="N1934" s="2466" t="str">
        <f t="shared" si="268"/>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1"/>
        <v/>
      </c>
      <c r="Y1934" s="654" t="str">
        <f t="shared" si="262"/>
        <v/>
      </c>
      <c r="Z1934" s="1367" t="str">
        <f t="shared" si="263"/>
        <v/>
      </c>
      <c r="AA1934" s="654" t="str">
        <f t="shared" si="264"/>
        <v/>
      </c>
      <c r="AB1934" s="654" t="str">
        <f t="shared" si="265"/>
        <v>Saltar -30</v>
      </c>
      <c r="AC1934" s="656">
        <f t="shared" si="266"/>
        <v>44</v>
      </c>
      <c r="AD1934" s="656" t="str">
        <f t="shared" si="267"/>
        <v/>
      </c>
      <c r="AE1934" s="5853"/>
      <c r="AF1934" s="1451">
        <f>Principal!O27</f>
        <v>0</v>
      </c>
      <c r="AH1934" s="2719"/>
    </row>
    <row r="1935" spans="1:34" ht="12.75" customHeight="1" x14ac:dyDescent="0.2">
      <c r="A1935" s="242">
        <v>1935</v>
      </c>
      <c r="B1935" s="5664"/>
      <c r="C1935" s="294" t="str">
        <f>IF(Ki!$P$19="-",", "&amp;Ki!$M$19,"")</f>
        <v/>
      </c>
      <c r="D1935" s="23"/>
      <c r="E1935" s="40"/>
      <c r="G1935" s="351">
        <f>COUNTIF($H$1928:H1935,H1935)</f>
        <v>7</v>
      </c>
      <c r="H1935" s="2730" t="str">
        <f>IF(Principal!C42&lt;&gt;"",Principal!C42,"")</f>
        <v/>
      </c>
      <c r="I1935" s="696" t="str">
        <f t="shared" si="258"/>
        <v/>
      </c>
      <c r="K1935" s="542" t="str">
        <f t="shared" si="259"/>
        <v/>
      </c>
      <c r="L1935" s="23"/>
      <c r="M1935" s="2464"/>
      <c r="N1935" s="2466" t="str">
        <f t="shared" si="268"/>
        <v/>
      </c>
      <c r="O1935" s="946" t="b">
        <f>AND(NOT(Pilotar_final="-"),OR(PDs!T132&gt;4,PDs!W132&gt;0,PDs!X132&gt;0,$G$303&gt;0))</f>
        <v>0</v>
      </c>
      <c r="P1935" s="656" t="s">
        <v>6431</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1"/>
        <v/>
      </c>
      <c r="Y1935" s="654" t="str">
        <f t="shared" si="262"/>
        <v/>
      </c>
      <c r="Z1935" s="1367" t="str">
        <f t="shared" si="263"/>
        <v/>
      </c>
      <c r="AA1935" s="654" t="str">
        <f t="shared" si="264"/>
        <v/>
      </c>
      <c r="AB1935" s="654" t="str">
        <f t="shared" si="265"/>
        <v>Pilotar -30</v>
      </c>
      <c r="AC1935" s="656">
        <f t="shared" si="266"/>
        <v>38</v>
      </c>
      <c r="AD1935" s="656" t="str">
        <f t="shared" si="267"/>
        <v/>
      </c>
      <c r="AE1935" s="5853"/>
      <c r="AF1935" s="1451">
        <f>Principal!O28</f>
        <v>0</v>
      </c>
      <c r="AH1935" s="2719"/>
    </row>
    <row r="1936" spans="1:34" ht="12.75" customHeight="1" x14ac:dyDescent="0.2">
      <c r="A1936" s="242">
        <v>1936</v>
      </c>
      <c r="B1936" s="5664"/>
      <c r="C1936" s="294" t="str">
        <f>IF(Ki!$P$20="-",", "&amp;Ki!$N$20,"")</f>
        <v/>
      </c>
      <c r="D1936" s="23"/>
      <c r="E1936" s="40"/>
      <c r="G1936" s="351">
        <f>COUNTIF($H$1928:H1936,H1936)</f>
        <v>8</v>
      </c>
      <c r="H1936" s="2730" t="str">
        <f>IF(Principal!C43&lt;&gt;"",Principal!C43,"")</f>
        <v/>
      </c>
      <c r="I1936" s="696" t="str">
        <f t="shared" si="258"/>
        <v/>
      </c>
      <c r="K1936" s="542" t="str">
        <f t="shared" si="259"/>
        <v/>
      </c>
      <c r="L1936" s="23"/>
      <c r="M1936" s="2464"/>
      <c r="N1936" s="2466" t="str">
        <f t="shared" si="268"/>
        <v/>
      </c>
      <c r="O1936" s="946" t="b">
        <f>AND(NOT(Estilo_final="-"),OR(PDs!T133&gt;4,PDs!W133&gt;0,PDs!X133&gt;0,$G$303&gt;0))</f>
        <v>0</v>
      </c>
      <c r="P1936" s="656" t="s">
        <v>1431</v>
      </c>
      <c r="Q1936" s="655">
        <f>PDs!AA133</f>
        <v>-15</v>
      </c>
      <c r="R1936" s="654" t="str">
        <f>IF(PDs!I133=0,"",P1936&amp;" ("&amp;PDs!I133&amp;")")</f>
        <v/>
      </c>
      <c r="S1936" s="654" t="e">
        <f>LEFT(PDs!AG133,2)+LEFT(PDs!AH133,2)</f>
        <v>#N/A</v>
      </c>
      <c r="T1936" s="654" t="str">
        <f>IF(PDs!AI133,MID(PDs!AH133,4,25)&amp;MID(PDs!AG133,4,25),"")</f>
        <v/>
      </c>
      <c r="U1936" s="1367"/>
      <c r="V1936" s="1367"/>
      <c r="W1936" s="654">
        <f t="shared" si="260"/>
        <v>-15</v>
      </c>
      <c r="X1936" s="654" t="str">
        <f t="shared" si="261"/>
        <v/>
      </c>
      <c r="Y1936" s="654" t="str">
        <f t="shared" si="262"/>
        <v/>
      </c>
      <c r="Z1936" s="1367" t="str">
        <f t="shared" si="263"/>
        <v/>
      </c>
      <c r="AA1936" s="654" t="str">
        <f t="shared" si="264"/>
        <v/>
      </c>
      <c r="AB1936" s="654" t="str">
        <f t="shared" si="265"/>
        <v>Estilo -15</v>
      </c>
      <c r="AC1936" s="656">
        <f t="shared" si="266"/>
        <v>18</v>
      </c>
      <c r="AD1936" s="656" t="str">
        <f t="shared" si="267"/>
        <v/>
      </c>
      <c r="AE1936" s="5853"/>
      <c r="AF1936" s="1451">
        <f>Principal!O29</f>
        <v>0</v>
      </c>
      <c r="AH1936" s="2719"/>
    </row>
    <row r="1937" spans="1:34" ht="12.75" customHeight="1" x14ac:dyDescent="0.2">
      <c r="A1937" s="242">
        <v>1937</v>
      </c>
      <c r="B1937" s="5664"/>
      <c r="C1937" s="294" t="str">
        <f>IF(Ki!$P$21="-",", "&amp;"Mult. arcana","")</f>
        <v/>
      </c>
      <c r="D1937" s="23"/>
      <c r="E1937" s="40"/>
      <c r="G1937" s="351">
        <f>COUNTIF($H$1928:H1937,H1937)</f>
        <v>9</v>
      </c>
      <c r="H1937" s="2730" t="str">
        <f>IF(Principal!C44&lt;&gt;"",Principal!C44,"")</f>
        <v/>
      </c>
      <c r="I1937" s="696" t="str">
        <f t="shared" si="258"/>
        <v/>
      </c>
      <c r="K1937" s="542" t="str">
        <f t="shared" si="259"/>
        <v/>
      </c>
      <c r="L1937" s="23"/>
      <c r="M1937" s="2464"/>
      <c r="N1937" s="2466" t="str">
        <f t="shared" si="268"/>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1"/>
        <v/>
      </c>
      <c r="Y1937" s="654" t="str">
        <f t="shared" si="262"/>
        <v/>
      </c>
      <c r="Z1937" s="1367" t="str">
        <f t="shared" si="263"/>
        <v/>
      </c>
      <c r="AA1937" s="654" t="str">
        <f t="shared" si="264"/>
        <v/>
      </c>
      <c r="AB1937" s="654" t="str">
        <f t="shared" si="265"/>
        <v>Intimidar -30</v>
      </c>
      <c r="AC1937" s="656">
        <f t="shared" si="266"/>
        <v>24</v>
      </c>
      <c r="AD1937" s="656" t="str">
        <f t="shared" si="267"/>
        <v/>
      </c>
      <c r="AE1937" s="5853"/>
      <c r="AF1937" s="1451">
        <f>Principal!O30</f>
        <v>0</v>
      </c>
      <c r="AH1937" s="2719"/>
    </row>
    <row r="1938" spans="1:34" ht="12.75" customHeight="1" x14ac:dyDescent="0.2">
      <c r="A1938" s="242">
        <v>1938</v>
      </c>
      <c r="B1938" s="5664"/>
      <c r="C1938" s="294" t="str">
        <f>IF(Ki!$P$22="-",", "&amp;Ki!$N$22,"")</f>
        <v/>
      </c>
      <c r="D1938" s="23"/>
      <c r="E1938" s="40"/>
      <c r="G1938" s="351">
        <f>COUNTIF($H$1928:H1938,H1938)</f>
        <v>10</v>
      </c>
      <c r="H1938" s="2730" t="str">
        <f>IF(Principal!C45&lt;&gt;"",Principal!C45,"")</f>
        <v/>
      </c>
      <c r="I1938" s="696" t="str">
        <f t="shared" si="258"/>
        <v/>
      </c>
      <c r="K1938" s="542" t="str">
        <f t="shared" si="259"/>
        <v/>
      </c>
      <c r="L1938" s="23"/>
      <c r="M1938" s="2464"/>
      <c r="N1938" s="2466" t="str">
        <f t="shared" si="268"/>
        <v/>
      </c>
      <c r="O1938" s="946" t="b">
        <f>AND(NOT(Liderazgo_final="-"),OR(PDs!T135&gt;4,PDs!W135&gt;0,PDs!X135&gt;0,$G$303&gt;0))</f>
        <v>0</v>
      </c>
      <c r="P1938" s="656" t="s">
        <v>1436</v>
      </c>
      <c r="Q1938" s="655">
        <f>PDs!AA135</f>
        <v>-15</v>
      </c>
      <c r="R1938" s="654" t="str">
        <f>IF(PDs!I135=0,"",P1938&amp;" ("&amp;PDs!I135&amp;")")</f>
        <v/>
      </c>
      <c r="S1938" s="654" t="e">
        <f>LEFT(PDs!AG135,2)+LEFT(PDs!AH135,2)</f>
        <v>#N/A</v>
      </c>
      <c r="T1938" s="654" t="str">
        <f>IF(PDs!AI135,MID(PDs!AH135,4,25)&amp;MID(PDs!AG135,4,25),"")</f>
        <v/>
      </c>
      <c r="U1938" s="1367"/>
      <c r="V1938" s="1367"/>
      <c r="W1938" s="654">
        <f t="shared" si="260"/>
        <v>-15</v>
      </c>
      <c r="X1938" s="654" t="str">
        <f t="shared" si="261"/>
        <v/>
      </c>
      <c r="Y1938" s="654" t="str">
        <f t="shared" si="262"/>
        <v/>
      </c>
      <c r="Z1938" s="1367" t="str">
        <f t="shared" si="263"/>
        <v/>
      </c>
      <c r="AA1938" s="654" t="str">
        <f t="shared" si="264"/>
        <v/>
      </c>
      <c r="AB1938" s="654" t="str">
        <f t="shared" si="265"/>
        <v>Liderazgo -15</v>
      </c>
      <c r="AC1938" s="656">
        <f t="shared" si="266"/>
        <v>26</v>
      </c>
      <c r="AD1938" s="656" t="str">
        <f t="shared" si="267"/>
        <v/>
      </c>
      <c r="AE1938" s="5853"/>
      <c r="AF1938" s="1451">
        <f>Principal!O31</f>
        <v>0</v>
      </c>
      <c r="AH1938" s="2719"/>
    </row>
    <row r="1939" spans="1:34" ht="12.75" customHeight="1" x14ac:dyDescent="0.2">
      <c r="A1939" s="242">
        <v>1939</v>
      </c>
      <c r="B1939" s="5664"/>
      <c r="C1939" s="294" t="str">
        <f>IF(Ki!$P$23="-",", "&amp;"Mag. arcana","")</f>
        <v/>
      </c>
      <c r="D1939" s="23"/>
      <c r="E1939" s="40"/>
      <c r="G1939" s="351">
        <f>COUNTIF($H$1928:H1939,H1939)</f>
        <v>11</v>
      </c>
      <c r="H1939" s="2730" t="str">
        <f>IF(Principal!C46&lt;&gt;"",Principal!C46,"")</f>
        <v/>
      </c>
      <c r="I1939" s="696" t="str">
        <f t="shared" si="258"/>
        <v/>
      </c>
      <c r="K1939" s="542" t="str">
        <f t="shared" si="259"/>
        <v/>
      </c>
      <c r="L1939" s="23"/>
      <c r="M1939" s="2464"/>
      <c r="N1939" s="2466" t="str">
        <f t="shared" si="268"/>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1"/>
        <v/>
      </c>
      <c r="Y1939" s="657" t="str">
        <f t="shared" si="262"/>
        <v/>
      </c>
      <c r="Z1939" s="1368" t="str">
        <f t="shared" si="263"/>
        <v/>
      </c>
      <c r="AA1939" s="657" t="str">
        <f t="shared" si="264"/>
        <v/>
      </c>
      <c r="AB1939" s="657" t="str">
        <f t="shared" si="265"/>
        <v>Persuasión -30</v>
      </c>
      <c r="AC1939" s="659">
        <f t="shared" si="266"/>
        <v>37</v>
      </c>
      <c r="AD1939" s="656" t="str">
        <f t="shared" si="267"/>
        <v/>
      </c>
      <c r="AE1939" s="5853"/>
      <c r="AF1939" s="1451">
        <f>Principal!O32</f>
        <v>0</v>
      </c>
      <c r="AH1939" s="2719"/>
    </row>
    <row r="1940" spans="1:34" ht="12.75" customHeight="1" x14ac:dyDescent="0.2">
      <c r="A1940" s="242">
        <v>1940</v>
      </c>
      <c r="B1940" s="5664"/>
      <c r="C1940" s="294" t="str">
        <f>IF(Ki!$P$24="-",", "&amp;Ki!$M$24,"")</f>
        <v/>
      </c>
      <c r="D1940" s="23"/>
      <c r="E1940" s="40"/>
      <c r="G1940" s="351">
        <f>COUNTIF($H$1928:H1940,H1940)</f>
        <v>12</v>
      </c>
      <c r="H1940" s="2730" t="str">
        <f>IF(Principal!C47&lt;&gt;"",Principal!C47,"")</f>
        <v/>
      </c>
      <c r="I1940" s="696" t="str">
        <f t="shared" si="258"/>
        <v/>
      </c>
      <c r="K1940" s="542" t="str">
        <f t="shared" si="259"/>
        <v/>
      </c>
      <c r="L1940" s="23"/>
      <c r="M1940" s="2464"/>
      <c r="N1940" s="2466" t="str">
        <f t="shared" si="268"/>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1"/>
        <v/>
      </c>
      <c r="Y1940" s="654" t="str">
        <f t="shared" si="262"/>
        <v/>
      </c>
      <c r="Z1940" s="1367" t="str">
        <f t="shared" si="263"/>
        <v/>
      </c>
      <c r="AA1940" s="654" t="str">
        <f t="shared" si="264"/>
        <v/>
      </c>
      <c r="AB1940" s="654" t="str">
        <f t="shared" si="265"/>
        <v>Comercio -30</v>
      </c>
      <c r="AC1940" s="656">
        <f t="shared" si="266"/>
        <v>14</v>
      </c>
      <c r="AD1940" s="656" t="str">
        <f t="shared" si="267"/>
        <v/>
      </c>
      <c r="AE1940" s="5853"/>
      <c r="AF1940" s="1451">
        <f>Principal!O33</f>
        <v>0</v>
      </c>
      <c r="AH1940" s="2719"/>
    </row>
    <row r="1941" spans="1:34" ht="12.75" customHeight="1" x14ac:dyDescent="0.2">
      <c r="A1941" s="242">
        <v>1941</v>
      </c>
      <c r="B1941" s="5664"/>
      <c r="C1941" s="294" t="str">
        <f>IF(Ki!$P$25="-",", "&amp;Ki!$L$25,"")</f>
        <v/>
      </c>
      <c r="D1941" s="23"/>
      <c r="E1941" s="40"/>
      <c r="G1941" s="351">
        <f>COUNTIF($H$1928:H1941,H1941)</f>
        <v>13</v>
      </c>
      <c r="H1941" s="2730" t="str">
        <f>IF(Principal!C48&lt;&gt;"",Principal!C48,"")</f>
        <v/>
      </c>
      <c r="I1941" s="696" t="str">
        <f t="shared" si="258"/>
        <v/>
      </c>
      <c r="K1941" s="542" t="str">
        <f t="shared" si="259"/>
        <v/>
      </c>
      <c r="L1941" s="23"/>
      <c r="M1941" s="2464"/>
      <c r="N1941" s="2466" t="str">
        <f t="shared" si="268"/>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6556</v>
      </c>
      <c r="W1941" s="657">
        <f t="shared" si="260"/>
        <v>-30</v>
      </c>
      <c r="X1941" s="657" t="str">
        <f t="shared" si="261"/>
        <v/>
      </c>
      <c r="Y1941" s="657" t="str">
        <f t="shared" si="262"/>
        <v/>
      </c>
      <c r="Z1941" s="1368">
        <f t="shared" si="263"/>
        <v>10</v>
      </c>
      <c r="AA1941" s="657" t="str">
        <f t="shared" si="264"/>
        <v/>
      </c>
      <c r="AB1941" s="657" t="str">
        <f t="shared" si="265"/>
        <v>Callejeo -30, Callejeo (Ciudad natal) 10</v>
      </c>
      <c r="AC1941" s="659">
        <f t="shared" si="266"/>
        <v>11</v>
      </c>
      <c r="AD1941" s="656" t="str">
        <f t="shared" si="267"/>
        <v/>
      </c>
      <c r="AE1941" s="5853"/>
      <c r="AF1941" s="1451">
        <f>Principal!O34</f>
        <v>0</v>
      </c>
      <c r="AH1941" s="2719"/>
    </row>
    <row r="1942" spans="1:34" ht="12.75" customHeight="1" x14ac:dyDescent="0.2">
      <c r="A1942" s="242">
        <v>1942</v>
      </c>
      <c r="B1942" s="5664"/>
      <c r="C1942" s="294" t="str">
        <f>IF(Ki!$P$26="-",", "&amp;Ki!$L$26,"")</f>
        <v/>
      </c>
      <c r="D1942" s="23"/>
      <c r="E1942" s="40"/>
      <c r="G1942" s="351">
        <f>COUNTIF($H$1928:H1942,H1942)</f>
        <v>14</v>
      </c>
      <c r="H1942" s="2730" t="str">
        <f>IF(Principal!C49&lt;&gt;"",Principal!C49,"")</f>
        <v/>
      </c>
      <c r="I1942" s="696" t="str">
        <f t="shared" si="258"/>
        <v/>
      </c>
      <c r="K1942" s="542" t="str">
        <f t="shared" si="259"/>
        <v/>
      </c>
      <c r="L1942" s="23"/>
      <c r="M1942" s="2464"/>
      <c r="N1942" s="2466" t="str">
        <f t="shared" si="268"/>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1"/>
        <v/>
      </c>
      <c r="Y1942" s="654" t="str">
        <f t="shared" si="262"/>
        <v/>
      </c>
      <c r="Z1942" s="1367" t="str">
        <f t="shared" si="263"/>
        <v/>
      </c>
      <c r="AA1942" s="654" t="str">
        <f t="shared" si="264"/>
        <v/>
      </c>
      <c r="AB1942" s="654" t="str">
        <f t="shared" si="265"/>
        <v>Etiqueta -30</v>
      </c>
      <c r="AC1942" s="656">
        <f t="shared" si="266"/>
        <v>19</v>
      </c>
      <c r="AD1942" s="656" t="str">
        <f t="shared" si="267"/>
        <v/>
      </c>
      <c r="AE1942" s="5853"/>
      <c r="AF1942" s="1451">
        <f>Principal!O35</f>
        <v>0</v>
      </c>
      <c r="AH1942" s="2719"/>
    </row>
    <row r="1943" spans="1:34" ht="12.75" customHeight="1" x14ac:dyDescent="0.2">
      <c r="A1943" s="242">
        <v>1943</v>
      </c>
      <c r="B1943" s="5664"/>
      <c r="C1943" s="294" t="str">
        <f>IF(Ki!$P$27="-",", "&amp;Ki!$K$27,"")</f>
        <v/>
      </c>
      <c r="D1943" s="23"/>
      <c r="E1943" s="40"/>
      <c r="G1943" s="351">
        <f>COUNTIF($H$1928:H1943,H1943)</f>
        <v>15</v>
      </c>
      <c r="H1943" s="2730" t="str">
        <f>IF(Principal!G43&lt;&gt;"",Principal!G43,"")</f>
        <v/>
      </c>
      <c r="I1943" s="696" t="str">
        <f t="shared" si="258"/>
        <v/>
      </c>
      <c r="K1943" s="542" t="str">
        <f t="shared" si="259"/>
        <v/>
      </c>
      <c r="L1943" s="23"/>
      <c r="M1943" s="2464"/>
      <c r="N1943" s="2466" t="str">
        <f t="shared" si="268"/>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1"/>
        <v/>
      </c>
      <c r="Y1943" s="654" t="str">
        <f t="shared" si="262"/>
        <v/>
      </c>
      <c r="Z1943" s="1367" t="str">
        <f t="shared" si="263"/>
        <v/>
      </c>
      <c r="AA1943" s="654" t="str">
        <f t="shared" si="264"/>
        <v/>
      </c>
      <c r="AB1943" s="654" t="str">
        <f t="shared" si="265"/>
        <v>Advertir -30</v>
      </c>
      <c r="AC1943" s="656">
        <f t="shared" si="266"/>
        <v>2</v>
      </c>
      <c r="AD1943" s="656" t="str">
        <f t="shared" si="267"/>
        <v/>
      </c>
      <c r="AE1943" s="5853"/>
      <c r="AF1943" s="1451">
        <f>Principal!O36</f>
        <v>0</v>
      </c>
      <c r="AH1943" s="2719"/>
    </row>
    <row r="1944" spans="1:34" ht="12.75" customHeight="1" x14ac:dyDescent="0.2">
      <c r="A1944" s="242">
        <v>1944</v>
      </c>
      <c r="B1944" s="5664"/>
      <c r="C1944" s="294" t="str">
        <f>IF(Ki!$P$28="-",", "&amp;Ki!$L$28,"")</f>
        <v/>
      </c>
      <c r="D1944" s="23"/>
      <c r="E1944" s="40"/>
      <c r="G1944" s="351">
        <f>COUNTIF($H$1928:H1944,H1944)</f>
        <v>16</v>
      </c>
      <c r="H1944" s="2730" t="str">
        <f>IF(Principal!G44&lt;&gt;"",Principal!G44,"")</f>
        <v/>
      </c>
      <c r="I1944" s="696" t="str">
        <f t="shared" si="258"/>
        <v/>
      </c>
      <c r="K1944" s="542" t="str">
        <f t="shared" si="259"/>
        <v/>
      </c>
      <c r="L1944" s="23"/>
      <c r="M1944" s="2464"/>
      <c r="N1944" s="2466" t="str">
        <f t="shared" si="268"/>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1"/>
        <v/>
      </c>
      <c r="Y1944" s="654" t="str">
        <f t="shared" si="262"/>
        <v/>
      </c>
      <c r="Z1944" s="1367" t="str">
        <f t="shared" si="263"/>
        <v/>
      </c>
      <c r="AA1944" s="654" t="str">
        <f t="shared" si="264"/>
        <v/>
      </c>
      <c r="AB1944" s="654" t="str">
        <f t="shared" si="265"/>
        <v>Buscar -30</v>
      </c>
      <c r="AC1944" s="656">
        <f t="shared" si="266"/>
        <v>9</v>
      </c>
      <c r="AD1944" s="656" t="str">
        <f t="shared" si="267"/>
        <v/>
      </c>
      <c r="AE1944" s="5853"/>
      <c r="AF1944" s="1451">
        <f>Principal!O37</f>
        <v>0</v>
      </c>
      <c r="AH1944" s="2719"/>
    </row>
    <row r="1945" spans="1:34" ht="12.75" customHeight="1" x14ac:dyDescent="0.2">
      <c r="A1945" s="242">
        <v>1945</v>
      </c>
      <c r="B1945" s="5664"/>
      <c r="C1945" s="294" t="str">
        <f>IF(Ki!$P$29="-",", "&amp;Ki!$M$29,"")</f>
        <v/>
      </c>
      <c r="D1945" s="23"/>
      <c r="E1945" s="40"/>
      <c r="G1945" s="351">
        <f>COUNTIF($H$1928:H1945,H1945)</f>
        <v>17</v>
      </c>
      <c r="H1945" s="2730" t="str">
        <f>IF(Principal!G45&lt;&gt;"",Principal!G45,"")</f>
        <v/>
      </c>
      <c r="I1945" s="696" t="str">
        <f t="shared" si="258"/>
        <v/>
      </c>
      <c r="K1945" s="542" t="str">
        <f t="shared" si="259"/>
        <v/>
      </c>
      <c r="L1945" s="23"/>
      <c r="M1945" s="2464"/>
      <c r="N1945" s="2466" t="str">
        <f t="shared" si="268"/>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1"/>
        <v/>
      </c>
      <c r="Y1945" s="654" t="str">
        <f t="shared" si="262"/>
        <v/>
      </c>
      <c r="Z1945" s="1367" t="str">
        <f t="shared" si="263"/>
        <v/>
      </c>
      <c r="AA1945" s="654" t="str">
        <f t="shared" si="264"/>
        <v/>
      </c>
      <c r="AB1945" s="654" t="str">
        <f t="shared" si="265"/>
        <v>Rastrear -30</v>
      </c>
      <c r="AC1945" s="656">
        <f t="shared" si="266"/>
        <v>40</v>
      </c>
      <c r="AD1945" s="656" t="str">
        <f t="shared" si="267"/>
        <v/>
      </c>
      <c r="AE1945" s="5853"/>
      <c r="AF1945" s="1451">
        <f>Principal!O38</f>
        <v>0</v>
      </c>
      <c r="AH1945" s="2719"/>
    </row>
    <row r="1946" spans="1:34" ht="12.75" customHeight="1" x14ac:dyDescent="0.2">
      <c r="A1946" s="242">
        <v>1946</v>
      </c>
      <c r="B1946" s="5664"/>
      <c r="C1946" s="294" t="str">
        <f>IF(Ki!$P$30="-",", "&amp;Ki!$N$30,"")</f>
        <v/>
      </c>
      <c r="D1946" s="23"/>
      <c r="E1946" s="40"/>
      <c r="G1946" s="351">
        <f>COUNTIF($H$1928:H1946,H1946)</f>
        <v>18</v>
      </c>
      <c r="H1946" s="2730" t="str">
        <f>IF(Principal!G46&lt;&gt;"",Principal!G46,"")</f>
        <v/>
      </c>
      <c r="I1946" s="696" t="str">
        <f t="shared" si="258"/>
        <v/>
      </c>
      <c r="K1946" s="542" t="str">
        <f t="shared" si="259"/>
        <v/>
      </c>
      <c r="L1946" s="23"/>
      <c r="M1946" s="2464"/>
      <c r="N1946" s="2466" t="str">
        <f t="shared" si="268"/>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1"/>
        <v/>
      </c>
      <c r="Y1946" s="654" t="str">
        <f t="shared" si="262"/>
        <v/>
      </c>
      <c r="Z1946" s="1367" t="str">
        <f t="shared" si="263"/>
        <v/>
      </c>
      <c r="AA1946" s="654" t="str">
        <f t="shared" si="264"/>
        <v/>
      </c>
      <c r="AB1946" s="654" t="str">
        <f t="shared" si="265"/>
        <v>Animales -30</v>
      </c>
      <c r="AC1946" s="656">
        <f t="shared" si="266"/>
        <v>4</v>
      </c>
      <c r="AD1946" s="656" t="str">
        <f t="shared" si="267"/>
        <v/>
      </c>
      <c r="AE1946" s="5853"/>
      <c r="AF1946" s="1451">
        <f>Principal!O39</f>
        <v>0</v>
      </c>
      <c r="AH1946" s="2719"/>
    </row>
    <row r="1947" spans="1:34" ht="12.75" customHeight="1" x14ac:dyDescent="0.2">
      <c r="A1947" s="242">
        <v>1947</v>
      </c>
      <c r="B1947" s="5664"/>
      <c r="C1947" s="294" t="str">
        <f>IF(Ki!$P$31="-",", "&amp;Ki!$M$31,"")</f>
        <v/>
      </c>
      <c r="D1947" s="23"/>
      <c r="E1947" s="40"/>
      <c r="G1947" s="351">
        <f>COUNTIF($H$1928:H1947,H1947)</f>
        <v>19</v>
      </c>
      <c r="H1947" s="2730" t="str">
        <f>IF(Principal!G47&lt;&gt;"",Principal!G47,"")</f>
        <v/>
      </c>
      <c r="I1947" s="696" t="str">
        <f t="shared" si="258"/>
        <v/>
      </c>
      <c r="K1947" s="542" t="str">
        <f t="shared" si="259"/>
        <v/>
      </c>
      <c r="L1947" s="23"/>
      <c r="M1947" s="2464"/>
      <c r="N1947" s="2466" t="str">
        <f t="shared" si="268"/>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1"/>
        <v/>
      </c>
      <c r="Y1947" s="654" t="str">
        <f t="shared" si="262"/>
        <v/>
      </c>
      <c r="Z1947" s="1367" t="str">
        <f t="shared" si="263"/>
        <v/>
      </c>
      <c r="AA1947" s="654" t="str">
        <f t="shared" si="264"/>
        <v/>
      </c>
      <c r="AB1947" s="654" t="str">
        <f t="shared" si="265"/>
        <v>Ciencia -</v>
      </c>
      <c r="AC1947" s="656">
        <f t="shared" si="266"/>
        <v>13</v>
      </c>
      <c r="AD1947" s="656" t="str">
        <f t="shared" si="267"/>
        <v/>
      </c>
      <c r="AE1947" s="5853"/>
      <c r="AF1947" s="1451">
        <f>Principal!O40</f>
        <v>0</v>
      </c>
      <c r="AH1947" s="2719"/>
    </row>
    <row r="1948" spans="1:34" ht="12.75" customHeight="1" x14ac:dyDescent="0.2">
      <c r="A1948" s="242">
        <v>1948</v>
      </c>
      <c r="B1948" s="5664"/>
      <c r="C1948" s="294" t="str">
        <f>IF(Ki!$P$32="-",", "&amp;Ki!$K$32,"")</f>
        <v/>
      </c>
      <c r="D1948" s="23"/>
      <c r="E1948" s="40"/>
      <c r="G1948" s="351">
        <f>COUNTIF($H$1928:H1948,H1948)</f>
        <v>20</v>
      </c>
      <c r="H1948" s="2730" t="str">
        <f>IF(Principal!G48&lt;&gt;"",Principal!G48,"")</f>
        <v/>
      </c>
      <c r="I1948" s="696" t="str">
        <f t="shared" si="258"/>
        <v/>
      </c>
      <c r="K1948" s="542" t="str">
        <f t="shared" si="259"/>
        <v/>
      </c>
      <c r="L1948" s="23"/>
      <c r="M1948" s="2464"/>
      <c r="N1948" s="2466" t="str">
        <f t="shared" si="268"/>
        <v/>
      </c>
      <c r="O1948" s="946" t="b">
        <f>AND(NOT(Ley_final="-"),OR(PDs!T145&gt;4,PDs!W145&gt;0,PDs!X145&gt;0,$G$303&gt;0))</f>
        <v>0</v>
      </c>
      <c r="P1948" s="656" t="s">
        <v>2639</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1"/>
        <v/>
      </c>
      <c r="Y1948" s="654" t="str">
        <f t="shared" si="262"/>
        <v/>
      </c>
      <c r="Z1948" s="1367" t="str">
        <f t="shared" si="263"/>
        <v/>
      </c>
      <c r="AA1948" s="654" t="str">
        <f t="shared" si="264"/>
        <v/>
      </c>
      <c r="AB1948" s="654" t="str">
        <f t="shared" si="265"/>
        <v>Ley -30</v>
      </c>
      <c r="AC1948" s="656">
        <f t="shared" si="266"/>
        <v>25</v>
      </c>
      <c r="AD1948" s="656" t="str">
        <f t="shared" si="267"/>
        <v/>
      </c>
      <c r="AE1948" s="5853"/>
      <c r="AF1948" s="1451">
        <f>Principal!O41</f>
        <v>0</v>
      </c>
      <c r="AH1948" s="2719"/>
    </row>
    <row r="1949" spans="1:34" ht="12.75" customHeight="1" x14ac:dyDescent="0.2">
      <c r="A1949" s="242">
        <v>1949</v>
      </c>
      <c r="B1949" s="5664"/>
      <c r="C1949" s="294" t="str">
        <f>IF(Ki!$P$33="-",", "&amp;Ki!$L$33,"")</f>
        <v/>
      </c>
      <c r="D1949" s="23"/>
      <c r="E1949" s="40"/>
      <c r="G1949" s="351">
        <f>COUNTIF($H$1928:H1949,H1949)</f>
        <v>21</v>
      </c>
      <c r="H1949" s="2730" t="str">
        <f>IF(Principal!G49&lt;&gt;"",Principal!G49,"")</f>
        <v/>
      </c>
      <c r="I1949" s="696" t="str">
        <f t="shared" si="258"/>
        <v/>
      </c>
      <c r="K1949" s="542" t="str">
        <f t="shared" si="259"/>
        <v/>
      </c>
      <c r="L1949" s="23"/>
      <c r="M1949" s="2464"/>
      <c r="N1949" s="2466" t="str">
        <f t="shared" si="268"/>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1"/>
        <v/>
      </c>
      <c r="Y1949" s="654" t="str">
        <f t="shared" si="262"/>
        <v/>
      </c>
      <c r="Z1949" s="1367" t="str">
        <f t="shared" si="263"/>
        <v/>
      </c>
      <c r="AA1949" s="654" t="str">
        <f t="shared" si="264"/>
        <v/>
      </c>
      <c r="AB1949" s="654" t="str">
        <f t="shared" si="265"/>
        <v>Herbolaria -30</v>
      </c>
      <c r="AC1949" s="656">
        <f t="shared" si="266"/>
        <v>22</v>
      </c>
      <c r="AD1949" s="656" t="str">
        <f t="shared" si="267"/>
        <v/>
      </c>
      <c r="AE1949" s="5853"/>
      <c r="AF1949" s="1451">
        <f>Principal!O42</f>
        <v>0</v>
      </c>
      <c r="AH1949" s="2719"/>
    </row>
    <row r="1950" spans="1:34" ht="12.75" customHeight="1" x14ac:dyDescent="0.2">
      <c r="A1950" s="242">
        <v>1950</v>
      </c>
      <c r="B1950" s="5664"/>
      <c r="C1950" s="294" t="str">
        <f>IF(Ki!$P$34="-",", "&amp;Ki!$M$34,"")</f>
        <v/>
      </c>
      <c r="D1950" s="23"/>
      <c r="E1950" s="40"/>
      <c r="G1950" s="351">
        <f>COUNTIF($H$1928:H1950,H1950)</f>
        <v>22</v>
      </c>
      <c r="H1950" s="2730" t="str">
        <f>IF(Principal!G50&lt;&gt;"",Principal!G50,"")</f>
        <v/>
      </c>
      <c r="I1950" s="696" t="str">
        <f t="shared" si="258"/>
        <v/>
      </c>
      <c r="K1950" s="542" t="str">
        <f t="shared" si="259"/>
        <v/>
      </c>
      <c r="L1950" s="23"/>
      <c r="M1950" s="2464"/>
      <c r="N1950" s="2466" t="str">
        <f t="shared" si="268"/>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3"/>
        <v/>
      </c>
      <c r="AA1950" s="657" t="str">
        <f t="shared" si="264"/>
        <v/>
      </c>
      <c r="AB1950" s="657" t="str">
        <f t="shared" si="265"/>
        <v>Historia -</v>
      </c>
      <c r="AC1950" s="659">
        <f t="shared" si="266"/>
        <v>23</v>
      </c>
      <c r="AD1950" s="656" t="str">
        <f t="shared" si="267"/>
        <v/>
      </c>
      <c r="AE1950" s="5853"/>
      <c r="AF1950" s="1451">
        <f>Principal!O43</f>
        <v>0</v>
      </c>
      <c r="AH1950" s="2719"/>
    </row>
    <row r="1951" spans="1:34" ht="12.75" customHeight="1" x14ac:dyDescent="0.2">
      <c r="A1951" s="242">
        <v>1951</v>
      </c>
      <c r="B1951" s="5664"/>
      <c r="C1951" s="294" t="str">
        <f>IF(Ki!$P$35="-",", "&amp;Ki!$N$35,"")</f>
        <v/>
      </c>
      <c r="D1951" s="23"/>
      <c r="E1951" s="40"/>
      <c r="G1951" s="351">
        <f>COUNTIF($H$1928:H1951,H1951)</f>
        <v>23</v>
      </c>
      <c r="H1951" s="2730" t="str">
        <f>IF(Principal!G51&lt;&gt;"",Principal!G51,"")</f>
        <v/>
      </c>
      <c r="I1951" s="696" t="str">
        <f t="shared" si="258"/>
        <v/>
      </c>
      <c r="K1951" s="542" t="str">
        <f t="shared" si="259"/>
        <v/>
      </c>
      <c r="L1951" s="23"/>
      <c r="M1951" s="2464"/>
      <c r="N1951" s="2466" t="str">
        <f t="shared" si="268"/>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3"/>
        <v/>
      </c>
      <c r="AA1951" s="654" t="str">
        <f t="shared" si="264"/>
        <v/>
      </c>
      <c r="AB1951" s="654" t="str">
        <f t="shared" si="265"/>
        <v>Tactica -30</v>
      </c>
      <c r="AC1951" s="656">
        <f t="shared" si="266"/>
        <v>51</v>
      </c>
      <c r="AD1951" s="656" t="str">
        <f t="shared" si="267"/>
        <v/>
      </c>
      <c r="AE1951" s="5853"/>
      <c r="AF1951" s="1451">
        <f>Principal!O44</f>
        <v>0</v>
      </c>
      <c r="AH1951" s="2719"/>
    </row>
    <row r="1952" spans="1:34" ht="12.75" customHeight="1" x14ac:dyDescent="0.2">
      <c r="A1952" s="242">
        <v>1952</v>
      </c>
      <c r="B1952" s="5664"/>
      <c r="C1952" s="294" t="str">
        <f>IF(Extensióndelauraalarma,", "&amp;Ki!$L$36,"")</f>
        <v/>
      </c>
      <c r="D1952" s="23"/>
      <c r="E1952" s="40"/>
      <c r="G1952" s="351">
        <f>COUNTIF($H$1928:H1952,H1952)</f>
        <v>24</v>
      </c>
      <c r="H1952" s="2730" t="str">
        <f>IF(Principal!G52&lt;&gt;"",Principal!G52,"")</f>
        <v/>
      </c>
      <c r="I1952" s="696" t="str">
        <f t="shared" si="258"/>
        <v/>
      </c>
      <c r="K1952" s="542" t="str">
        <f t="shared" si="259"/>
        <v/>
      </c>
      <c r="L1952" s="23"/>
      <c r="M1952" s="2464"/>
      <c r="N1952" s="2466" t="str">
        <f t="shared" si="268"/>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3"/>
        <v/>
      </c>
      <c r="AA1952" s="654" t="str">
        <f t="shared" si="264"/>
        <v/>
      </c>
      <c r="AB1952" s="654" t="str">
        <f t="shared" si="265"/>
        <v>Medicina -</v>
      </c>
      <c r="AC1952" s="656">
        <f t="shared" si="266"/>
        <v>27</v>
      </c>
      <c r="AD1952" s="656" t="str">
        <f t="shared" si="267"/>
        <v/>
      </c>
      <c r="AE1952" s="5853"/>
      <c r="AF1952" s="1451">
        <f>Principal!O45</f>
        <v>0</v>
      </c>
      <c r="AH1952" s="2719"/>
    </row>
    <row r="1953" spans="1:34" ht="12.75" customHeight="1" x14ac:dyDescent="0.2">
      <c r="A1953" s="242">
        <v>1953</v>
      </c>
      <c r="B1953" s="5664"/>
      <c r="C1953" s="294" t="str">
        <f>IF(Ki!$P$37="-",", "&amp;Ki!$M$37&amp;IF(COUNTA(Ki!$Y$22:$AJ$22)=0,""," ("&amp;Ki!Y$22&amp;IF(Ki!AA$22="","",", "&amp;Ki!AA$22)&amp;IF(Ki!AC$22="","",", "&amp;Ki!AC$22)&amp;IF(Ki!AE$22="","",", "&amp;Ki!AE$22)&amp;IF(Ki!AG$22="","",", "&amp;Ki!AG$22)&amp;IF(Ki!AI$22="","",", "&amp;Ki!AI$22)&amp;")"),"")</f>
        <v/>
      </c>
      <c r="D1953" s="23"/>
      <c r="E1953" s="40"/>
      <c r="G1953" s="351">
        <f>COUNTIF($H$1928:H1953,H1953)</f>
        <v>25</v>
      </c>
      <c r="H1953" s="2730" t="str">
        <f>IF(Principal!G53&lt;&gt;"",Principal!G53,"")</f>
        <v/>
      </c>
      <c r="I1953" s="696" t="str">
        <f t="shared" si="258"/>
        <v/>
      </c>
      <c r="K1953" s="542" t="str">
        <f t="shared" si="259"/>
        <v/>
      </c>
      <c r="L1953" s="23"/>
      <c r="M1953" s="2464"/>
      <c r="N1953" s="2466" t="str">
        <f t="shared" si="268"/>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3"/>
        <v/>
      </c>
      <c r="AA1953" s="654" t="str">
        <f t="shared" si="264"/>
        <v/>
      </c>
      <c r="AB1953" s="654" t="str">
        <f t="shared" si="265"/>
        <v>Memorizar -30</v>
      </c>
      <c r="AC1953" s="656">
        <f t="shared" si="266"/>
        <v>28</v>
      </c>
      <c r="AD1953" s="656" t="str">
        <f t="shared" si="267"/>
        <v/>
      </c>
      <c r="AE1953" s="5853"/>
      <c r="AF1953" s="1451">
        <f>Principal!O46</f>
        <v>0</v>
      </c>
      <c r="AH1953" s="2719"/>
    </row>
    <row r="1954" spans="1:34" ht="12.75" customHeight="1" x14ac:dyDescent="0.2">
      <c r="A1954" s="242">
        <v>1954</v>
      </c>
      <c r="B1954" s="5664"/>
      <c r="C1954" s="294" t="str">
        <f>IF(Ki!$P$38="-",", "&amp;Ki!$M$38,"")</f>
        <v/>
      </c>
      <c r="D1954" s="23"/>
      <c r="E1954" s="40"/>
      <c r="G1954" s="351">
        <f>COUNTIF($H$1928:H1954,H1954)</f>
        <v>1</v>
      </c>
      <c r="H1954" s="2730" t="str">
        <f>IF(Principal!C51&lt;&gt;"",Principal!C51,"")</f>
        <v>Endeble</v>
      </c>
      <c r="I1954" s="696" t="str">
        <f t="shared" si="258"/>
        <v>Endeble</v>
      </c>
      <c r="K1954" s="542" t="str">
        <f t="shared" si="259"/>
        <v/>
      </c>
      <c r="L1954" s="23"/>
      <c r="M1954" s="2464"/>
      <c r="N1954" s="2466" t="str">
        <f t="shared" si="268"/>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3"/>
        <v/>
      </c>
      <c r="AA1954" s="654" t="str">
        <f t="shared" si="264"/>
        <v/>
      </c>
      <c r="AB1954" s="654" t="str">
        <f t="shared" si="265"/>
        <v>Navegación -30</v>
      </c>
      <c r="AC1954" s="656">
        <f t="shared" si="266"/>
        <v>32</v>
      </c>
      <c r="AD1954" s="656" t="str">
        <f t="shared" si="267"/>
        <v/>
      </c>
      <c r="AE1954" s="5853"/>
      <c r="AF1954" s="1451">
        <f>Principal!O47</f>
        <v>0</v>
      </c>
      <c r="AH1954" s="2719"/>
    </row>
    <row r="1955" spans="1:34" ht="12.75" customHeight="1" x14ac:dyDescent="0.2">
      <c r="A1955" s="242">
        <v>1955</v>
      </c>
      <c r="B1955" s="5664"/>
      <c r="C1955" s="294" t="str">
        <f>IF(Ki!$P$39="-",", "&amp;Ki!$M$39,"")</f>
        <v/>
      </c>
      <c r="D1955" s="23"/>
      <c r="E1955" s="40"/>
      <c r="G1955" s="351">
        <f>COUNTIF($H$1928:H1955,H1955)</f>
        <v>26</v>
      </c>
      <c r="H1955" s="2730" t="str">
        <f>IF(Principal!C52&lt;&gt;"",Principal!C52,"")</f>
        <v/>
      </c>
      <c r="I1955" s="696" t="str">
        <f t="shared" si="258"/>
        <v/>
      </c>
      <c r="K1955" s="542" t="str">
        <f t="shared" si="259"/>
        <v/>
      </c>
      <c r="L1955" s="23"/>
      <c r="M1955" s="2464"/>
      <c r="N1955" s="2466" t="str">
        <f t="shared" si="268"/>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3"/>
        <v/>
      </c>
      <c r="AA1955" s="654" t="str">
        <f t="shared" si="264"/>
        <v/>
      </c>
      <c r="AB1955" s="654" t="str">
        <f t="shared" si="265"/>
        <v>Ocultismo -30</v>
      </c>
      <c r="AC1955" s="656">
        <f t="shared" si="266"/>
        <v>34</v>
      </c>
      <c r="AD1955" s="656" t="str">
        <f t="shared" si="267"/>
        <v/>
      </c>
      <c r="AE1955" s="5853"/>
      <c r="AF1955" s="1451">
        <f>Principal!O48</f>
        <v>0</v>
      </c>
      <c r="AH1955" s="2719"/>
    </row>
    <row r="1956" spans="1:34" ht="12.75" customHeight="1" thickBot="1" x14ac:dyDescent="0.25">
      <c r="A1956" s="242">
        <v>1956</v>
      </c>
      <c r="B1956" s="5664"/>
      <c r="C1956" s="294" t="str">
        <f>IF(Ki!$P$40="-",", "&amp;Ki!$M$40,"")</f>
        <v/>
      </c>
      <c r="D1956" s="23"/>
      <c r="E1956" s="40"/>
      <c r="G1956" s="751">
        <f>COUNTIF($H$1928:H1956,H1956)</f>
        <v>27</v>
      </c>
      <c r="H1956" s="354" t="str">
        <f>IF(Principal!C53&lt;&gt;"",Principal!C53,"")</f>
        <v/>
      </c>
      <c r="I1956" s="697" t="str">
        <f t="shared" si="258"/>
        <v/>
      </c>
      <c r="K1956" s="542" t="str">
        <f t="shared" si="259"/>
        <v/>
      </c>
      <c r="L1956" s="23"/>
      <c r="M1956" s="2464"/>
      <c r="N1956" s="2466" t="str">
        <f t="shared" si="268"/>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3"/>
        <v/>
      </c>
      <c r="AA1956" s="654" t="str">
        <f t="shared" si="264"/>
        <v/>
      </c>
      <c r="AB1956" s="654" t="str">
        <f t="shared" si="265"/>
        <v>Tasación -</v>
      </c>
      <c r="AC1956" s="656">
        <f t="shared" si="266"/>
        <v>52</v>
      </c>
      <c r="AD1956" s="656" t="str">
        <f t="shared" si="267"/>
        <v/>
      </c>
      <c r="AE1956" s="5853"/>
      <c r="AF1956" s="1451">
        <f>Principal!O49</f>
        <v>0</v>
      </c>
      <c r="AH1956" s="2719"/>
    </row>
    <row r="1957" spans="1:34" ht="12.75" customHeight="1" thickBot="1" x14ac:dyDescent="0.25">
      <c r="A1957" s="242">
        <v>1957</v>
      </c>
      <c r="B1957" s="5664"/>
      <c r="C1957" s="294" t="str">
        <f>IF(Ki!$P$41="-",", "&amp;Ki!$L$41,"")</f>
        <v/>
      </c>
      <c r="D1957" s="23"/>
      <c r="E1957" s="40"/>
      <c r="K1957" s="542" t="str">
        <f t="shared" si="259"/>
        <v/>
      </c>
      <c r="L1957" s="23"/>
      <c r="M1957" s="2464"/>
      <c r="N1957" s="2466" t="str">
        <f t="shared" si="268"/>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3"/>
        <v/>
      </c>
      <c r="AA1957" s="654" t="str">
        <f t="shared" si="264"/>
        <v/>
      </c>
      <c r="AB1957" s="654" t="str">
        <f t="shared" si="265"/>
        <v>V. Mágica -</v>
      </c>
      <c r="AC1957" s="656">
        <f t="shared" si="266"/>
        <v>55</v>
      </c>
      <c r="AD1957" s="656" t="str">
        <f t="shared" si="267"/>
        <v/>
      </c>
      <c r="AE1957" s="5853"/>
      <c r="AF1957" s="1451">
        <f>Principal!O50</f>
        <v>0</v>
      </c>
      <c r="AH1957" s="2719"/>
    </row>
    <row r="1958" spans="1:34" ht="12.75" customHeight="1" thickBot="1" x14ac:dyDescent="0.25">
      <c r="A1958" s="242">
        <v>1958</v>
      </c>
      <c r="B1958" s="5664"/>
      <c r="C1958" s="294" t="str">
        <f>IF(Ki!$P$42="-",", "&amp;Ki!$L$42,"")</f>
        <v/>
      </c>
      <c r="D1958" s="23"/>
      <c r="E1958" s="40"/>
      <c r="G1958" s="5610" t="s">
        <v>9977</v>
      </c>
      <c r="H1958" s="5611"/>
      <c r="I1958" s="5612"/>
      <c r="K1958" s="542" t="str">
        <f t="shared" si="259"/>
        <v/>
      </c>
      <c r="L1958" s="23"/>
      <c r="M1958" s="2464"/>
      <c r="N1958" s="2466" t="str">
        <f t="shared" si="268"/>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3"/>
        <v/>
      </c>
      <c r="AA1958" s="654" t="str">
        <f t="shared" si="264"/>
        <v/>
      </c>
      <c r="AB1958" s="654" t="str">
        <f t="shared" si="265"/>
        <v>Frialdad -30</v>
      </c>
      <c r="AC1958" s="656">
        <f t="shared" si="266"/>
        <v>21</v>
      </c>
      <c r="AD1958" s="656" t="str">
        <f t="shared" si="267"/>
        <v/>
      </c>
      <c r="AE1958" s="5853"/>
      <c r="AF1958" s="1451">
        <f>Principal!O51</f>
        <v>0</v>
      </c>
      <c r="AH1958" s="2719"/>
    </row>
    <row r="1959" spans="1:34" ht="12.75" customHeight="1" thickBot="1" x14ac:dyDescent="0.25">
      <c r="A1959" s="242">
        <v>1959</v>
      </c>
      <c r="B1959" s="5664"/>
      <c r="C1959" s="294" t="str">
        <f>IF(Ki!$P$43="-",", "&amp;Ki!$L$43,"")</f>
        <v/>
      </c>
      <c r="D1959" s="23"/>
      <c r="E1959" s="40"/>
      <c r="G1959" s="5621"/>
      <c r="H1959" s="5622"/>
      <c r="I1959" s="5623"/>
      <c r="K1959" s="542" t="str">
        <f t="shared" si="259"/>
        <v/>
      </c>
      <c r="L1959" s="23"/>
      <c r="M1959" s="2464"/>
      <c r="N1959" s="2466" t="str">
        <f t="shared" si="268"/>
        <v/>
      </c>
      <c r="O1959" s="946" t="b">
        <f>AND(NOT(P.Fuerza_final="-"),OR(PDs!T156&gt;4,PDs!W156&gt;0,PDs!X156&gt;0,$G$303&gt;0))</f>
        <v>0</v>
      </c>
      <c r="P1959" s="656" t="s">
        <v>1459</v>
      </c>
      <c r="Q1959" s="655">
        <f>PDs!AA156</f>
        <v>-30</v>
      </c>
      <c r="R1959" s="654" t="str">
        <f>IF(PDs!I156=0,"",P1959&amp;" ("&amp;PDs!I156&amp;")")</f>
        <v/>
      </c>
      <c r="S1959" s="654" t="e">
        <f>LEFT(PDs!AG156,2)+LEFT(PDs!AH156,2)</f>
        <v>#N/A</v>
      </c>
      <c r="T1959" s="654" t="str">
        <f>IF(PDs!AI156,MID(PDs!AH156,4,25)&amp;MID(PDs!AG156,4,25),"")</f>
        <v/>
      </c>
      <c r="U1959" s="1367"/>
      <c r="V1959" s="1367"/>
      <c r="W1959" s="654">
        <f t="shared" si="269"/>
        <v>-30</v>
      </c>
      <c r="X1959" s="654" t="str">
        <f t="shared" si="270"/>
        <v/>
      </c>
      <c r="Y1959" s="654" t="str">
        <f t="shared" si="271"/>
        <v/>
      </c>
      <c r="Z1959" s="1367" t="str">
        <f t="shared" si="263"/>
        <v/>
      </c>
      <c r="AA1959" s="654" t="str">
        <f t="shared" si="264"/>
        <v/>
      </c>
      <c r="AB1959" s="654" t="str">
        <f t="shared" si="265"/>
        <v>P. Fuerza -30</v>
      </c>
      <c r="AC1959" s="656">
        <f t="shared" si="266"/>
        <v>36</v>
      </c>
      <c r="AD1959" s="656" t="str">
        <f t="shared" si="267"/>
        <v/>
      </c>
      <c r="AE1959" s="5853"/>
      <c r="AF1959" s="1451">
        <f>Principal!O52</f>
        <v>0</v>
      </c>
      <c r="AH1959" s="2719"/>
    </row>
    <row r="1960" spans="1:34" ht="12.75" customHeight="1" x14ac:dyDescent="0.2">
      <c r="A1960" s="242">
        <v>1960</v>
      </c>
      <c r="B1960" s="5664"/>
      <c r="C1960" s="294" t="str">
        <f>IF(Ki!$P$44="-",", "&amp;Ki!$K$44,"")</f>
        <v/>
      </c>
      <c r="D1960" s="23"/>
      <c r="E1960" s="40"/>
      <c r="G1960" s="2733" t="s">
        <v>1449</v>
      </c>
      <c r="H1960" s="2734">
        <v>1</v>
      </c>
      <c r="I1960" s="2735">
        <v>2</v>
      </c>
      <c r="K1960" s="542" t="str">
        <f t="shared" si="259"/>
        <v/>
      </c>
      <c r="L1960" s="23"/>
      <c r="M1960" s="2464"/>
      <c r="N1960" s="2466" t="str">
        <f t="shared" si="268"/>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3"/>
        <v/>
      </c>
      <c r="AA1960" s="654" t="str">
        <f t="shared" si="264"/>
        <v/>
      </c>
      <c r="AB1960" s="654" t="str">
        <f t="shared" si="265"/>
        <v>Res. Dolor -30</v>
      </c>
      <c r="AC1960" s="656">
        <f t="shared" si="266"/>
        <v>41</v>
      </c>
      <c r="AD1960" s="656" t="str">
        <f t="shared" si="267"/>
        <v/>
      </c>
      <c r="AE1960" s="5853"/>
      <c r="AF1960" s="1451">
        <f>Principal!O53</f>
        <v>0</v>
      </c>
      <c r="AH1960" s="2719"/>
    </row>
    <row r="1961" spans="1:34" ht="12.75" customHeight="1" x14ac:dyDescent="0.2">
      <c r="A1961" s="242">
        <v>1961</v>
      </c>
      <c r="B1961" s="5664"/>
      <c r="C1961" s="294" t="str">
        <f>IF(Ki!$P$45="-",", "&amp;Ki!$L$45,"")</f>
        <v/>
      </c>
      <c r="D1961" s="23"/>
      <c r="E1961" s="40"/>
      <c r="G1961" s="2091" t="str">
        <f>Personalización!J31</f>
        <v>Apto en una materia (1)</v>
      </c>
      <c r="H1961" s="2731" t="str">
        <f>IF($G276&gt;0,Personalización!J31&amp;IF(Personalización!N31&lt;&gt;"",": "&amp;Personalización!N31,IF(Personalización!P31&lt;&gt;"",": "&amp;Personalización!P31,"")),"")</f>
        <v/>
      </c>
      <c r="I1961" s="2732" t="str">
        <f>IF($G276&gt;0,Personalización!J31&amp;IF(AND(Personalización!P31&lt;&gt;"",Personalización!N31&lt;&gt;""),": "&amp;Personalización!P31,""),"")</f>
        <v/>
      </c>
      <c r="K1961" s="542" t="str">
        <f t="shared" ref="K1961:K1984" si="272">IF(AD1961&lt;&gt;"",", "&amp;AD1961,"")</f>
        <v/>
      </c>
      <c r="L1961" s="23"/>
      <c r="M1961" s="2464"/>
      <c r="N1961" s="2466" t="str">
        <f t="shared" si="268"/>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4"/>
        <v/>
      </c>
      <c r="AB1961" s="654" t="str">
        <f t="shared" ref="AB1961:AB1984" si="274">P1961&amp;" "&amp;W1961&amp;IF(X1961="","",", "&amp;T1961&amp;" "&amp;X1961)&amp;IF(Y1961="","",", "&amp;T1961&amp;" "&amp;Y1961)&amp;IF(Z1961="","",", "&amp;V1961&amp;" "&amp;Z1961)&amp;IF(AA1961="","",", "&amp;R1961&amp;" "&amp;AA1961)</f>
        <v>Cerrajería -30</v>
      </c>
      <c r="AC1961" s="656">
        <f t="shared" ref="AC1961:AC1984" si="275">COUNTIF($P$1929:$P$1984,"&lt;="&amp;P1961)</f>
        <v>12</v>
      </c>
      <c r="AD1961" s="656" t="str">
        <f t="shared" ref="AD1961:AD1984" si="276">IF(INDEX($O$1929:$O$1984,MATCH($A33,$AC$1929:$AC$1984,0)),INDEX($AB$1929:$AB$1984,MATCH($A33,$AC$1929:$AC$1984,0)),"")</f>
        <v/>
      </c>
      <c r="AE1961" s="5853"/>
      <c r="AF1961" s="1451">
        <f>Principal!O54</f>
        <v>0</v>
      </c>
      <c r="AH1961" s="2719"/>
    </row>
    <row r="1962" spans="1:34" ht="12.75" customHeight="1" x14ac:dyDescent="0.2">
      <c r="A1962" s="242">
        <v>1962</v>
      </c>
      <c r="B1962" s="5664"/>
      <c r="C1962" s="294" t="str">
        <f>IF(Ki!$P$46="-",", "&amp;Ki!$M$46,"")</f>
        <v/>
      </c>
      <c r="D1962" s="23"/>
      <c r="E1962" s="40"/>
      <c r="G1962" s="2091" t="str">
        <f>Personalización!J32</f>
        <v>Apto en una materia (2)</v>
      </c>
      <c r="H1962" s="2731" t="str">
        <f>IF($G277&gt;0,Personalización!J32&amp;IF(Personalización!N32&lt;&gt;"",": "&amp;Personalización!N32,IF(Personalización!P32&lt;&gt;"",": "&amp;Personalización!P32,"")),"")</f>
        <v/>
      </c>
      <c r="I1962" s="2732" t="str">
        <f>IF($G277&gt;0,Personalización!J32&amp;IF(AND(Personalización!P32&lt;&gt;"",Personalización!N32&lt;&gt;""),": "&amp;Personalización!P32,""),"")</f>
        <v/>
      </c>
      <c r="K1962" s="542" t="str">
        <f t="shared" si="272"/>
        <v/>
      </c>
      <c r="L1962" s="23"/>
      <c r="M1962" s="2464"/>
      <c r="N1962" s="2466" t="str">
        <f t="shared" ref="N1962:N1984" si="277">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4"/>
        <v/>
      </c>
      <c r="AB1962" s="654" t="str">
        <f t="shared" si="274"/>
        <v>Disfraz -30</v>
      </c>
      <c r="AC1962" s="656">
        <f t="shared" si="275"/>
        <v>17</v>
      </c>
      <c r="AD1962" s="656" t="str">
        <f t="shared" si="276"/>
        <v/>
      </c>
      <c r="AE1962" s="5853"/>
      <c r="AF1962" s="1451">
        <f>Principal!O55</f>
        <v>0</v>
      </c>
      <c r="AH1962" s="2719"/>
    </row>
    <row r="1963" spans="1:34" ht="12.75" customHeight="1" x14ac:dyDescent="0.2">
      <c r="A1963" s="242">
        <v>1963</v>
      </c>
      <c r="B1963" s="5664"/>
      <c r="C1963" s="294" t="str">
        <f>IF(Ki!$P$47="-",", "&amp;Ki!$M$47,"")</f>
        <v/>
      </c>
      <c r="D1963" s="23"/>
      <c r="E1963" s="40"/>
      <c r="G1963" s="2091" t="str">
        <f>Personalización!J33</f>
        <v>Apto en una materia (3)</v>
      </c>
      <c r="H1963" s="2731" t="str">
        <f>IF($G278&gt;0,Personalización!J33&amp;IF(Personalización!N33&lt;&gt;"",": "&amp;Personalización!N33,IF(Personalización!P33&lt;&gt;"",": "&amp;Personalización!P33,"")),"")</f>
        <v/>
      </c>
      <c r="I1963" s="2732" t="str">
        <f>IF($G278&gt;0,Personalización!J33&amp;IF(AND(Personalización!P33&lt;&gt;"",Personalización!N33&lt;&gt;""),": "&amp;Personalización!P33,""),"")</f>
        <v/>
      </c>
      <c r="K1963" s="542" t="str">
        <f t="shared" si="272"/>
        <v/>
      </c>
      <c r="L1963" s="23"/>
      <c r="M1963" s="2464"/>
      <c r="N1963" s="2466" t="str">
        <f t="shared" si="277"/>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4"/>
        <v/>
      </c>
      <c r="AB1963" s="654" t="str">
        <f t="shared" si="274"/>
        <v>Ocultarse -30</v>
      </c>
      <c r="AC1963" s="656">
        <f t="shared" si="275"/>
        <v>33</v>
      </c>
      <c r="AD1963" s="656" t="str">
        <f t="shared" si="276"/>
        <v/>
      </c>
      <c r="AE1963" s="5853"/>
      <c r="AF1963" s="1451">
        <f>Principal!O56</f>
        <v>0</v>
      </c>
      <c r="AH1963" s="2719"/>
    </row>
    <row r="1964" spans="1:34" ht="12.75" customHeight="1" x14ac:dyDescent="0.2">
      <c r="A1964" s="242">
        <v>1964</v>
      </c>
      <c r="B1964" s="5664"/>
      <c r="C1964" s="294" t="str">
        <f>IF(Ki!$P$48="-",", "&amp;Ki!$L$48,"")</f>
        <v/>
      </c>
      <c r="D1964" s="23"/>
      <c r="E1964" s="40"/>
      <c r="G1964" s="2091" t="str">
        <f>Personalización!J34</f>
        <v>Aprendizaje natural (1)</v>
      </c>
      <c r="H1964" s="2731" t="str">
        <f>IF($G286&gt;0,Personalización!J34&amp;IF(Personalización!N34&lt;&gt;"",": "&amp;Personalización!N34,IF(Personalización!P34&lt;&gt;"",": "&amp;Personalización!P34,"")),"")</f>
        <v/>
      </c>
      <c r="I1964" s="2732" t="str">
        <f>IF($G286&gt;0,Personalización!J34&amp;IF(AND(Personalización!P34&lt;&gt;"",Personalización!N34&lt;&gt;""),": "&amp;Personalización!P34,""),"")</f>
        <v/>
      </c>
      <c r="K1964" s="542" t="str">
        <f t="shared" si="272"/>
        <v/>
      </c>
      <c r="L1964" s="23"/>
      <c r="M1964" s="2464"/>
      <c r="N1964" s="2466" t="str">
        <f t="shared" si="277"/>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4"/>
        <v/>
      </c>
      <c r="AB1964" s="654" t="str">
        <f t="shared" si="274"/>
        <v>Robo -30</v>
      </c>
      <c r="AC1964" s="656">
        <f t="shared" si="275"/>
        <v>42</v>
      </c>
      <c r="AD1964" s="656" t="str">
        <f t="shared" si="276"/>
        <v/>
      </c>
      <c r="AE1964" s="5853"/>
      <c r="AF1964" s="1451">
        <f>Principal!O57</f>
        <v>0</v>
      </c>
      <c r="AH1964" s="2719"/>
    </row>
    <row r="1965" spans="1:34" ht="12.75" customHeight="1" x14ac:dyDescent="0.2">
      <c r="A1965" s="242">
        <v>1965</v>
      </c>
      <c r="B1965" s="5664"/>
      <c r="C1965" s="294" t="str">
        <f>IF(Usodelaenergíanecesaria,", "&amp;Ki!$K$49,"")</f>
        <v/>
      </c>
      <c r="D1965" s="23"/>
      <c r="E1965" s="40"/>
      <c r="G1965" s="2091" t="str">
        <f>Personalización!J35</f>
        <v>Aprendizaje natural (2)</v>
      </c>
      <c r="H1965" s="2731" t="str">
        <f>IF($G287&gt;0,Personalización!J35&amp;IF(Personalización!N35&lt;&gt;"",": "&amp;Personalización!N35,IF(Personalización!P35&lt;&gt;"",": "&amp;Personalización!P35,"")),"")</f>
        <v/>
      </c>
      <c r="I1965" s="2732" t="str">
        <f>IF($G287&gt;0,Personalización!J35&amp;IF(AND(Personalización!P35&lt;&gt;"",Personalización!N35&lt;&gt;""),": "&amp;Personalización!P35,""),"")</f>
        <v/>
      </c>
      <c r="K1965" s="542" t="str">
        <f t="shared" si="272"/>
        <v/>
      </c>
      <c r="L1965" s="23"/>
      <c r="M1965" s="2464"/>
      <c r="N1965" s="2466" t="str">
        <f t="shared" si="277"/>
        <v/>
      </c>
      <c r="O1965" s="946" t="b">
        <f>AND(NOT(Sigilo_final="-"),OR(PDs!T162&gt;4,PDs!W162&gt;0,PDs!X162&gt;0,$G$303&gt;0))</f>
        <v>0</v>
      </c>
      <c r="P1965" s="656" t="s">
        <v>1474</v>
      </c>
      <c r="Q1965" s="655">
        <f>PDs!AA162</f>
        <v>-15</v>
      </c>
      <c r="R1965" s="654" t="str">
        <f>IF(PDs!I162=0,"",P1965&amp;" ("&amp;PDs!I162&amp;")")</f>
        <v/>
      </c>
      <c r="S1965" s="654" t="e">
        <f>LEFT(PDs!AG162,2)+LEFT(PDs!AH162,2)</f>
        <v>#N/A</v>
      </c>
      <c r="T1965" s="654" t="str">
        <f>IF(PDs!AI162,MID(PDs!AH162,4,25)&amp;MID(PDs!AG162,4,25),"")</f>
        <v/>
      </c>
      <c r="U1965" s="1367"/>
      <c r="V1965" s="1367"/>
      <c r="W1965" s="654">
        <f t="shared" si="269"/>
        <v>-15</v>
      </c>
      <c r="X1965" s="654" t="str">
        <f t="shared" si="270"/>
        <v/>
      </c>
      <c r="Y1965" s="654" t="str">
        <f t="shared" si="271"/>
        <v/>
      </c>
      <c r="Z1965" s="1367" t="str">
        <f t="shared" si="273"/>
        <v/>
      </c>
      <c r="AA1965" s="654" t="str">
        <f t="shared" si="264"/>
        <v/>
      </c>
      <c r="AB1965" s="654" t="str">
        <f t="shared" si="274"/>
        <v>Sigilo -15</v>
      </c>
      <c r="AC1965" s="656">
        <f t="shared" si="275"/>
        <v>49</v>
      </c>
      <c r="AD1965" s="656" t="str">
        <f t="shared" si="276"/>
        <v/>
      </c>
      <c r="AE1965" s="5853"/>
      <c r="AF1965" s="1451">
        <f>Principal!O58</f>
        <v>0</v>
      </c>
      <c r="AH1965" s="2719"/>
    </row>
    <row r="1966" spans="1:34" ht="12.75" customHeight="1" x14ac:dyDescent="0.2">
      <c r="A1966" s="242">
        <v>1966</v>
      </c>
      <c r="B1966" s="5664"/>
      <c r="C1966" s="294" t="str">
        <f>IF(Ki!$P$50="-",", "&amp;Ki!$L$50&amp;" "&amp;Ki!$F$36,"")</f>
        <v/>
      </c>
      <c r="D1966" s="23"/>
      <c r="E1966" s="40"/>
      <c r="G1966" s="2091" t="str">
        <f>Personalización!J36</f>
        <v>Aprendizaje natural (3)</v>
      </c>
      <c r="H1966" s="2731" t="str">
        <f>IF($G288&gt;0,Personalización!J36&amp;IF(Personalización!N36&lt;&gt;"",": "&amp;Personalización!N36,IF(Personalización!P36&lt;&gt;"",": "&amp;Personalización!P36,"")),"")</f>
        <v/>
      </c>
      <c r="I1966" s="2732" t="str">
        <f>IF($G288&gt;0,Personalización!J36&amp;IF(AND(Personalización!P36&lt;&gt;"",Personalización!N36&lt;&gt;""),": "&amp;Personalización!P36,""),"")</f>
        <v/>
      </c>
      <c r="K1966" s="542" t="str">
        <f t="shared" si="272"/>
        <v/>
      </c>
      <c r="L1966" s="23"/>
      <c r="M1966" s="2464"/>
      <c r="N1966" s="2466" t="str">
        <f t="shared" si="277"/>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4"/>
        <v/>
      </c>
      <c r="AB1966" s="654" t="str">
        <f t="shared" si="274"/>
        <v>Trampería -30</v>
      </c>
      <c r="AC1966" s="656">
        <f t="shared" si="275"/>
        <v>53</v>
      </c>
      <c r="AD1966" s="656" t="str">
        <f t="shared" si="276"/>
        <v/>
      </c>
      <c r="AE1966" s="5853"/>
      <c r="AF1966" s="1451">
        <f>Principal!O59</f>
        <v>0</v>
      </c>
      <c r="AH1966" s="2719"/>
    </row>
    <row r="1967" spans="1:34" ht="12.75" customHeight="1" thickBot="1" x14ac:dyDescent="0.25">
      <c r="A1967" s="242">
        <v>1967</v>
      </c>
      <c r="B1967" s="5664"/>
      <c r="C1967" s="294" t="str">
        <f>IF(Ki!$P$51="-",", "&amp;Ki!$M$51,"")</f>
        <v/>
      </c>
      <c r="D1967" s="23"/>
      <c r="E1967" s="40"/>
      <c r="G1967" s="2092" t="s">
        <v>2593</v>
      </c>
      <c r="H1967" s="354" t="str">
        <f>IF($P$259&gt;0,G1967&amp;IF(Personalización!$Z$85&lt;&gt;"",": "&amp;Personalización!$Z$85,""),"")</f>
        <v/>
      </c>
      <c r="I1967" s="697" t="str">
        <f>IF($P$259&gt;0,G1967&amp;IF(Personalización!$Z$85&lt;&gt;"",": "&amp;Personalización!$Z$85,""),"")</f>
        <v/>
      </c>
      <c r="K1967" s="542" t="str">
        <f t="shared" si="272"/>
        <v>, Prueba 25</v>
      </c>
      <c r="L1967" s="23"/>
      <c r="M1967" s="2464"/>
      <c r="N1967" s="2466" t="str">
        <f t="shared" si="277"/>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4"/>
        <v/>
      </c>
      <c r="AB1967" s="654" t="str">
        <f t="shared" si="274"/>
        <v>Venenos -</v>
      </c>
      <c r="AC1967" s="656">
        <f t="shared" si="275"/>
        <v>56</v>
      </c>
      <c r="AD1967" s="656" t="str">
        <f t="shared" si="276"/>
        <v>Prueba 25</v>
      </c>
      <c r="AE1967" s="5853"/>
      <c r="AF1967" s="1451">
        <f>Principal!O60</f>
        <v>0</v>
      </c>
      <c r="AH1967" s="2719"/>
    </row>
    <row r="1968" spans="1:34" ht="12.75" customHeight="1" thickBot="1" x14ac:dyDescent="0.25">
      <c r="A1968" s="242">
        <v>1968</v>
      </c>
      <c r="B1968" s="5664"/>
      <c r="C1968" s="294" t="str">
        <f>IF(Ki!$P$52="-",", "&amp;Ki!$M$52,"")</f>
        <v/>
      </c>
      <c r="D1968" s="23"/>
      <c r="E1968" s="40"/>
      <c r="K1968" s="542" t="str">
        <f t="shared" si="272"/>
        <v/>
      </c>
      <c r="L1968" s="23"/>
      <c r="M1968" s="2464"/>
      <c r="N1968" s="2466" t="str">
        <f t="shared" si="277"/>
        <v/>
      </c>
      <c r="O1968" s="946" t="b">
        <f>AND(NOT(Arte_final="-"),OR(PDs!T165&gt;4,PDs!W165&gt;0,PDs!X165&gt;0,$G$303&gt;0))</f>
        <v>0</v>
      </c>
      <c r="P1968" s="656" t="s">
        <v>1479</v>
      </c>
      <c r="Q1968" s="655">
        <f>PDs!AA165</f>
        <v>-15</v>
      </c>
      <c r="R1968" s="654" t="str">
        <f>IF(PDs!I165=0,"",P1968&amp;" ("&amp;PDs!I165&amp;")")</f>
        <v/>
      </c>
      <c r="S1968" s="654" t="e">
        <f>LEFT(PDs!AG165,2)+LEFT(PDs!AH165,2)</f>
        <v>#N/A</v>
      </c>
      <c r="T1968" s="654" t="str">
        <f>IF(PDs!AI165,MID(PDs!AH165,4,25)&amp;MID(PDs!AG165,4,25),"")</f>
        <v/>
      </c>
      <c r="U1968" s="1367"/>
      <c r="V1968" s="1367"/>
      <c r="W1968" s="654">
        <f t="shared" si="269"/>
        <v>-15</v>
      </c>
      <c r="X1968" s="654" t="str">
        <f t="shared" si="270"/>
        <v/>
      </c>
      <c r="Y1968" s="654" t="str">
        <f t="shared" si="271"/>
        <v/>
      </c>
      <c r="Z1968" s="1367" t="str">
        <f t="shared" si="273"/>
        <v/>
      </c>
      <c r="AA1968" s="654" t="str">
        <f t="shared" si="264"/>
        <v/>
      </c>
      <c r="AB1968" s="654" t="str">
        <f t="shared" si="274"/>
        <v>Arte -15</v>
      </c>
      <c r="AC1968" s="656">
        <f t="shared" si="275"/>
        <v>6</v>
      </c>
      <c r="AD1968" s="656" t="str">
        <f t="shared" si="276"/>
        <v/>
      </c>
      <c r="AE1968" s="5853"/>
      <c r="AF1968" s="1451">
        <f>Principal!O61</f>
        <v>0</v>
      </c>
      <c r="AH1968" s="2719"/>
    </row>
    <row r="1969" spans="1:34" ht="12.75" customHeight="1" thickBot="1" x14ac:dyDescent="0.25">
      <c r="A1969" s="242">
        <v>1969</v>
      </c>
      <c r="B1969" s="5664"/>
      <c r="C1969" s="294" t="str">
        <f>IF(Ki!$P$53="-",", "&amp;Ki!$L$53,"")</f>
        <v/>
      </c>
      <c r="D1969" s="23"/>
      <c r="E1969" s="40"/>
      <c r="G1969" s="5610" t="s">
        <v>9978</v>
      </c>
      <c r="H1969" s="5611"/>
      <c r="I1969" s="5612"/>
      <c r="K1969" s="542" t="str">
        <f t="shared" si="272"/>
        <v/>
      </c>
      <c r="L1969" s="23"/>
      <c r="M1969" s="2464"/>
      <c r="N1969" s="2466" t="str">
        <f t="shared" si="277"/>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4"/>
        <v/>
      </c>
      <c r="AB1969" s="654" t="str">
        <f t="shared" si="274"/>
        <v>Baile -</v>
      </c>
      <c r="AC1969" s="656">
        <f t="shared" si="275"/>
        <v>8</v>
      </c>
      <c r="AD1969" s="656" t="str">
        <f t="shared" si="276"/>
        <v/>
      </c>
      <c r="AE1969" s="5853"/>
      <c r="AF1969" s="1451">
        <f>Principal!O62</f>
        <v>0</v>
      </c>
      <c r="AH1969" s="2719"/>
    </row>
    <row r="1970" spans="1:34" ht="12.75" customHeight="1" thickBot="1" x14ac:dyDescent="0.25">
      <c r="A1970" s="242">
        <v>1970</v>
      </c>
      <c r="B1970" s="5664"/>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Bono natural incrementado, Endeble</v>
      </c>
      <c r="H1970" s="1396"/>
      <c r="I1970" s="697"/>
      <c r="K1970" s="542" t="str">
        <f t="shared" si="272"/>
        <v/>
      </c>
      <c r="L1970" s="23"/>
      <c r="M1970" s="2464"/>
      <c r="N1970" s="2466" t="str">
        <f t="shared" si="277"/>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4"/>
        <v/>
      </c>
      <c r="AB1970" s="654" t="str">
        <f t="shared" si="274"/>
        <v>Forja -</v>
      </c>
      <c r="AC1970" s="656">
        <f t="shared" si="275"/>
        <v>20</v>
      </c>
      <c r="AD1970" s="656" t="str">
        <f t="shared" si="276"/>
        <v/>
      </c>
      <c r="AE1970" s="5853"/>
      <c r="AF1970" s="1451">
        <f>Principal!O63</f>
        <v>0</v>
      </c>
      <c r="AH1970" s="2719"/>
    </row>
    <row r="1971" spans="1:34" ht="12.75" customHeight="1" thickBot="1" x14ac:dyDescent="0.25">
      <c r="A1971" s="242">
        <v>1971</v>
      </c>
      <c r="B1971" s="5664"/>
      <c r="C1971" s="294" t="str">
        <f>IF(Ki!$P$55="-",", "&amp;Ki!$M$55,"")</f>
        <v/>
      </c>
      <c r="D1971" s="23"/>
      <c r="E1971" s="40"/>
      <c r="K1971" s="542" t="str">
        <f t="shared" si="272"/>
        <v/>
      </c>
      <c r="L1971" s="23"/>
      <c r="M1971" s="2464"/>
      <c r="N1971" s="2466" t="str">
        <f t="shared" si="277"/>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4"/>
        <v/>
      </c>
      <c r="AB1971" s="654" t="str">
        <f t="shared" si="274"/>
        <v>Runas -30</v>
      </c>
      <c r="AC1971" s="656">
        <f t="shared" si="275"/>
        <v>43</v>
      </c>
      <c r="AD1971" s="656" t="str">
        <f t="shared" si="276"/>
        <v/>
      </c>
      <c r="AE1971" s="5853"/>
      <c r="AF1971" s="1451">
        <f>Principal!O64</f>
        <v>0</v>
      </c>
      <c r="AH1971" s="2719"/>
    </row>
    <row r="1972" spans="1:34" ht="12.75" customHeight="1" thickBot="1" x14ac:dyDescent="0.25">
      <c r="A1972" s="242">
        <v>1972</v>
      </c>
      <c r="B1972" s="5664"/>
      <c r="C1972" s="294" t="str">
        <f>IF(Ki!$P$56="-",", "&amp;Ki!$M$56,"")</f>
        <v/>
      </c>
      <c r="D1972" s="23"/>
      <c r="E1972" s="40"/>
      <c r="G1972" s="3156" t="s">
        <v>646</v>
      </c>
      <c r="H1972" s="3156"/>
      <c r="K1972" s="542" t="str">
        <f t="shared" si="272"/>
        <v/>
      </c>
      <c r="L1972" s="23"/>
      <c r="M1972" s="2464"/>
      <c r="N1972" s="2466" t="str">
        <f t="shared" si="277"/>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4"/>
        <v/>
      </c>
      <c r="AB1972" s="654" t="str">
        <f t="shared" si="274"/>
        <v>Alquimia -30</v>
      </c>
      <c r="AC1972" s="656">
        <f t="shared" si="275"/>
        <v>3</v>
      </c>
      <c r="AD1972" s="656" t="str">
        <f t="shared" si="276"/>
        <v/>
      </c>
      <c r="AE1972" s="5853"/>
      <c r="AF1972" s="1451">
        <f>Principal!O65</f>
        <v>0</v>
      </c>
      <c r="AH1972" s="2719"/>
    </row>
    <row r="1973" spans="1:34" ht="12.75" customHeight="1" thickBot="1" x14ac:dyDescent="0.25">
      <c r="A1973" s="242">
        <v>1973</v>
      </c>
      <c r="B1973" s="5664"/>
      <c r="C1973" s="294" t="str">
        <f>IF(Ki!$P$57="-",", "&amp;Ki!$L$57,"")</f>
        <v/>
      </c>
      <c r="D1973" s="23"/>
      <c r="E1973" s="40"/>
      <c r="G1973" s="3156"/>
      <c r="H1973" s="3156"/>
      <c r="K1973" s="542" t="str">
        <f t="shared" si="272"/>
        <v/>
      </c>
      <c r="L1973" s="23"/>
      <c r="M1973" s="2464"/>
      <c r="N1973" s="2466" t="str">
        <f t="shared" si="277"/>
        <v/>
      </c>
      <c r="O1973" s="946" t="b">
        <f>AND(NOT(Animismo_final="-"),OR(PDs!T170&gt;4,PDs!W170&gt;0,PDs!X170&gt;0,$G$303&gt;0))</f>
        <v>0</v>
      </c>
      <c r="P1973" s="656" t="s">
        <v>818</v>
      </c>
      <c r="Q1973" s="655">
        <f>PDs!AA170</f>
        <v>-15</v>
      </c>
      <c r="R1973" s="654" t="str">
        <f>IF(PDs!I170=0,"",P1973&amp;" ("&amp;PDs!I170&amp;")")</f>
        <v/>
      </c>
      <c r="S1973" s="654" t="e">
        <f>LEFT(PDs!AG170,2)+LEFT(PDs!AH170,2)</f>
        <v>#N/A</v>
      </c>
      <c r="T1973" s="654" t="str">
        <f>IF(PDs!AI170,MID(PDs!AH170,4,25)&amp;MID(PDs!AG170,4,25),"")</f>
        <v/>
      </c>
      <c r="U1973" s="1367"/>
      <c r="V1973" s="1367"/>
      <c r="W1973" s="654">
        <f t="shared" si="269"/>
        <v>-15</v>
      </c>
      <c r="X1973" s="654" t="str">
        <f t="shared" si="270"/>
        <v/>
      </c>
      <c r="Y1973" s="654" t="str">
        <f t="shared" si="271"/>
        <v/>
      </c>
      <c r="Z1973" s="1367" t="str">
        <f t="shared" si="273"/>
        <v/>
      </c>
      <c r="AA1973" s="654" t="str">
        <f t="shared" si="264"/>
        <v/>
      </c>
      <c r="AB1973" s="654" t="str">
        <f t="shared" si="274"/>
        <v>Animismo -15</v>
      </c>
      <c r="AC1973" s="656">
        <f t="shared" si="275"/>
        <v>5</v>
      </c>
      <c r="AD1973" s="656" t="str">
        <f t="shared" si="276"/>
        <v/>
      </c>
      <c r="AE1973" s="5853"/>
      <c r="AF1973" s="1451">
        <f>Principal!O66</f>
        <v>0</v>
      </c>
      <c r="AH1973" s="2719"/>
    </row>
    <row r="1974" spans="1:34" ht="12.75" customHeight="1" x14ac:dyDescent="0.2">
      <c r="A1974" s="242">
        <v>1974</v>
      </c>
      <c r="B1974" s="5664"/>
      <c r="C1974" s="294" t="str">
        <f>IF(Ki!$P$58="-",", "&amp;Ki!$M$58,"")</f>
        <v/>
      </c>
      <c r="D1974" s="23"/>
      <c r="E1974" s="40"/>
      <c r="G1974" s="39" t="str">
        <f>IF(Místicos!H15&gt;0,", "&amp;Místicos!H15&amp;" "&amp;Místicos!C15&amp;IF(Místicos!E15="",""," ("&amp;Místicos!E15&amp;")"),"")</f>
        <v/>
      </c>
      <c r="H1974" s="40"/>
      <c r="K1974" s="542" t="str">
        <f t="shared" si="272"/>
        <v/>
      </c>
      <c r="L1974" s="23"/>
      <c r="M1974" s="2464"/>
      <c r="N1974" s="2466" t="str">
        <f t="shared" si="277"/>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4"/>
        <v/>
      </c>
      <c r="AB1974" s="654" t="str">
        <f t="shared" si="274"/>
        <v>Música -</v>
      </c>
      <c r="AC1974" s="656">
        <f t="shared" si="275"/>
        <v>30</v>
      </c>
      <c r="AD1974" s="656" t="str">
        <f t="shared" si="276"/>
        <v/>
      </c>
      <c r="AE1974" s="5853"/>
      <c r="AF1974" s="1451">
        <f>Principal!O67</f>
        <v>0</v>
      </c>
      <c r="AH1974" s="2719"/>
    </row>
    <row r="1975" spans="1:34" ht="12.75" customHeight="1" x14ac:dyDescent="0.2">
      <c r="A1975" s="242">
        <v>1975</v>
      </c>
      <c r="B1975" s="5664"/>
      <c r="C1975" s="294" t="str">
        <f>IF(Ki!$P$59="-",", "&amp;Ki!$N$59,"")</f>
        <v/>
      </c>
      <c r="D1975" s="23"/>
      <c r="E1975" s="40"/>
      <c r="G1975" s="39" t="str">
        <f>IF(Místicos!H16&gt;0,", "&amp;Místicos!H16&amp;" "&amp;Místicos!C16&amp;IF(Místicos!E16="",""," ("&amp;Místicos!E16&amp;")"),"")</f>
        <v/>
      </c>
      <c r="H1975" s="40"/>
      <c r="K1975" s="542" t="str">
        <f t="shared" si="272"/>
        <v/>
      </c>
      <c r="L1975" s="23"/>
      <c r="M1975" s="2464"/>
      <c r="N1975" s="2466" t="str">
        <f t="shared" si="277"/>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4"/>
        <v/>
      </c>
      <c r="AB1975" s="654" t="str">
        <f t="shared" si="274"/>
        <v>T. Manos -30</v>
      </c>
      <c r="AC1975" s="656">
        <f t="shared" si="275"/>
        <v>50</v>
      </c>
      <c r="AD1975" s="656" t="str">
        <f t="shared" si="276"/>
        <v/>
      </c>
      <c r="AE1975" s="5853"/>
      <c r="AF1975" s="1451">
        <f>Principal!O68</f>
        <v>0</v>
      </c>
      <c r="AH1975" s="2719"/>
    </row>
    <row r="1976" spans="1:34" ht="12.75" customHeight="1" x14ac:dyDescent="0.2">
      <c r="A1976" s="242">
        <v>1976</v>
      </c>
      <c r="B1976" s="5664"/>
      <c r="C1976" s="294" t="str">
        <f>IF(Ki!$P$60="-",", "&amp;Ki!$L$60,"")</f>
        <v/>
      </c>
      <c r="D1976" s="23"/>
      <c r="E1976" s="40"/>
      <c r="G1976" s="39" t="str">
        <f>IF(Místicos!H17&gt;0,", "&amp;Místicos!H17&amp;" "&amp;Místicos!C17&amp;IF(Místicos!E17="",""," ("&amp;Místicos!E17&amp;")"),"")</f>
        <v/>
      </c>
      <c r="H1976" s="40"/>
      <c r="K1976" s="542" t="str">
        <f t="shared" si="272"/>
        <v/>
      </c>
      <c r="L1976" s="23"/>
      <c r="M1976" s="2464"/>
      <c r="N1976" s="2466" t="str">
        <f t="shared" si="277"/>
        <v/>
      </c>
      <c r="O1976" s="946" t="b">
        <f>AND(NOT(Caligrafíaritual_final="-"),OR(PDs!T173&gt;4,PDs!W173&gt;0,PDs!X173&gt;0,$G$303&gt;0))</f>
        <v>0</v>
      </c>
      <c r="P1976" s="656" t="s">
        <v>6432</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4"/>
        <v/>
      </c>
      <c r="AB1976" s="654" t="str">
        <f t="shared" si="274"/>
        <v>Caligrafía ritual -30</v>
      </c>
      <c r="AC1976" s="656">
        <f t="shared" si="275"/>
        <v>10</v>
      </c>
      <c r="AD1976" s="656" t="str">
        <f t="shared" si="276"/>
        <v/>
      </c>
      <c r="AE1976" s="5853"/>
      <c r="AF1976" s="1451">
        <f>Principal!O69</f>
        <v>0</v>
      </c>
      <c r="AH1976" s="2719"/>
    </row>
    <row r="1977" spans="1:34" ht="12.75" customHeight="1" x14ac:dyDescent="0.2">
      <c r="A1977" s="242">
        <v>1977</v>
      </c>
      <c r="B1977" s="5664"/>
      <c r="C1977" s="294" t="str">
        <f>IF(Ki!$P$61="-",", "&amp;Ki!$M$61,"")</f>
        <v/>
      </c>
      <c r="D1977" s="23"/>
      <c r="E1977" s="40"/>
      <c r="G1977" s="39" t="str">
        <f>IF(Místicos!H18&gt;0,", "&amp;Místicos!H18&amp;" "&amp;Místicos!C18&amp;IF(Místicos!E18="",""," ("&amp;Místicos!E18&amp;")"),"")</f>
        <v/>
      </c>
      <c r="H1977" s="40"/>
      <c r="K1977" s="542" t="str">
        <f t="shared" si="272"/>
        <v/>
      </c>
      <c r="L1977" s="23"/>
      <c r="M1977" s="2464"/>
      <c r="N1977" s="2466" t="str">
        <f t="shared" si="277"/>
        <v/>
      </c>
      <c r="O1977" s="947" t="b">
        <f>AND(NOT(Orfebrería_final="-"),OR(PDs!T174&gt;4,PDs!W174&gt;0,PDs!X174&gt;0,$G$303&gt;0))</f>
        <v>0</v>
      </c>
      <c r="P1977" s="659" t="s">
        <v>6433</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74"/>
        <v>Orfebrería -30</v>
      </c>
      <c r="AC1977" s="659">
        <f t="shared" si="275"/>
        <v>35</v>
      </c>
      <c r="AD1977" s="656" t="str">
        <f t="shared" si="276"/>
        <v/>
      </c>
      <c r="AE1977" s="5853"/>
      <c r="AF1977" s="1451">
        <f>Principal!O70</f>
        <v>0</v>
      </c>
      <c r="AH1977" s="2719"/>
    </row>
    <row r="1978" spans="1:34" ht="12.75" customHeight="1" x14ac:dyDescent="0.2">
      <c r="A1978" s="242">
        <v>1978</v>
      </c>
      <c r="B1978" s="5664"/>
      <c r="C1978" s="294" t="str">
        <f>IF(Ki!$P$62="-",", "&amp;Ki!$K$62,"")</f>
        <v/>
      </c>
      <c r="D1978" s="23"/>
      <c r="E1978" s="40"/>
      <c r="G1978" s="39" t="str">
        <f>IF(Místicos!H19&gt;0,", "&amp;Místicos!H19&amp;" "&amp;Místicos!C19&amp;IF(Místicos!E19="",""," ("&amp;Místicos!E19&amp;")"),"")</f>
        <v/>
      </c>
      <c r="H1978" s="40"/>
      <c r="K1978" s="542" t="str">
        <f t="shared" si="272"/>
        <v/>
      </c>
      <c r="L1978" s="23"/>
      <c r="M1978" s="2464"/>
      <c r="N1978" s="2466" t="str">
        <f t="shared" si="277"/>
        <v/>
      </c>
      <c r="O1978" s="946" t="b">
        <f>AND(NOT(Confección_final="-"),OR(PDs!T175&gt;4,PDs!W175&gt;0,PDs!X175&gt;0,$G$303&gt;0))</f>
        <v>0</v>
      </c>
      <c r="P1978" s="656" t="s">
        <v>6434</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8">IFERROR(Q1978+AF1978+IF(R1978="",0,-80)+IF(T1978="",0,IF(R1978=T1978,-S1978,0)),"-")</f>
        <v>-30</v>
      </c>
      <c r="X1978" s="654" t="str">
        <f t="shared" ref="X1978:X1984" si="279">IFERROR(IF(AND(NOT(R1978=""),R1978=T1978,$P$1925),W1978+S1978+80,""),"-")</f>
        <v/>
      </c>
      <c r="Y1978" s="654" t="str">
        <f t="shared" si="271"/>
        <v/>
      </c>
      <c r="Z1978" s="1367" t="str">
        <f t="shared" si="273"/>
        <v/>
      </c>
      <c r="AA1978" s="654" t="str">
        <f t="shared" ref="AA1978:AA1984" si="280">IFERROR(IF(AND(X1978="",NOT(R1978="")),W1978+80,""),"-")</f>
        <v/>
      </c>
      <c r="AB1978" s="654" t="str">
        <f t="shared" si="274"/>
        <v>Confección -30</v>
      </c>
      <c r="AC1978" s="656">
        <f t="shared" si="275"/>
        <v>16</v>
      </c>
      <c r="AD1978" s="656" t="str">
        <f t="shared" si="276"/>
        <v/>
      </c>
      <c r="AE1978" s="5853"/>
      <c r="AF1978" s="1451">
        <f>Principal!O71</f>
        <v>0</v>
      </c>
      <c r="AH1978" s="2719"/>
    </row>
    <row r="1979" spans="1:34" ht="12.75" customHeight="1" x14ac:dyDescent="0.2">
      <c r="A1979" s="242">
        <v>1979</v>
      </c>
      <c r="B1979" s="5664"/>
      <c r="C1979" s="294"/>
      <c r="D1979" s="23"/>
      <c r="E1979" s="40"/>
      <c r="G1979" s="39" t="str">
        <f>IF(Místicos!H20&gt;0,", "&amp;Místicos!H20&amp;" "&amp;Místicos!C20&amp;IF(Místicos!E20="",""," ("&amp;Místicos!E20&amp;")"),"")</f>
        <v/>
      </c>
      <c r="H1979" s="40"/>
      <c r="K1979" s="542" t="str">
        <f t="shared" si="272"/>
        <v/>
      </c>
      <c r="L1979" s="23"/>
      <c r="M1979" s="2464"/>
      <c r="N1979" s="2466" t="str">
        <f t="shared" si="277"/>
        <v/>
      </c>
      <c r="O1979" s="946" t="b">
        <f>AND(NOT(Conf.marionetas_final="-"),OR(PDs!T176&gt;4,PDs!W176&gt;0,PDs!X176&gt;0,$G$303&gt;0))</f>
        <v>0</v>
      </c>
      <c r="P1979" s="656" t="s">
        <v>6435</v>
      </c>
      <c r="Q1979" s="655">
        <f>PDs!AA176</f>
        <v>-15</v>
      </c>
      <c r="R1979" s="654" t="str">
        <f>IF(PDs!I176=0,"",P1979&amp;" ("&amp;PDs!I176&amp;")")</f>
        <v/>
      </c>
      <c r="S1979" s="654" t="e">
        <f>LEFT(PDs!AG176,2)+LEFT(PDs!AH176,2)</f>
        <v>#N/A</v>
      </c>
      <c r="T1979" s="654" t="str">
        <f>IF(PDs!AI176,MID(PDs!AH176,4,25)&amp;MID(PDs!AG176,4,25),"")</f>
        <v/>
      </c>
      <c r="U1979" s="1367"/>
      <c r="V1979" s="1367"/>
      <c r="W1979" s="654">
        <f t="shared" si="278"/>
        <v>-15</v>
      </c>
      <c r="X1979" s="654" t="str">
        <f t="shared" si="279"/>
        <v/>
      </c>
      <c r="Y1979" s="654" t="str">
        <f t="shared" si="271"/>
        <v/>
      </c>
      <c r="Z1979" s="1367" t="str">
        <f t="shared" si="273"/>
        <v/>
      </c>
      <c r="AA1979" s="654" t="str">
        <f t="shared" si="280"/>
        <v/>
      </c>
      <c r="AB1979" s="654" t="str">
        <f t="shared" si="274"/>
        <v>Conf. marionetas -15</v>
      </c>
      <c r="AC1979" s="656">
        <f t="shared" si="275"/>
        <v>15</v>
      </c>
      <c r="AD1979" s="656" t="str">
        <f t="shared" si="276"/>
        <v/>
      </c>
      <c r="AE1979" s="5853"/>
      <c r="AF1979" s="1451">
        <f>Principal!O72</f>
        <v>0</v>
      </c>
      <c r="AH1979" s="2719"/>
    </row>
    <row r="1980" spans="1:34" ht="12.75" customHeight="1" x14ac:dyDescent="0.2">
      <c r="A1980" s="242">
        <v>1980</v>
      </c>
      <c r="B1980" s="5664"/>
      <c r="C1980" s="294"/>
      <c r="D1980" s="23"/>
      <c r="E1980" s="40"/>
      <c r="G1980" s="39" t="str">
        <f>IF(Místicos!H21&gt;0,", "&amp;Místicos!H21&amp;" "&amp;Místicos!C21&amp;IF(Místicos!E21="",""," ("&amp;Místicos!E21&amp;")"),"")</f>
        <v/>
      </c>
      <c r="H1980" s="40"/>
      <c r="K1980" s="542" t="str">
        <f t="shared" si="272"/>
        <v/>
      </c>
      <c r="L1980" s="23"/>
      <c r="M1980" s="2464"/>
      <c r="N1980" s="2466" t="str">
        <f t="shared" si="277"/>
        <v>, Prueba 25</v>
      </c>
      <c r="O1980" s="947" t="b">
        <f>AND(NOT(PDs!$AA$177="-"),OR(PDs!T177&gt;4,PDs!W177&gt;0,PDs!X177&gt;0,$G$303&gt;0))</f>
        <v>1</v>
      </c>
      <c r="P1980" s="659" t="str">
        <f>IF(PDs!E177="","Secundaria Personal 1",PDs!E177)</f>
        <v>Prueba</v>
      </c>
      <c r="Q1980" s="658">
        <f>PDs!AA177</f>
        <v>25</v>
      </c>
      <c r="R1980" s="657" t="str">
        <f>IF(PDs!I177=0,"",P1980&amp;" ("&amp;PDs!I177&amp;")")</f>
        <v/>
      </c>
      <c r="S1980" s="657">
        <f>PDs!AF177</f>
        <v>0</v>
      </c>
      <c r="T1980" s="657"/>
      <c r="U1980" s="1368"/>
      <c r="V1980" s="1368"/>
      <c r="W1980" s="657">
        <f t="shared" si="278"/>
        <v>25</v>
      </c>
      <c r="X1980" s="657" t="str">
        <f t="shared" si="279"/>
        <v/>
      </c>
      <c r="Y1980" s="657" t="str">
        <f t="shared" si="271"/>
        <v/>
      </c>
      <c r="Z1980" s="1368" t="str">
        <f t="shared" si="273"/>
        <v/>
      </c>
      <c r="AA1980" s="657" t="str">
        <f t="shared" si="280"/>
        <v/>
      </c>
      <c r="AB1980" s="657" t="str">
        <f t="shared" si="274"/>
        <v>Prueba 25</v>
      </c>
      <c r="AC1980" s="659">
        <f t="shared" si="275"/>
        <v>39</v>
      </c>
      <c r="AD1980" s="656" t="str">
        <f t="shared" si="276"/>
        <v/>
      </c>
      <c r="AE1980" s="5853"/>
      <c r="AF1980" s="1451">
        <f>Principal!O73</f>
        <v>0</v>
      </c>
      <c r="AH1980" s="2719"/>
    </row>
    <row r="1981" spans="1:34" ht="12.75" customHeight="1" x14ac:dyDescent="0.2">
      <c r="A1981" s="242">
        <v>1981</v>
      </c>
      <c r="B1981" s="5664"/>
      <c r="C1981" s="294" t="str">
        <f>IF(Ki!$H$43="-",", "&amp;Ki!$C$43,"")</f>
        <v/>
      </c>
      <c r="D1981" s="23"/>
      <c r="E1981" s="40"/>
      <c r="G1981" s="39" t="str">
        <f>IF(Místicos!H22&gt;0,", "&amp;Místicos!H22&amp;" "&amp;Místicos!C22&amp;IF(Místicos!E22="",""," ("&amp;Místicos!E22&amp;")"),"")</f>
        <v/>
      </c>
      <c r="H1981" s="40"/>
      <c r="K1981" s="542" t="str">
        <f t="shared" si="272"/>
        <v/>
      </c>
      <c r="L1981" s="23"/>
      <c r="M1981" s="2464"/>
      <c r="N1981" s="2466" t="str">
        <f t="shared" si="277"/>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8"/>
        <v>-</v>
      </c>
      <c r="X1981" s="657" t="str">
        <f t="shared" si="279"/>
        <v/>
      </c>
      <c r="Y1981" s="657" t="str">
        <f t="shared" si="271"/>
        <v/>
      </c>
      <c r="Z1981" s="1368" t="str">
        <f t="shared" si="273"/>
        <v/>
      </c>
      <c r="AA1981" s="657" t="str">
        <f t="shared" si="280"/>
        <v/>
      </c>
      <c r="AB1981" s="657" t="str">
        <f t="shared" si="274"/>
        <v>Secundaria Personal 2 -</v>
      </c>
      <c r="AC1981" s="659">
        <f t="shared" si="275"/>
        <v>45</v>
      </c>
      <c r="AD1981" s="656" t="str">
        <f t="shared" si="276"/>
        <v/>
      </c>
      <c r="AE1981" s="5853"/>
      <c r="AF1981" s="1451">
        <f>Principal!O74</f>
        <v>0</v>
      </c>
      <c r="AH1981" s="2719"/>
    </row>
    <row r="1982" spans="1:34" ht="12.75" customHeight="1" x14ac:dyDescent="0.2">
      <c r="A1982" s="242">
        <v>1982</v>
      </c>
      <c r="B1982" s="5664"/>
      <c r="C1982" s="294" t="str">
        <f>IF(Ki!$H$45="-",", "&amp;Ki!$C$45,"")</f>
        <v/>
      </c>
      <c r="D1982" s="23"/>
      <c r="E1982" s="40"/>
      <c r="G1982" s="39" t="str">
        <f>IF(Místicos!H23&gt;0,", "&amp;Místicos!H23&amp;" "&amp;Místicos!C23&amp;IF(Místicos!E23="",""," ("&amp;Místicos!E23&amp;")"),"")</f>
        <v/>
      </c>
      <c r="H1982" s="40"/>
      <c r="K1982" s="542" t="str">
        <f t="shared" si="272"/>
        <v/>
      </c>
      <c r="L1982" s="23"/>
      <c r="M1982" s="2464"/>
      <c r="N1982" s="2466" t="str">
        <f t="shared" si="277"/>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8"/>
        <v>-</v>
      </c>
      <c r="X1982" s="657" t="str">
        <f t="shared" si="279"/>
        <v/>
      </c>
      <c r="Y1982" s="657" t="str">
        <f t="shared" si="271"/>
        <v/>
      </c>
      <c r="Z1982" s="1368" t="str">
        <f t="shared" si="273"/>
        <v/>
      </c>
      <c r="AA1982" s="657" t="str">
        <f t="shared" si="280"/>
        <v/>
      </c>
      <c r="AB1982" s="657" t="str">
        <f t="shared" si="274"/>
        <v>Secundaria Personal 3 -</v>
      </c>
      <c r="AC1982" s="659">
        <f t="shared" si="275"/>
        <v>46</v>
      </c>
      <c r="AD1982" s="656" t="str">
        <f t="shared" si="276"/>
        <v/>
      </c>
      <c r="AE1982" s="5853"/>
      <c r="AF1982" s="1451">
        <f>Principal!O75</f>
        <v>0</v>
      </c>
      <c r="AH1982" s="2719"/>
    </row>
    <row r="1983" spans="1:34" ht="12.75" customHeight="1" x14ac:dyDescent="0.2">
      <c r="A1983" s="242">
        <v>1983</v>
      </c>
      <c r="B1983" s="5664"/>
      <c r="C1983" s="294" t="str">
        <f>IF(Ki!$H$46="-",", "&amp;Ki!$D$46,"")</f>
        <v/>
      </c>
      <c r="D1983" s="23"/>
      <c r="E1983" s="40"/>
      <c r="G1983" s="39" t="str">
        <f>IF(Místicos!H24&gt;0,", "&amp;Místicos!H24&amp;" "&amp;Místicos!C24&amp;IF(Místicos!E24="",""," ("&amp;Místicos!E24&amp;")"),"")</f>
        <v/>
      </c>
      <c r="H1983" s="40"/>
      <c r="K1983" s="542" t="str">
        <f t="shared" si="272"/>
        <v/>
      </c>
      <c r="L1983" s="23"/>
      <c r="M1983" s="2464"/>
      <c r="N1983" s="2466" t="str">
        <f t="shared" si="277"/>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8"/>
        <v>-</v>
      </c>
      <c r="X1983" s="657" t="str">
        <f t="shared" si="279"/>
        <v/>
      </c>
      <c r="Y1983" s="657" t="str">
        <f t="shared" si="271"/>
        <v/>
      </c>
      <c r="Z1983" s="1368" t="str">
        <f t="shared" si="273"/>
        <v/>
      </c>
      <c r="AA1983" s="657" t="str">
        <f t="shared" si="280"/>
        <v/>
      </c>
      <c r="AB1983" s="657" t="str">
        <f t="shared" si="274"/>
        <v>Secundaria Personal 4 -</v>
      </c>
      <c r="AC1983" s="659">
        <f t="shared" si="275"/>
        <v>47</v>
      </c>
      <c r="AD1983" s="656" t="str">
        <f t="shared" si="276"/>
        <v/>
      </c>
      <c r="AE1983" s="5853"/>
      <c r="AF1983" s="1451">
        <f>Principal!O76</f>
        <v>0</v>
      </c>
      <c r="AH1983" s="2719"/>
    </row>
    <row r="1984" spans="1:34" ht="12.75" customHeight="1" thickBot="1" x14ac:dyDescent="0.25">
      <c r="A1984" s="242">
        <v>1984</v>
      </c>
      <c r="B1984" s="5664"/>
      <c r="C1984" s="294" t="str">
        <f>IF(Ki!$H$47="-",", "&amp;Ki!$C$47,"")</f>
        <v/>
      </c>
      <c r="D1984" s="23"/>
      <c r="E1984" s="40"/>
      <c r="G1984" s="39" t="str">
        <f>IF(Místicos!H25&gt;0,", "&amp;Místicos!H25&amp;" "&amp;Místicos!C25&amp;IF(Místicos!E25="",""," ("&amp;Místicos!E25&amp;")"),"")</f>
        <v/>
      </c>
      <c r="H1984" s="40"/>
      <c r="K1984" s="544" t="str">
        <f t="shared" si="272"/>
        <v/>
      </c>
      <c r="L1984" s="648"/>
      <c r="M1984" s="2465"/>
      <c r="N1984" s="2467" t="str">
        <f t="shared" si="277"/>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8"/>
        <v>-</v>
      </c>
      <c r="X1984" s="1248" t="str">
        <f t="shared" si="279"/>
        <v/>
      </c>
      <c r="Y1984" s="1248" t="str">
        <f t="shared" si="271"/>
        <v/>
      </c>
      <c r="Z1984" s="1369" t="str">
        <f t="shared" si="273"/>
        <v/>
      </c>
      <c r="AA1984" s="1248" t="str">
        <f t="shared" si="280"/>
        <v/>
      </c>
      <c r="AB1984" s="1248" t="str">
        <f t="shared" si="274"/>
        <v>Secundaria Personal 5 -</v>
      </c>
      <c r="AC1984" s="1365">
        <f t="shared" si="275"/>
        <v>48</v>
      </c>
      <c r="AD1984" s="1244" t="str">
        <f t="shared" si="276"/>
        <v/>
      </c>
      <c r="AE1984" s="5854"/>
      <c r="AF1984" s="1452">
        <f>Principal!O77</f>
        <v>0</v>
      </c>
      <c r="AH1984" s="2719"/>
    </row>
    <row r="1985" spans="1:34" ht="12.75" customHeight="1" thickBot="1" x14ac:dyDescent="0.25">
      <c r="A1985" s="242">
        <v>1985</v>
      </c>
      <c r="B1985" s="5664"/>
      <c r="C1985" s="294" t="str">
        <f>IF(Ki!$H$48="-",", "&amp;Ki!$D$48,"")</f>
        <v/>
      </c>
      <c r="D1985" s="23"/>
      <c r="E1985" s="40"/>
      <c r="G1985" s="76" t="str">
        <f>IF(Místicos!H26&gt;0,IFERROR(", "&amp;Místicos!H26&amp;" "&amp;Místicos!C26&amp;" ("&amp;H1990&amp;")",""),"")</f>
        <v/>
      </c>
      <c r="H1985" s="78"/>
      <c r="K1985" s="5625"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Prueba 25</v>
      </c>
      <c r="L1985" s="5626"/>
      <c r="M1985" s="2462"/>
      <c r="N1985" s="2468"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Prueba 25</v>
      </c>
      <c r="S1985" s="624"/>
      <c r="Y1985"/>
      <c r="Z1985"/>
      <c r="AA1985"/>
      <c r="AB1985"/>
      <c r="AH1985" s="2719"/>
    </row>
    <row r="1986" spans="1:34" ht="12.75" customHeight="1" thickBot="1" x14ac:dyDescent="0.25">
      <c r="A1986" s="242">
        <v>1986</v>
      </c>
      <c r="B1986" s="5664"/>
      <c r="C1986" s="294" t="str">
        <f>IF(Ki!$H$49="-",", "&amp;Ki!$C$49,"")</f>
        <v/>
      </c>
      <c r="D1986" s="23"/>
      <c r="E1986" s="40"/>
      <c r="AH1986" s="2719"/>
    </row>
    <row r="1987" spans="1:34" ht="12.75" customHeight="1" thickBot="1" x14ac:dyDescent="0.25">
      <c r="A1987" s="242">
        <v>1987</v>
      </c>
      <c r="B1987" s="5664"/>
      <c r="C1987" s="294" t="str">
        <f>IF(Ki!$H$50="-",", "&amp;Ki!$D$50,"")</f>
        <v/>
      </c>
      <c r="D1987" s="23"/>
      <c r="E1987" s="40"/>
      <c r="G1987" s="3062" t="s">
        <v>9020</v>
      </c>
      <c r="H1987" s="3134"/>
      <c r="AH1987" s="2719"/>
    </row>
    <row r="1988" spans="1:34" ht="12.75" customHeight="1" thickBot="1" x14ac:dyDescent="0.25">
      <c r="A1988" s="242">
        <v>1988</v>
      </c>
      <c r="B1988" s="5664"/>
      <c r="C1988" s="294" t="str">
        <f>IF(Ki!$H$51="-",", "&amp;Ki!$C$51,"")</f>
        <v/>
      </c>
      <c r="D1988" s="23"/>
      <c r="E1988" s="40"/>
      <c r="G1988" s="5609"/>
      <c r="H1988" s="5387"/>
      <c r="AH1988" s="2719"/>
    </row>
    <row r="1989" spans="1:34" ht="12.75" customHeight="1" thickBot="1" x14ac:dyDescent="0.25">
      <c r="A1989" s="242">
        <v>1989</v>
      </c>
      <c r="B1989" s="5664"/>
      <c r="C1989" s="294" t="str">
        <f>IF(Ki!$H$52="-",", "&amp;Ki!$D$52,"")</f>
        <v/>
      </c>
      <c r="D1989" s="23"/>
      <c r="E1989" s="40"/>
      <c r="G1989" s="2071"/>
      <c r="H1989" s="2074" t="s">
        <v>9026</v>
      </c>
    </row>
    <row r="1990" spans="1:34" ht="12.75" customHeight="1" thickBot="1" x14ac:dyDescent="0.25">
      <c r="A1990" s="242">
        <v>1990</v>
      </c>
      <c r="B1990" s="5664"/>
      <c r="C1990" s="294" t="str">
        <f>IF(Ki!$H$53="-",", "&amp;Ki!$C$53,"")</f>
        <v/>
      </c>
      <c r="D1990" s="23"/>
      <c r="E1990" s="40"/>
      <c r="G1990" s="2072"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3" t="str">
        <f>IFERROR(RIGHT(G1990,LEN(G1990)-2),"")</f>
        <v/>
      </c>
    </row>
    <row r="1991" spans="1:34" ht="12.75" customHeight="1" thickBot="1" x14ac:dyDescent="0.25">
      <c r="A1991" s="242">
        <v>1991</v>
      </c>
      <c r="B1991" s="5664"/>
      <c r="C1991" s="294" t="str">
        <f>IF(Ki!$H$54="-",", "&amp;Ki!$C$54,"")</f>
        <v/>
      </c>
      <c r="D1991" s="23"/>
      <c r="E1991" s="40"/>
    </row>
    <row r="1992" spans="1:34" ht="12.75" customHeight="1" thickBot="1" x14ac:dyDescent="0.25">
      <c r="A1992" s="242">
        <v>1992</v>
      </c>
      <c r="B1992" s="5664"/>
      <c r="C1992" s="294" t="str">
        <f>IF(CuerpodeVacío,", "&amp;Ki!$C$56,"")</f>
        <v/>
      </c>
      <c r="D1992" s="23"/>
      <c r="E1992" s="40"/>
      <c r="G1992" s="3062" t="s">
        <v>9932</v>
      </c>
      <c r="H1992" s="3134"/>
    </row>
    <row r="1993" spans="1:34" ht="12.75" customHeight="1" thickBot="1" x14ac:dyDescent="0.25">
      <c r="A1993" s="242">
        <v>1993</v>
      </c>
      <c r="B1993" s="5664"/>
      <c r="C1993" s="294" t="str">
        <f>IF(Ki!$H$57="-",", "&amp;Ki!$D$57,"")</f>
        <v/>
      </c>
      <c r="D1993" s="23"/>
      <c r="E1993" s="40"/>
      <c r="G1993" s="5609"/>
      <c r="H1993" s="5387"/>
    </row>
    <row r="1994" spans="1:34" ht="12.75" customHeight="1" thickBot="1" x14ac:dyDescent="0.25">
      <c r="A1994" s="242">
        <v>1994</v>
      </c>
      <c r="B1994" s="5664"/>
      <c r="C1994" s="294" t="str">
        <f>IF(Ki!$H$58="-",", "&amp;Ki!$D$58,"")</f>
        <v/>
      </c>
      <c r="D1994" s="23"/>
      <c r="E1994" s="40"/>
      <c r="G1994" s="2691"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3"/>
    </row>
    <row r="1995" spans="1:34" ht="12.75" customHeight="1" x14ac:dyDescent="0.2">
      <c r="A1995" s="242">
        <v>1995</v>
      </c>
      <c r="B1995" s="5664"/>
      <c r="C1995" s="294" t="str">
        <f>IF(Ki!$H$55="-",", "&amp;Ki!$D$55,"")</f>
        <v/>
      </c>
      <c r="D1995" s="23"/>
      <c r="E1995" s="40"/>
    </row>
    <row r="1996" spans="1:34" ht="12.75" customHeight="1" thickBot="1" x14ac:dyDescent="0.25">
      <c r="A1996" s="242">
        <v>1996</v>
      </c>
      <c r="B1996" s="5664"/>
      <c r="C1996" s="294" t="str">
        <f>IF(Ki!$H$59="-",", "&amp;Ki!$D$59,"")</f>
        <v/>
      </c>
      <c r="D1996" s="23"/>
      <c r="E1996" s="40"/>
    </row>
    <row r="1997" spans="1:34" ht="12.75" customHeight="1" thickBot="1" x14ac:dyDescent="0.25">
      <c r="A1997" s="242">
        <v>1997</v>
      </c>
      <c r="B1997" s="5664"/>
      <c r="C1997" s="294" t="str">
        <f>IF(Ki!$H$60="-",", "&amp;Ki!$E$60,"")</f>
        <v/>
      </c>
      <c r="D1997" s="23"/>
      <c r="E1997" s="40"/>
      <c r="G1997" s="3156" t="s">
        <v>649</v>
      </c>
      <c r="H1997" s="3156"/>
    </row>
    <row r="1998" spans="1:34" ht="12.75" customHeight="1" thickBot="1" x14ac:dyDescent="0.25">
      <c r="A1998" s="242">
        <v>1998</v>
      </c>
      <c r="B1998" s="5664"/>
      <c r="C1998" s="294" t="str">
        <f>IF(Ki!$H$61="-",", "&amp;Ki!$C$61,"")</f>
        <v/>
      </c>
      <c r="D1998" s="23"/>
      <c r="E1998" s="40"/>
      <c r="G1998" s="3156"/>
      <c r="H1998" s="3156"/>
    </row>
    <row r="1999" spans="1:34" ht="12.75" customHeight="1" x14ac:dyDescent="0.2">
      <c r="A1999" s="242">
        <v>1999</v>
      </c>
      <c r="B1999" s="5664"/>
      <c r="C1999" s="294" t="str">
        <f>IF(Ki!$H$62="-",", "&amp;Ki!$C$62,"")</f>
        <v/>
      </c>
      <c r="D1999" s="23"/>
      <c r="E1999" s="40"/>
      <c r="G1999" s="39" t="str">
        <f>IF(Combate!AB55="","",IF(SUM(Ki!U23:U63)=0,"Magnus ("&amp;Combate!AB55&amp;")",", Magnus ("&amp;Combate!AB55&amp;")"))</f>
        <v/>
      </c>
      <c r="H1999" s="40"/>
    </row>
    <row r="2000" spans="1:34" ht="12.75" customHeight="1" x14ac:dyDescent="0.2">
      <c r="A2000" s="242">
        <v>2000</v>
      </c>
      <c r="B2000" s="5664"/>
      <c r="C2000" s="294" t="str">
        <f>IF(Tablas!$AI$50,", "&amp;"Inhumanidad","")</f>
        <v/>
      </c>
      <c r="D2000" s="23"/>
      <c r="E2000" s="40"/>
      <c r="G2000" s="39" t="str">
        <f>IF(Combate!AB57="","",", Magnus ("&amp;Combate!AB57&amp;")")</f>
        <v/>
      </c>
      <c r="H2000" s="40"/>
    </row>
    <row r="2001" spans="1:33" ht="12.75" customHeight="1" x14ac:dyDescent="0.2">
      <c r="A2001" s="242">
        <v>2001</v>
      </c>
      <c r="B2001" s="5664"/>
      <c r="C2001" s="294" t="str">
        <f>IF(Tablas!$AJ$50,", "&amp;"Zen","")</f>
        <v/>
      </c>
      <c r="D2001" s="23"/>
      <c r="E2001" s="40"/>
      <c r="G2001" s="39" t="str">
        <f>IF(Combate!AB59="","",", Magnus ("&amp;Combate!AB59&amp;")")</f>
        <v/>
      </c>
      <c r="H2001" s="40"/>
    </row>
    <row r="2002" spans="1:33" ht="12.75" customHeight="1" x14ac:dyDescent="0.2">
      <c r="A2002" s="242">
        <v>2002</v>
      </c>
      <c r="B2002" s="5664"/>
      <c r="C2002" s="294" t="str">
        <f>IF(Ki!C40="","",", "&amp;Ki!C40)</f>
        <v/>
      </c>
      <c r="D2002" s="23"/>
      <c r="E2002" s="40"/>
      <c r="G2002" s="39" t="str">
        <f>IF(Combate!AB61="","",", Magnus ("&amp;Combate!AB61&amp;")")</f>
        <v/>
      </c>
      <c r="H2002" s="40"/>
    </row>
    <row r="2003" spans="1:33" ht="12.75" customHeight="1" thickBot="1" x14ac:dyDescent="0.25">
      <c r="A2003" s="242">
        <v>2003</v>
      </c>
      <c r="B2003" s="5664"/>
      <c r="C2003" s="295" t="str">
        <f>IF(Ki!C41="","",", "&amp;Ki!C41)</f>
        <v/>
      </c>
      <c r="D2003" s="77"/>
      <c r="E2003" s="78"/>
      <c r="G2003" s="76" t="str">
        <f>IF(Combate!AB63="","",", Magnus ("&amp;Combate!AB63&amp;")")</f>
        <v/>
      </c>
      <c r="H2003" s="78"/>
    </row>
    <row r="2004" spans="1:33" ht="12.75" customHeight="1" x14ac:dyDescent="0.2">
      <c r="A2004" s="242">
        <v>2004</v>
      </c>
      <c r="B2004" s="5664"/>
      <c r="H2004"/>
      <c r="I2004" s="624"/>
    </row>
    <row r="2005" spans="1:33" ht="12.75" customHeight="1" x14ac:dyDescent="0.2">
      <c r="A2005" s="242">
        <v>2005</v>
      </c>
      <c r="B2005" s="5664"/>
      <c r="C2005" s="2862" t="s">
        <v>648</v>
      </c>
      <c r="D2005" s="2862"/>
      <c r="E2005" s="2862"/>
      <c r="F2005" s="2862"/>
      <c r="G2005" s="2862"/>
      <c r="H2005"/>
      <c r="I2005" s="624"/>
    </row>
    <row r="2006" spans="1:33" ht="12.75" customHeight="1" x14ac:dyDescent="0.2">
      <c r="A2006" s="242">
        <v>2006</v>
      </c>
      <c r="B2006" s="5664"/>
      <c r="C2006" s="5599"/>
      <c r="D2006" s="5599"/>
      <c r="E2006" s="5599"/>
      <c r="F2006" s="5599"/>
      <c r="G2006" s="5599"/>
      <c r="H2006"/>
      <c r="I2006" s="624"/>
    </row>
    <row r="2007" spans="1:33" ht="12.75" customHeight="1" x14ac:dyDescent="0.2">
      <c r="A2007" s="242">
        <v>2007</v>
      </c>
      <c r="B2007" s="5664"/>
      <c r="C2007" s="967" t="s">
        <v>2709</v>
      </c>
      <c r="D2007" s="937" t="s">
        <v>1373</v>
      </c>
      <c r="E2007" s="937" t="s">
        <v>8821</v>
      </c>
      <c r="F2007" s="936" t="s">
        <v>6553</v>
      </c>
      <c r="G2007" s="938" t="s">
        <v>7338</v>
      </c>
      <c r="H2007"/>
      <c r="I2007" s="624"/>
    </row>
    <row r="2008" spans="1:33" ht="12.75" customHeight="1" x14ac:dyDescent="0.2">
      <c r="A2008" s="242">
        <v>2008</v>
      </c>
      <c r="B2008" s="5664"/>
      <c r="C2008" s="965">
        <f t="shared" ref="C2008:C2042" si="281">IF(D2008="","",COUNTIF($D$2008:$D$2050,"&lt;="&amp;D2008)-SUMPRODUCT(--($D$2008:$D$2050="")))</f>
        <v>1</v>
      </c>
      <c r="D2008" s="542" t="str">
        <f>IF(Combate!AL11=" ","",Combate!AL11)</f>
        <v>Tabla de profesión: Aborigen</v>
      </c>
      <c r="E2008" s="542" t="str">
        <f>D2008</f>
        <v>Tabla de profesión: Aborigen</v>
      </c>
      <c r="F2008" s="933" t="str">
        <f>IF(ISNA(VLOOKUP(MIN($C$2008:$C$2050)+A1-1,$C$2008:$E$2050,3,0)),"",VLOOKUP(MIN($C$2008:$C$2050)+A1-1,$C$2008:$E$2050,3,0))</f>
        <v>Tabla de profesión: Aborigen</v>
      </c>
      <c r="G2008" s="5723"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Tabla de profesión: Aborigen</v>
      </c>
      <c r="H2008"/>
      <c r="I2008" s="624"/>
      <c r="N2008"/>
      <c r="O2008" s="624"/>
    </row>
    <row r="2009" spans="1:33" ht="12.75" customHeight="1" thickBot="1" x14ac:dyDescent="0.25">
      <c r="A2009" s="242">
        <v>2009</v>
      </c>
      <c r="B2009" s="5664"/>
      <c r="C2009" s="964" t="str">
        <f t="shared" si="281"/>
        <v/>
      </c>
      <c r="D2009" s="542" t="str">
        <f>IF(Combate!AL12=" ","",Combate!AL12)</f>
        <v/>
      </c>
      <c r="E2009" s="542" t="str">
        <f t="shared" ref="E2009:E2012" si="282">D2009</f>
        <v/>
      </c>
      <c r="F2009" s="934" t="str">
        <f t="shared" ref="F2009:F2050" si="283">IF(ISNA(VLOOKUP(MIN($C$2008:$C$2050)+A2-1,$C$2008:$E$2050,3,0)),"",", "&amp;VLOOKUP(MIN($C$2008:$C$2050)+A2-1,$C$2008:$E$2050,3,0))</f>
        <v/>
      </c>
      <c r="G2009" s="5723"/>
      <c r="H2009"/>
      <c r="I2009" s="624"/>
      <c r="N2009"/>
      <c r="O2009" s="624"/>
    </row>
    <row r="2010" spans="1:33" ht="12.75" customHeight="1" x14ac:dyDescent="0.2">
      <c r="A2010" s="242">
        <v>2010</v>
      </c>
      <c r="B2010" s="5664"/>
      <c r="C2010" s="964" t="str">
        <f t="shared" si="281"/>
        <v/>
      </c>
      <c r="D2010" s="542" t="str">
        <f>IF(Combate!AL13=" ","",Combate!AL13)</f>
        <v/>
      </c>
      <c r="E2010" s="542" t="str">
        <f t="shared" si="282"/>
        <v/>
      </c>
      <c r="F2010" s="934" t="str">
        <f t="shared" si="283"/>
        <v/>
      </c>
      <c r="G2010" s="5723"/>
      <c r="J2010" s="2847" t="s">
        <v>7331</v>
      </c>
      <c r="K2010" s="2848"/>
      <c r="L2010" s="2848"/>
      <c r="M2010" s="2848"/>
      <c r="N2010" s="2848"/>
      <c r="O2010" s="2848"/>
      <c r="P2010" s="2848"/>
      <c r="Q2010" s="2848"/>
      <c r="R2010" s="2848"/>
      <c r="S2010" s="2848"/>
      <c r="T2010" s="2848"/>
      <c r="U2010" s="2848"/>
      <c r="V2010" s="2848"/>
      <c r="W2010" s="2848"/>
      <c r="X2010" s="2848"/>
      <c r="Y2010" s="2848"/>
      <c r="Z2010" s="2848"/>
      <c r="AA2010" s="2848"/>
      <c r="AB2010" s="2848"/>
      <c r="AC2010" s="2848"/>
      <c r="AD2010" s="2848"/>
      <c r="AE2010" s="2849"/>
    </row>
    <row r="2011" spans="1:33" ht="12.75" customHeight="1" x14ac:dyDescent="0.2">
      <c r="A2011" s="242">
        <v>2011</v>
      </c>
      <c r="B2011" s="5664"/>
      <c r="C2011" s="964" t="str">
        <f t="shared" si="281"/>
        <v/>
      </c>
      <c r="D2011" s="542" t="str">
        <f>IF(Combate!AL14=" ","",Combate!AL14)</f>
        <v/>
      </c>
      <c r="E2011" s="542" t="str">
        <f t="shared" si="282"/>
        <v/>
      </c>
      <c r="F2011" s="934" t="str">
        <f t="shared" si="283"/>
        <v/>
      </c>
      <c r="G2011" s="5723"/>
      <c r="J2011" s="2861" t="s">
        <v>7330</v>
      </c>
      <c r="K2011" s="2862"/>
      <c r="L2011" s="5599" t="s">
        <v>7329</v>
      </c>
      <c r="M2011" s="5599"/>
      <c r="N2011" s="5599"/>
      <c r="O2011" s="5599"/>
      <c r="P2011" s="5599"/>
      <c r="Q2011" s="5599"/>
      <c r="R2011" s="5599"/>
      <c r="S2011" s="5599"/>
      <c r="T2011" s="5599"/>
      <c r="U2011" s="5599"/>
      <c r="V2011" s="5599"/>
      <c r="W2011" s="5599"/>
      <c r="X2011" s="5599"/>
      <c r="Y2011" s="5599"/>
      <c r="Z2011" s="5599"/>
      <c r="AA2011" s="5599"/>
      <c r="AB2011" s="5599"/>
      <c r="AC2011" s="5599"/>
      <c r="AD2011" s="5599"/>
      <c r="AE2011" s="5608"/>
    </row>
    <row r="2012" spans="1:33" ht="12.75" customHeight="1" x14ac:dyDescent="0.2">
      <c r="A2012" s="242">
        <v>2012</v>
      </c>
      <c r="B2012" s="5664"/>
      <c r="C2012" s="964" t="str">
        <f t="shared" si="281"/>
        <v/>
      </c>
      <c r="D2012" s="542" t="str">
        <f>IF(Combate!AL15=" ","",Combate!AL15)</f>
        <v/>
      </c>
      <c r="E2012" s="542" t="str">
        <f t="shared" si="282"/>
        <v/>
      </c>
      <c r="F2012" s="934" t="str">
        <f t="shared" si="283"/>
        <v/>
      </c>
      <c r="G2012" s="5723"/>
      <c r="J2012" s="943" t="s">
        <v>1373</v>
      </c>
      <c r="K2012" s="1176" t="s">
        <v>7337</v>
      </c>
      <c r="L2012" s="5728" t="str">
        <f>IF(ISNA(VLOOKUP(A1,$AF$2015:$AG$2042,2,FALSE)),"",VLOOKUP(A1,$AF$2015:$AG$2042,2,FALSE))</f>
        <v/>
      </c>
      <c r="M2012" s="5729"/>
      <c r="N2012" s="5729" t="str">
        <f>IF(ISNA(VLOOKUP(B1,$AF$2015:$AG$2042,2,FALSE)),"",VLOOKUP(B1,$AF$2015:$AG$2042,2,FALSE))</f>
        <v/>
      </c>
      <c r="O2012" s="5729"/>
      <c r="P2012" s="5729" t="str">
        <f>IF(ISNA(VLOOKUP(C1,$AF$2015:$AG$2042,2,FALSE)),"",VLOOKUP(C1,$AF$2015:$AG$2042,2,FALSE))</f>
        <v/>
      </c>
      <c r="Q2012" s="5729"/>
      <c r="R2012" s="5729" t="str">
        <f>IF(ISNA(VLOOKUP(D1,$AF$2015:$AG$2042,2,FALSE)),"",VLOOKUP(D1,$AF$2015:$AG$2042,2,FALSE))</f>
        <v/>
      </c>
      <c r="S2012" s="5729"/>
      <c r="T2012" s="5729" t="str">
        <f>IF(ISNA(VLOOKUP(E1,$AF$2015:$AG$2042,2,FALSE)),"",VLOOKUP(E1,$AF$2015:$AG$2042,2,FALSE))</f>
        <v/>
      </c>
      <c r="U2012" s="5729"/>
      <c r="V2012" s="5729" t="str">
        <f>IF(ISNA(VLOOKUP(F1,$AF$2015:$AG$2042,2,FALSE)),"",VLOOKUP(F1,$AF$2015:$AG$2042,2,FALSE))</f>
        <v/>
      </c>
      <c r="W2012" s="5729"/>
      <c r="X2012" s="5729" t="str">
        <f>IF(ISNA(VLOOKUP(G1,$AF$2015:$AG$2042,2,FALSE)),"",VLOOKUP(G1,$AF$2015:$AG$2042,2,FALSE))</f>
        <v/>
      </c>
      <c r="Y2012" s="5729"/>
      <c r="Z2012" s="5729" t="str">
        <f>IF(ISNA(VLOOKUP(H1,$AF$2015:$AG$2042,2,FALSE)),"",VLOOKUP(H1,$AF$2015:$AG$2042,2,FALSE))</f>
        <v/>
      </c>
      <c r="AA2012" s="5729"/>
      <c r="AB2012" s="5730" t="str">
        <f>IF(ISNA(VLOOKUP(I1,$AF$2015:$AG$2042,2,FALSE)),"",VLOOKUP(I1,$AF$2015:$AG$2042,2,FALSE))</f>
        <v/>
      </c>
      <c r="AC2012" s="5730"/>
      <c r="AD2012" s="5730" t="str">
        <f>IF(ISNA(VLOOKUP(J1,$AF$2015:$AG$2042,2,FALSE)),"",VLOOKUP(J1,$AF$2015:$AG$2042,2,FALSE))</f>
        <v/>
      </c>
      <c r="AE2012" s="5731"/>
    </row>
    <row r="2013" spans="1:33" ht="12.75" customHeight="1" x14ac:dyDescent="0.2">
      <c r="A2013" s="242">
        <v>2013</v>
      </c>
      <c r="B2013" s="5664"/>
      <c r="C2013" s="964" t="str">
        <f t="shared" si="281"/>
        <v/>
      </c>
      <c r="D2013" s="931" t="str">
        <f>IF(Combate!AL16=" ","",Combate!AL16)</f>
        <v/>
      </c>
      <c r="E2013" s="931" t="str">
        <f>D2013</f>
        <v/>
      </c>
      <c r="F2013" s="934" t="str">
        <f t="shared" si="283"/>
        <v/>
      </c>
      <c r="G2013" s="5723"/>
      <c r="J2013" s="922" t="str">
        <f>IF(ISNA(VLOOKUP(A1,Principal!$S$42:$AH$69,10,FALSE)),"",IF(VLOOKUP(A1,Principal!$S$42:$AH$69,10,FALSE)=0,"",INDEX(PoderesDeCriatura_Adquiridos,MATCH(A1,Principal!$S$42:$S$69,0))))</f>
        <v/>
      </c>
      <c r="K2013" s="988" t="str">
        <f>J2013</f>
        <v/>
      </c>
      <c r="L2013" s="939" t="s">
        <v>1373</v>
      </c>
      <c r="M2013" s="939" t="s">
        <v>7337</v>
      </c>
      <c r="N2013" s="939" t="s">
        <v>1373</v>
      </c>
      <c r="O2013" s="939" t="s">
        <v>7337</v>
      </c>
      <c r="P2013" s="939" t="s">
        <v>1373</v>
      </c>
      <c r="Q2013" s="939" t="s">
        <v>7337</v>
      </c>
      <c r="R2013" s="939" t="s">
        <v>1373</v>
      </c>
      <c r="S2013" s="939" t="s">
        <v>7337</v>
      </c>
      <c r="T2013" s="939" t="s">
        <v>1373</v>
      </c>
      <c r="U2013" s="939" t="s">
        <v>7337</v>
      </c>
      <c r="V2013" s="939" t="s">
        <v>1373</v>
      </c>
      <c r="W2013" s="939" t="s">
        <v>7337</v>
      </c>
      <c r="X2013" s="939" t="s">
        <v>1373</v>
      </c>
      <c r="Y2013" s="939" t="s">
        <v>7337</v>
      </c>
      <c r="Z2013" s="939" t="s">
        <v>1373</v>
      </c>
      <c r="AA2013" s="1453" t="s">
        <v>7337</v>
      </c>
      <c r="AB2013" s="1453" t="s">
        <v>1373</v>
      </c>
      <c r="AC2013" s="1453" t="s">
        <v>7337</v>
      </c>
      <c r="AD2013" s="1453" t="s">
        <v>1373</v>
      </c>
      <c r="AE2013" s="1454" t="s">
        <v>7337</v>
      </c>
      <c r="AF2013" s="5588" t="s">
        <v>7332</v>
      </c>
      <c r="AG2013" s="5589"/>
    </row>
    <row r="2014" spans="1:33" ht="12.75" customHeight="1" x14ac:dyDescent="0.2">
      <c r="A2014" s="242">
        <v>2014</v>
      </c>
      <c r="B2014" s="5664"/>
      <c r="C2014" s="964" t="str">
        <f>IF(D2014="","",COUNTIF($D$2008:$D$2050,"&lt;="&amp;D2014)-SUMPRODUCT(--($D$2008:$D$2050="")))</f>
        <v/>
      </c>
      <c r="D2014" s="542" t="str">
        <f>IFERROR(LEFT(H2014,FIND("(",H2014)-2),H2014)</f>
        <v/>
      </c>
      <c r="E2014" s="542" t="str">
        <f>D2014&amp;IF(ISNUMBER(I2014)," ("&amp;SUMIFS($I$2014:$I$2023,$D$2014:$D$2023,D2014)&amp;")","")</f>
        <v/>
      </c>
      <c r="F2014" s="934" t="str">
        <f t="shared" si="283"/>
        <v/>
      </c>
      <c r="G2014" s="5724"/>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2709</v>
      </c>
      <c r="AG2014" s="1456" t="s">
        <v>7333</v>
      </c>
    </row>
    <row r="2015" spans="1:33" ht="12.75" customHeight="1" x14ac:dyDescent="0.2">
      <c r="A2015" s="242">
        <v>2015</v>
      </c>
      <c r="B2015" s="5664"/>
      <c r="C2015" s="964" t="str">
        <f t="shared" si="281"/>
        <v/>
      </c>
      <c r="D2015" s="542" t="str">
        <f t="shared" ref="D2015:D2023" si="284">IFERROR(LEFT(H2015,FIND("(",H2015)-2),H2015)</f>
        <v/>
      </c>
      <c r="E2015" s="542" t="str">
        <f t="shared" ref="E2015:E2023" si="285">D2015&amp;IF(ISNUMBER(I2015)," ("&amp;SUMIFS($I$2014:$I$2023,$D$2014:$D$2023,D2015)&amp;")","")</f>
        <v/>
      </c>
      <c r="F2015" s="934" t="str">
        <f t="shared" si="283"/>
        <v/>
      </c>
      <c r="G2015" s="5724"/>
      <c r="H2015" s="1521" t="str">
        <f>Combate!AB20</f>
        <v/>
      </c>
      <c r="I2015" s="1530" t="str">
        <f t="shared" ref="I2015:I2023" si="286">IFERROR(VALUE(MID(H2015,FIND("(",H2015)+1,LEN(H2015)-1-FIND("(",H2015))),"")</f>
        <v/>
      </c>
      <c r="J2015" s="922" t="str">
        <f>IF(ISNA(VLOOKUP(A3,Principal!$S$42:$AH$69,10,FALSE)),"",IF(VLOOKUP(A3,Principal!$S$42:$AH$69,10,FALSE)=0,"",INDEX(PoderesDeCriatura_Adquiridos,MATCH(A3,Principal!$S$42:$S$69,0))))</f>
        <v/>
      </c>
      <c r="K2015" s="988" t="str">
        <f t="shared" ref="K2015:K2042" si="287">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8">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9">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664"/>
      <c r="C2016" s="964" t="str">
        <f t="shared" si="281"/>
        <v/>
      </c>
      <c r="D2016" s="542" t="str">
        <f t="shared" si="284"/>
        <v/>
      </c>
      <c r="E2016" s="542" t="str">
        <f t="shared" si="285"/>
        <v/>
      </c>
      <c r="F2016" s="934" t="str">
        <f t="shared" si="283"/>
        <v/>
      </c>
      <c r="G2016" s="5724"/>
      <c r="H2016" s="1521" t="str">
        <f>Combate!AB21</f>
        <v/>
      </c>
      <c r="I2016" s="1530" t="str">
        <f t="shared" si="286"/>
        <v/>
      </c>
      <c r="J2016" s="922" t="str">
        <f>IF(ISNA(VLOOKUP(A4,Principal!$S$42:$AH$69,10,FALSE)),"",IF(VLOOKUP(A4,Principal!$S$42:$AH$69,10,FALSE)=0,"",INDEX(PoderesDeCriatura_Adquiridos,MATCH(A4,Principal!$S$42:$S$69,0))))</f>
        <v/>
      </c>
      <c r="K2016" s="988" t="str">
        <f t="shared" si="287"/>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8"/>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9"/>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90">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1">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2">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3">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4">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5">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6">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7">IF(AD2016="","",", "&amp;AD2016)</f>
        <v/>
      </c>
      <c r="AF2016" s="940" t="str">
        <f>IF(OR(AG2016=0,ISNUMBER(MATCH(AG2016,$AG$2015:$AG2015,0))),"",MAX($AF$2014:AF2015)+1)</f>
        <v/>
      </c>
      <c r="AG2016" s="1457">
        <f>Principal!V43</f>
        <v>0</v>
      </c>
    </row>
    <row r="2017" spans="1:33" ht="12.75" customHeight="1" x14ac:dyDescent="0.2">
      <c r="A2017" s="242">
        <v>2017</v>
      </c>
      <c r="B2017" s="5664"/>
      <c r="C2017" s="964" t="str">
        <f t="shared" si="281"/>
        <v/>
      </c>
      <c r="D2017" s="542" t="str">
        <f t="shared" si="284"/>
        <v/>
      </c>
      <c r="E2017" s="542" t="str">
        <f t="shared" si="285"/>
        <v/>
      </c>
      <c r="F2017" s="934" t="str">
        <f t="shared" si="283"/>
        <v/>
      </c>
      <c r="G2017" s="5724"/>
      <c r="H2017" s="1521" t="str">
        <f>Combate!AB22</f>
        <v/>
      </c>
      <c r="I2017" s="1530" t="str">
        <f t="shared" si="286"/>
        <v/>
      </c>
      <c r="J2017" s="922" t="str">
        <f>IF(ISNA(VLOOKUP(A5,Principal!$S$42:$AH$69,10,FALSE)),"",IF(VLOOKUP(A5,Principal!$S$42:$AH$69,10,FALSE)=0,"",INDEX(PoderesDeCriatura_Adquiridos,MATCH(A5,Principal!$S$42:$S$69,0))))</f>
        <v/>
      </c>
      <c r="K2017" s="988" t="str">
        <f t="shared" si="287"/>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8"/>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9"/>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8">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9">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300">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1">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2">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3">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4">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5">IF(AD2017="","",", "&amp;AD2017)</f>
        <v/>
      </c>
      <c r="AF2017" s="940" t="str">
        <f>IF(OR(AG2017=0,ISNUMBER(MATCH(AG2017,$AG$2015:$AG2016,0))),"",MAX($AF$2014:AF2016)+1)</f>
        <v/>
      </c>
      <c r="AG2017" s="1457">
        <f>Principal!V44</f>
        <v>0</v>
      </c>
    </row>
    <row r="2018" spans="1:33" ht="12.75" customHeight="1" x14ac:dyDescent="0.2">
      <c r="A2018" s="242">
        <v>2018</v>
      </c>
      <c r="B2018" s="5664"/>
      <c r="C2018" s="964" t="str">
        <f t="shared" si="281"/>
        <v/>
      </c>
      <c r="D2018" s="542" t="str">
        <f t="shared" si="284"/>
        <v/>
      </c>
      <c r="E2018" s="542" t="str">
        <f t="shared" si="285"/>
        <v/>
      </c>
      <c r="F2018" s="934" t="str">
        <f t="shared" si="283"/>
        <v/>
      </c>
      <c r="G2018" s="5724"/>
      <c r="H2018" s="1521" t="str">
        <f>Combate!AB23</f>
        <v/>
      </c>
      <c r="I2018" s="1530" t="str">
        <f t="shared" si="286"/>
        <v/>
      </c>
      <c r="J2018" s="922" t="str">
        <f>IF(ISNA(VLOOKUP(A6,Principal!$S$42:$AH$69,10,FALSE)),"",IF(VLOOKUP(A6,Principal!$S$42:$AH$69,10,FALSE)=0,"",INDEX(PoderesDeCriatura_Adquiridos,MATCH(A6,Principal!$S$42:$S$69,0))))</f>
        <v/>
      </c>
      <c r="K2018" s="988" t="str">
        <f t="shared" si="287"/>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8"/>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9"/>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6">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7">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8">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9">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10">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1">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2">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3">IF(AD2018="","",", "&amp;AD2018)</f>
        <v/>
      </c>
      <c r="AF2018" s="940" t="str">
        <f>IF(OR(AG2018=0,ISNUMBER(MATCH(AG2018,$AG$2015:$AG2017,0))),"",MAX($AF$2014:AF2017)+1)</f>
        <v/>
      </c>
      <c r="AG2018" s="1457">
        <f>Principal!V45</f>
        <v>0</v>
      </c>
    </row>
    <row r="2019" spans="1:33" ht="12.75" customHeight="1" x14ac:dyDescent="0.2">
      <c r="A2019" s="242">
        <v>2019</v>
      </c>
      <c r="B2019" s="5664"/>
      <c r="C2019" s="964" t="str">
        <f t="shared" si="281"/>
        <v/>
      </c>
      <c r="D2019" s="542" t="str">
        <f t="shared" si="284"/>
        <v/>
      </c>
      <c r="E2019" s="542" t="str">
        <f t="shared" si="285"/>
        <v/>
      </c>
      <c r="F2019" s="934" t="str">
        <f t="shared" si="283"/>
        <v/>
      </c>
      <c r="G2019" s="5724"/>
      <c r="H2019" s="1521" t="str">
        <f>Combate!AB24</f>
        <v/>
      </c>
      <c r="I2019" s="1530" t="str">
        <f t="shared" si="286"/>
        <v/>
      </c>
      <c r="J2019" s="922" t="str">
        <f>IF(ISNA(VLOOKUP(A7,Principal!$S$42:$AH$69,10,FALSE)),"",IF(VLOOKUP(A7,Principal!$S$42:$AH$69,10,FALSE)=0,"",INDEX(PoderesDeCriatura_Adquiridos,MATCH(A7,Principal!$S$42:$S$69,0))))</f>
        <v/>
      </c>
      <c r="K2019" s="988" t="str">
        <f t="shared" si="287"/>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8"/>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9"/>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4">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5">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6">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7">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8">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9">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20">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1">IF(AD2019="","",", "&amp;AD2019)</f>
        <v/>
      </c>
      <c r="AF2019" s="940" t="str">
        <f>IF(OR(AG2019=0,ISNUMBER(MATCH(AG2019,$AG$2015:$AG2018,0))),"",MAX($AF$2014:AF2018)+1)</f>
        <v/>
      </c>
      <c r="AG2019" s="1457">
        <f>Principal!V46</f>
        <v>0</v>
      </c>
    </row>
    <row r="2020" spans="1:33" ht="12.75" customHeight="1" x14ac:dyDescent="0.2">
      <c r="A2020" s="242">
        <v>2020</v>
      </c>
      <c r="B2020" s="5664"/>
      <c r="C2020" s="964" t="str">
        <f t="shared" si="281"/>
        <v/>
      </c>
      <c r="D2020" s="542" t="str">
        <f t="shared" si="284"/>
        <v/>
      </c>
      <c r="E2020" s="542" t="str">
        <f t="shared" si="285"/>
        <v/>
      </c>
      <c r="F2020" s="934" t="str">
        <f t="shared" si="283"/>
        <v/>
      </c>
      <c r="G2020" s="5724"/>
      <c r="H2020" s="1521" t="str">
        <f>Combate!AB25</f>
        <v/>
      </c>
      <c r="I2020" s="1530" t="str">
        <f t="shared" si="286"/>
        <v/>
      </c>
      <c r="J2020" s="922" t="str">
        <f>IF(ISNA(VLOOKUP(A8,Principal!$S$42:$AH$69,10,FALSE)),"",IF(VLOOKUP(A8,Principal!$S$42:$AH$69,10,FALSE)=0,"",INDEX(PoderesDeCriatura_Adquiridos,MATCH(A8,Principal!$S$42:$S$69,0))))</f>
        <v/>
      </c>
      <c r="K2020" s="988" t="str">
        <f t="shared" si="287"/>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8"/>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9"/>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2">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3">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4">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5">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6">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7">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8">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9">IF(AD2020="","",", "&amp;AD2020)</f>
        <v/>
      </c>
      <c r="AF2020" s="940" t="str">
        <f>IF(OR(AG2020=0,ISNUMBER(MATCH(AG2020,$AG$2015:$AG2019,0))),"",MAX($AF$2014:AF2019)+1)</f>
        <v/>
      </c>
      <c r="AG2020" s="1457">
        <f>Principal!V47</f>
        <v>0</v>
      </c>
    </row>
    <row r="2021" spans="1:33" ht="12.75" customHeight="1" x14ac:dyDescent="0.2">
      <c r="A2021" s="242">
        <v>2021</v>
      </c>
      <c r="B2021" s="5664"/>
      <c r="C2021" s="964" t="str">
        <f t="shared" si="281"/>
        <v/>
      </c>
      <c r="D2021" s="542" t="str">
        <f t="shared" si="284"/>
        <v/>
      </c>
      <c r="E2021" s="542" t="str">
        <f t="shared" si="285"/>
        <v/>
      </c>
      <c r="F2021" s="934" t="str">
        <f t="shared" si="283"/>
        <v/>
      </c>
      <c r="G2021" s="5724"/>
      <c r="H2021" s="1521" t="str">
        <f>Combate!AB26</f>
        <v/>
      </c>
      <c r="I2021" s="1530" t="str">
        <f t="shared" si="286"/>
        <v/>
      </c>
      <c r="J2021" s="922" t="str">
        <f>IF(ISNA(VLOOKUP(A9,Principal!$S$42:$AH$69,10,FALSE)),"",IF(VLOOKUP(A9,Principal!$S$42:$AH$69,10,FALSE)=0,"",INDEX(PoderesDeCriatura_Adquiridos,MATCH(A9,Principal!$S$42:$S$69,0))))</f>
        <v/>
      </c>
      <c r="K2021" s="988" t="str">
        <f t="shared" si="287"/>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8"/>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9"/>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30">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1">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2">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3">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4">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5">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6">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7">IF(AD2021="","",", "&amp;AD2021)</f>
        <v/>
      </c>
      <c r="AF2021" s="940" t="str">
        <f>IF(OR(AG2021=0,ISNUMBER(MATCH(AG2021,$AG$2015:$AG2020,0))),"",MAX($AF$2014:AF2020)+1)</f>
        <v/>
      </c>
      <c r="AG2021" s="1457">
        <f>Principal!V48</f>
        <v>0</v>
      </c>
    </row>
    <row r="2022" spans="1:33" ht="12.75" customHeight="1" x14ac:dyDescent="0.2">
      <c r="A2022" s="242">
        <v>2022</v>
      </c>
      <c r="B2022" s="5664"/>
      <c r="C2022" s="964" t="str">
        <f t="shared" si="281"/>
        <v/>
      </c>
      <c r="D2022" s="542" t="str">
        <f t="shared" si="284"/>
        <v/>
      </c>
      <c r="E2022" s="542" t="str">
        <f t="shared" si="285"/>
        <v/>
      </c>
      <c r="F2022" s="934" t="str">
        <f t="shared" si="283"/>
        <v/>
      </c>
      <c r="G2022" s="5724"/>
      <c r="H2022" s="1521" t="str">
        <f>Combate!AB27</f>
        <v/>
      </c>
      <c r="I2022" s="1530" t="str">
        <f t="shared" si="286"/>
        <v/>
      </c>
      <c r="J2022" s="922" t="str">
        <f>IF(ISNA(VLOOKUP(A10,Principal!$S$42:$AH$69,10,FALSE)),"",IF(VLOOKUP(A10,Principal!$S$42:$AH$69,10,FALSE)=0,"",INDEX(PoderesDeCriatura_Adquiridos,MATCH(A10,Principal!$S$42:$S$69,0))))</f>
        <v/>
      </c>
      <c r="K2022" s="988" t="str">
        <f t="shared" si="287"/>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8"/>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9"/>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8">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9">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40">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1">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2">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3">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4">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5">IF(AD2022="","",", "&amp;AD2022)</f>
        <v/>
      </c>
      <c r="AF2022" s="940" t="str">
        <f>IF(OR(AG2022=0,ISNUMBER(MATCH(AG2022,$AG$2015:$AG2021,0))),"",MAX($AF$2014:AF2021)+1)</f>
        <v/>
      </c>
      <c r="AG2022" s="1457">
        <f>Principal!V49</f>
        <v>0</v>
      </c>
    </row>
    <row r="2023" spans="1:33" ht="12.75" customHeight="1" x14ac:dyDescent="0.2">
      <c r="A2023" s="242">
        <v>2023</v>
      </c>
      <c r="B2023" s="5664"/>
      <c r="C2023" s="964" t="str">
        <f>IF(D2023="","",COUNTIF($D$2008:$D$2050,"&lt;="&amp;D2023)-SUMPRODUCT(--($D$2008:$D$2050="")))</f>
        <v/>
      </c>
      <c r="D2023" s="932" t="str">
        <f t="shared" si="284"/>
        <v/>
      </c>
      <c r="E2023" s="932" t="str">
        <f t="shared" si="285"/>
        <v/>
      </c>
      <c r="F2023" s="934" t="str">
        <f t="shared" si="283"/>
        <v/>
      </c>
      <c r="G2023" s="5724"/>
      <c r="H2023" s="1522" t="str">
        <f>Combate!AB28</f>
        <v/>
      </c>
      <c r="I2023" s="1531" t="str">
        <f t="shared" si="286"/>
        <v/>
      </c>
      <c r="J2023" s="922" t="str">
        <f>IF(ISNA(VLOOKUP(A11,Principal!$S$42:$AH$69,10,FALSE)),"",IF(VLOOKUP(A11,Principal!$S$42:$AH$69,10,FALSE)=0,"",INDEX(PoderesDeCriatura_Adquiridos,MATCH(A11,Principal!$S$42:$S$69,0))))</f>
        <v/>
      </c>
      <c r="K2023" s="988" t="str">
        <f t="shared" si="287"/>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8"/>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9"/>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6">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7">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8">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9">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50">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1">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2">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3">IF(AD2023="","",", "&amp;AD2023)</f>
        <v/>
      </c>
      <c r="AF2023" s="940" t="str">
        <f>IF(OR(AG2023=0,ISNUMBER(MATCH(AG2023,$AG$2015:$AG2022,0))),"",MAX($AF$2014:AF2022)+1)</f>
        <v/>
      </c>
      <c r="AG2023" s="1457">
        <f>Principal!V50</f>
        <v>0</v>
      </c>
    </row>
    <row r="2024" spans="1:33" ht="12.75" customHeight="1" x14ac:dyDescent="0.2">
      <c r="A2024" s="242">
        <v>2024</v>
      </c>
      <c r="B2024" s="5664"/>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3"/>
        <v/>
      </c>
      <c r="G2024" s="5724"/>
      <c r="H2024" s="1521" t="str">
        <f>Combate!AB31</f>
        <v/>
      </c>
      <c r="J2024" s="922" t="str">
        <f>IF(ISNA(VLOOKUP(A12,Principal!$S$42:$AH$69,10,FALSE)),"",IF(VLOOKUP(A12,Principal!$S$42:$AH$69,10,FALSE)=0,"",INDEX(PoderesDeCriatura_Adquiridos,MATCH(A12,Principal!$S$42:$S$69,0))))</f>
        <v/>
      </c>
      <c r="K2024" s="988" t="str">
        <f t="shared" si="287"/>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8"/>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9"/>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4">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5">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6">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7">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8">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9">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60">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1">IF(AD2024="","",", "&amp;AD2024)</f>
        <v/>
      </c>
      <c r="AF2024" s="940" t="str">
        <f>IF(OR(AG2024=0,ISNUMBER(MATCH(AG2024,$AG$2015:$AG2023,0))),"",MAX($AF$2014:AF2023)+1)</f>
        <v/>
      </c>
      <c r="AG2024" s="1457">
        <f>Principal!V51</f>
        <v>0</v>
      </c>
    </row>
    <row r="2025" spans="1:33" ht="12.75" customHeight="1" x14ac:dyDescent="0.2">
      <c r="A2025" s="242">
        <v>2025</v>
      </c>
      <c r="B2025" s="5664"/>
      <c r="C2025" s="968" t="str">
        <f t="shared" si="281"/>
        <v/>
      </c>
      <c r="D2025" s="542" t="str">
        <f t="shared" ref="D2025:D2042" si="362">IFERROR(LEFT(H2025,FIND("(",H2025)-2),"")</f>
        <v/>
      </c>
      <c r="E2025" s="542" t="str">
        <f t="shared" ref="E2025:E2042" si="363">IFERROR(VLOOKUP(D2025&amp;" (Arcano)",$H$2024:$H$2042,1,0),IFERROR(VLOOKUP(D2025&amp;" (Supremo)",$H$2024:$H$2042,1,0),IFERROR(VLOOKUP(D2025&amp;" (Avanzado)",$H$2024:$H$2042,1,0),IFERROR(VLOOKUP(D2025&amp;" (Base)",$H$2024:$H$2042,1,0),""))))</f>
        <v/>
      </c>
      <c r="F2025" s="934" t="str">
        <f t="shared" si="283"/>
        <v/>
      </c>
      <c r="G2025" s="5724"/>
      <c r="H2025" s="1521" t="str">
        <f>Combate!AB32</f>
        <v/>
      </c>
      <c r="I2025" s="624"/>
      <c r="J2025" s="922" t="str">
        <f>IF(ISNA(VLOOKUP(A13,Principal!$S$42:$AH$69,10,FALSE)),"",IF(VLOOKUP(A13,Principal!$S$42:$AH$69,10,FALSE)=0,"",INDEX(PoderesDeCriatura_Adquiridos,MATCH(A13,Principal!$S$42:$S$69,0))))</f>
        <v/>
      </c>
      <c r="K2025" s="988" t="str">
        <f t="shared" si="287"/>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8"/>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9"/>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4">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5">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6">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7">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8">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9">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70">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1">IF(AD2025="","",", "&amp;AD2025)</f>
        <v/>
      </c>
      <c r="AF2025" s="940" t="str">
        <f>IF(OR(AG2025=0,ISNUMBER(MATCH(AG2025,$AG$2015:$AG2024,0))),"",MAX($AF$2014:AF2024)+1)</f>
        <v/>
      </c>
      <c r="AG2025" s="1457">
        <f>Principal!V52</f>
        <v>0</v>
      </c>
    </row>
    <row r="2026" spans="1:33" ht="12.75" customHeight="1" x14ac:dyDescent="0.2">
      <c r="A2026" s="242">
        <v>2026</v>
      </c>
      <c r="B2026" s="5664"/>
      <c r="C2026" s="968" t="str">
        <f t="shared" si="281"/>
        <v/>
      </c>
      <c r="D2026" s="542" t="str">
        <f t="shared" si="362"/>
        <v/>
      </c>
      <c r="E2026" s="542" t="str">
        <f t="shared" si="363"/>
        <v/>
      </c>
      <c r="F2026" s="934" t="str">
        <f t="shared" si="283"/>
        <v/>
      </c>
      <c r="G2026" s="5724"/>
      <c r="H2026" s="1521" t="str">
        <f>Combate!AB33</f>
        <v/>
      </c>
      <c r="I2026" s="624"/>
      <c r="J2026" s="922" t="str">
        <f>IF(ISNA(VLOOKUP(A14,Principal!$S$42:$AH$69,10,FALSE)),"",IF(VLOOKUP(A14,Principal!$S$42:$AH$69,10,FALSE)=0,"",INDEX(PoderesDeCriatura_Adquiridos,MATCH(A14,Principal!$S$42:$S$69,0))))</f>
        <v/>
      </c>
      <c r="K2026" s="988" t="str">
        <f t="shared" si="287"/>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8"/>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9"/>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2">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3">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4">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5">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6">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7">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8">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9">IF(AD2026="","",", "&amp;AD2026)</f>
        <v/>
      </c>
      <c r="AF2026" s="940" t="str">
        <f>IF(OR(AG2026=0,ISNUMBER(MATCH(AG2026,$AG$2015:$AG2025,0))),"",MAX($AF$2014:AF2025)+1)</f>
        <v/>
      </c>
      <c r="AG2026" s="1457">
        <f>Principal!V53</f>
        <v>0</v>
      </c>
    </row>
    <row r="2027" spans="1:33" ht="12.75" customHeight="1" x14ac:dyDescent="0.2">
      <c r="A2027" s="242">
        <v>2027</v>
      </c>
      <c r="B2027" s="5664"/>
      <c r="C2027" s="968" t="str">
        <f t="shared" si="281"/>
        <v/>
      </c>
      <c r="D2027" s="542" t="str">
        <f t="shared" si="362"/>
        <v/>
      </c>
      <c r="E2027" s="542" t="str">
        <f t="shared" si="363"/>
        <v/>
      </c>
      <c r="F2027" s="934" t="str">
        <f t="shared" si="283"/>
        <v/>
      </c>
      <c r="G2027" s="5724"/>
      <c r="H2027" s="1521" t="str">
        <f>Combate!AB34</f>
        <v/>
      </c>
      <c r="I2027" s="624"/>
      <c r="J2027" s="922" t="str">
        <f>IF(ISNA(VLOOKUP(A15,Principal!$S$42:$AH$69,10,FALSE)),"",IF(VLOOKUP(A15,Principal!$S$42:$AH$69,10,FALSE)=0,"",INDEX(PoderesDeCriatura_Adquiridos,MATCH(A15,Principal!$S$42:$S$69,0))))</f>
        <v/>
      </c>
      <c r="K2027" s="988" t="str">
        <f t="shared" si="287"/>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8"/>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9"/>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80">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1">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2">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3">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4">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5">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6">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7">IF(AD2027="","",", "&amp;AD2027)</f>
        <v/>
      </c>
      <c r="AF2027" s="940" t="str">
        <f>IF(OR(AG2027=0,ISNUMBER(MATCH(AG2027,$AG$2015:$AG2026,0))),"",MAX($AF$2014:AF2026)+1)</f>
        <v/>
      </c>
      <c r="AG2027" s="1457">
        <f>Principal!V54</f>
        <v>0</v>
      </c>
    </row>
    <row r="2028" spans="1:33" ht="12.75" customHeight="1" x14ac:dyDescent="0.2">
      <c r="A2028" s="242">
        <v>2028</v>
      </c>
      <c r="B2028" s="5664"/>
      <c r="C2028" s="968" t="str">
        <f t="shared" si="281"/>
        <v/>
      </c>
      <c r="D2028" s="542" t="str">
        <f t="shared" si="362"/>
        <v/>
      </c>
      <c r="E2028" s="542" t="str">
        <f t="shared" si="363"/>
        <v/>
      </c>
      <c r="F2028" s="934" t="str">
        <f t="shared" si="283"/>
        <v/>
      </c>
      <c r="G2028" s="5724"/>
      <c r="H2028" s="1521" t="str">
        <f>Combate!AB35</f>
        <v/>
      </c>
      <c r="J2028" s="922" t="str">
        <f>IF(ISNA(VLOOKUP(A16,Principal!$S$42:$AH$69,10,FALSE)),"",IF(VLOOKUP(A16,Principal!$S$42:$AH$69,10,FALSE)=0,"",INDEX(PoderesDeCriatura_Adquiridos,MATCH(A16,Principal!$S$42:$S$69,0))))</f>
        <v/>
      </c>
      <c r="K2028" s="988" t="str">
        <f t="shared" si="287"/>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8"/>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9"/>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8">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9">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90">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1">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2">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3">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4">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5">IF(AD2028="","",", "&amp;AD2028)</f>
        <v/>
      </c>
      <c r="AF2028" s="940" t="str">
        <f>IF(OR(AG2028=0,ISNUMBER(MATCH(AG2028,$AG$2015:$AG2027,0))),"",MAX($AF$2014:AF2027)+1)</f>
        <v/>
      </c>
      <c r="AG2028" s="1457">
        <f>Principal!V55</f>
        <v>0</v>
      </c>
    </row>
    <row r="2029" spans="1:33" ht="12.75" customHeight="1" x14ac:dyDescent="0.2">
      <c r="A2029" s="242">
        <v>2029</v>
      </c>
      <c r="B2029" s="5664"/>
      <c r="C2029" s="968" t="str">
        <f t="shared" si="281"/>
        <v/>
      </c>
      <c r="D2029" s="542" t="str">
        <f t="shared" si="362"/>
        <v/>
      </c>
      <c r="E2029" s="542" t="str">
        <f t="shared" si="363"/>
        <v/>
      </c>
      <c r="F2029" s="934" t="str">
        <f t="shared" si="283"/>
        <v/>
      </c>
      <c r="G2029" s="5724"/>
      <c r="H2029" s="1521" t="str">
        <f>Combate!AB36</f>
        <v/>
      </c>
      <c r="J2029" s="922" t="str">
        <f>IF(ISNA(VLOOKUP(A17,Principal!$S$42:$AH$69,10,FALSE)),"",IF(VLOOKUP(A17,Principal!$S$42:$AH$69,10,FALSE)=0,"",INDEX(PoderesDeCriatura_Adquiridos,MATCH(A17,Principal!$S$42:$S$69,0))))</f>
        <v/>
      </c>
      <c r="K2029" s="988" t="str">
        <f t="shared" si="287"/>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8"/>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9"/>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6">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7">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8">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9">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400">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1">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2">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3">IF(AD2029="","",", "&amp;AD2029)</f>
        <v/>
      </c>
      <c r="AF2029" s="940" t="str">
        <f>IF(OR(AG2029=0,ISNUMBER(MATCH(AG2029,$AG$2015:$AG2028,0))),"",MAX($AF$2014:AF2028)+1)</f>
        <v/>
      </c>
      <c r="AG2029" s="1457">
        <f>Principal!V56</f>
        <v>0</v>
      </c>
    </row>
    <row r="2030" spans="1:33" ht="12.75" customHeight="1" x14ac:dyDescent="0.2">
      <c r="A2030" s="242">
        <v>2030</v>
      </c>
      <c r="B2030" s="5664"/>
      <c r="C2030" s="968" t="str">
        <f t="shared" si="281"/>
        <v/>
      </c>
      <c r="D2030" s="542" t="str">
        <f t="shared" si="362"/>
        <v/>
      </c>
      <c r="E2030" s="542" t="str">
        <f t="shared" si="363"/>
        <v/>
      </c>
      <c r="F2030" s="934" t="str">
        <f t="shared" si="283"/>
        <v/>
      </c>
      <c r="G2030" s="5724"/>
      <c r="H2030" s="1521" t="str">
        <f>Combate!AB37</f>
        <v/>
      </c>
      <c r="J2030" s="922" t="str">
        <f>IF(ISNA(VLOOKUP(A18,Principal!$S$42:$AH$69,10,FALSE)),"",IF(VLOOKUP(A18,Principal!$S$42:$AH$69,10,FALSE)=0,"",INDEX(PoderesDeCriatura_Adquiridos,MATCH(A18,Principal!$S$42:$S$69,0))))</f>
        <v/>
      </c>
      <c r="K2030" s="988" t="str">
        <f t="shared" si="287"/>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8"/>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9"/>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4">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5">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6">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7">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8">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9">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10">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1">IF(AD2030="","",", "&amp;AD2030)</f>
        <v/>
      </c>
      <c r="AF2030" s="940" t="str">
        <f>IF(OR(AG2030=0,ISNUMBER(MATCH(AG2030,$AG$2015:$AG2029,0))),"",MAX($AF$2014:AF2029)+1)</f>
        <v/>
      </c>
      <c r="AG2030" s="1457">
        <f>Principal!V57</f>
        <v>0</v>
      </c>
    </row>
    <row r="2031" spans="1:33" ht="12.75" customHeight="1" x14ac:dyDescent="0.2">
      <c r="A2031" s="242">
        <v>2031</v>
      </c>
      <c r="B2031" s="5664"/>
      <c r="C2031" s="968" t="str">
        <f t="shared" si="281"/>
        <v/>
      </c>
      <c r="D2031" s="542" t="str">
        <f t="shared" si="362"/>
        <v/>
      </c>
      <c r="E2031" s="542" t="str">
        <f t="shared" si="363"/>
        <v/>
      </c>
      <c r="F2031" s="934" t="str">
        <f t="shared" si="283"/>
        <v/>
      </c>
      <c r="G2031" s="5724"/>
      <c r="H2031" s="1521" t="str">
        <f>Combate!AB38</f>
        <v/>
      </c>
      <c r="J2031" s="922" t="str">
        <f>IF(ISNA(VLOOKUP(A19,Principal!$S$42:$AH$69,10,FALSE)),"",IF(VLOOKUP(A19,Principal!$S$42:$AH$69,10,FALSE)=0,"",INDEX(PoderesDeCriatura_Adquiridos,MATCH(A19,Principal!$S$42:$S$69,0))))</f>
        <v/>
      </c>
      <c r="K2031" s="988" t="str">
        <f t="shared" si="287"/>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8"/>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9"/>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2">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3">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4">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5">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6">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7">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8">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9">IF(AD2031="","",", "&amp;AD2031)</f>
        <v/>
      </c>
      <c r="AF2031" s="940" t="str">
        <f>IF(OR(AG2031=0,ISNUMBER(MATCH(AG2031,$AG$2015:$AG2030,0))),"",MAX($AF$2014:AF2030)+1)</f>
        <v/>
      </c>
      <c r="AG2031" s="1457">
        <f>Principal!V58</f>
        <v>0</v>
      </c>
    </row>
    <row r="2032" spans="1:33" ht="12.75" customHeight="1" x14ac:dyDescent="0.2">
      <c r="A2032" s="242">
        <v>2032</v>
      </c>
      <c r="B2032" s="5664"/>
      <c r="C2032" s="968" t="str">
        <f t="shared" si="281"/>
        <v/>
      </c>
      <c r="D2032" s="542" t="str">
        <f t="shared" si="362"/>
        <v/>
      </c>
      <c r="E2032" s="542" t="str">
        <f t="shared" si="363"/>
        <v/>
      </c>
      <c r="F2032" s="934" t="str">
        <f t="shared" si="283"/>
        <v/>
      </c>
      <c r="G2032" s="5724"/>
      <c r="H2032" s="1521" t="str">
        <f>Combate!AB39</f>
        <v/>
      </c>
      <c r="J2032" s="922" t="str">
        <f>IF(ISNA(VLOOKUP(A20,Principal!$S$42:$AH$69,10,FALSE)),"",IF(VLOOKUP(A20,Principal!$S$42:$AH$69,10,FALSE)=0,"",INDEX(PoderesDeCriatura_Adquiridos,MATCH(A20,Principal!$S$42:$S$69,0))))</f>
        <v/>
      </c>
      <c r="K2032" s="988" t="str">
        <f t="shared" si="287"/>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8"/>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9"/>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20">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1">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2">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3">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4">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5">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6">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7">IF(AD2032="","",", "&amp;AD2032)</f>
        <v/>
      </c>
      <c r="AF2032" s="940" t="str">
        <f>IF(OR(AG2032=0,ISNUMBER(MATCH(AG2032,$AG$2015:$AG2031,0))),"",MAX($AF$2014:AF2031)+1)</f>
        <v/>
      </c>
      <c r="AG2032" s="1457">
        <f>Principal!V59</f>
        <v>0</v>
      </c>
    </row>
    <row r="2033" spans="1:33" ht="12.75" customHeight="1" x14ac:dyDescent="0.2">
      <c r="A2033" s="242">
        <v>2033</v>
      </c>
      <c r="B2033" s="5664"/>
      <c r="C2033" s="968" t="str">
        <f t="shared" si="281"/>
        <v/>
      </c>
      <c r="D2033" s="542" t="str">
        <f t="shared" si="362"/>
        <v/>
      </c>
      <c r="E2033" s="542" t="str">
        <f t="shared" si="363"/>
        <v/>
      </c>
      <c r="F2033" s="934" t="str">
        <f t="shared" si="283"/>
        <v/>
      </c>
      <c r="G2033" s="5724"/>
      <c r="H2033" s="1521" t="str">
        <f>Combate!AB40</f>
        <v/>
      </c>
      <c r="J2033" s="922" t="str">
        <f>IF(ISNA(VLOOKUP(A21,Principal!$S$42:$AH$69,10,FALSE)),"",IF(VLOOKUP(A21,Principal!$S$42:$AH$69,10,FALSE)=0,"",INDEX(PoderesDeCriatura_Adquiridos,MATCH(A21,Principal!$S$42:$S$69,0))))</f>
        <v/>
      </c>
      <c r="K2033" s="988" t="str">
        <f t="shared" si="287"/>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8"/>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9"/>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8">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9">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30">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1">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2">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3">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4">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5">IF(AD2033="","",", "&amp;AD2033)</f>
        <v/>
      </c>
      <c r="AF2033" s="940" t="str">
        <f>IF(OR(AG2033=0,ISNUMBER(MATCH(AG2033,$AG$2015:$AG2032,0))),"",MAX($AF$2014:AF2032)+1)</f>
        <v/>
      </c>
      <c r="AG2033" s="1457">
        <f>Principal!V60</f>
        <v>0</v>
      </c>
    </row>
    <row r="2034" spans="1:33" ht="12.75" customHeight="1" x14ac:dyDescent="0.2">
      <c r="A2034" s="242">
        <v>2034</v>
      </c>
      <c r="B2034" s="5664"/>
      <c r="C2034" s="968" t="str">
        <f t="shared" si="281"/>
        <v/>
      </c>
      <c r="D2034" s="542" t="str">
        <f t="shared" si="362"/>
        <v/>
      </c>
      <c r="E2034" s="542" t="str">
        <f t="shared" si="363"/>
        <v/>
      </c>
      <c r="F2034" s="934" t="str">
        <f t="shared" si="283"/>
        <v/>
      </c>
      <c r="G2034" s="5724"/>
      <c r="H2034" s="1521" t="str">
        <f>Combate!AB41</f>
        <v/>
      </c>
      <c r="J2034" s="922" t="str">
        <f>IF(ISNA(VLOOKUP(A22,Principal!$S$42:$AH$69,10,FALSE)),"",IF(VLOOKUP(A22,Principal!$S$42:$AH$69,10,FALSE)=0,"",INDEX(PoderesDeCriatura_Adquiridos,MATCH(A22,Principal!$S$42:$S$69,0))))</f>
        <v/>
      </c>
      <c r="K2034" s="988" t="str">
        <f t="shared" si="287"/>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8"/>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9"/>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6">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7">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8">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9">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40">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1">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2">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3">IF(AD2034="","",", "&amp;AD2034)</f>
        <v/>
      </c>
      <c r="AF2034" s="940" t="str">
        <f>IF(OR(AG2034=0,ISNUMBER(MATCH(AG2034,$AG$2015:$AG2033,0))),"",MAX($AF$2014:AF2033)+1)</f>
        <v/>
      </c>
      <c r="AG2034" s="1457">
        <f>Principal!V61</f>
        <v>0</v>
      </c>
    </row>
    <row r="2035" spans="1:33" ht="12.75" customHeight="1" x14ac:dyDescent="0.2">
      <c r="A2035" s="242">
        <v>2035</v>
      </c>
      <c r="B2035" s="5664"/>
      <c r="C2035" s="968" t="str">
        <f t="shared" si="281"/>
        <v/>
      </c>
      <c r="D2035" s="542" t="str">
        <f t="shared" si="362"/>
        <v/>
      </c>
      <c r="E2035" s="542" t="str">
        <f t="shared" si="363"/>
        <v/>
      </c>
      <c r="F2035" s="934" t="str">
        <f t="shared" si="283"/>
        <v/>
      </c>
      <c r="G2035" s="5724"/>
      <c r="H2035" s="1521" t="str">
        <f>Combate!AB42</f>
        <v/>
      </c>
      <c r="J2035" s="922" t="str">
        <f>IF(ISNA(VLOOKUP(A23,Principal!$S$42:$AH$69,10,FALSE)),"",IF(VLOOKUP(A23,Principal!$S$42:$AH$69,10,FALSE)=0,"",INDEX(PoderesDeCriatura_Adquiridos,MATCH(A23,Principal!$S$42:$S$69,0))))</f>
        <v/>
      </c>
      <c r="K2035" s="988" t="str">
        <f t="shared" si="287"/>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8"/>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9"/>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4">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5">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6">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7">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8">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9">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50">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1">IF(AD2035="","",", "&amp;AD2035)</f>
        <v/>
      </c>
      <c r="AF2035" s="940" t="str">
        <f>IF(OR(AG2035=0,ISNUMBER(MATCH(AG2035,$AG$2015:$AG2034,0))),"",MAX($AF$2014:AF2034)+1)</f>
        <v/>
      </c>
      <c r="AG2035" s="1457">
        <f>Principal!V62</f>
        <v>0</v>
      </c>
    </row>
    <row r="2036" spans="1:33" ht="12.75" customHeight="1" x14ac:dyDescent="0.2">
      <c r="A2036" s="242">
        <v>2036</v>
      </c>
      <c r="B2036" s="5664"/>
      <c r="C2036" s="968" t="str">
        <f t="shared" si="281"/>
        <v/>
      </c>
      <c r="D2036" s="542" t="str">
        <f t="shared" si="362"/>
        <v/>
      </c>
      <c r="E2036" s="542" t="str">
        <f t="shared" si="363"/>
        <v/>
      </c>
      <c r="F2036" s="934" t="str">
        <f t="shared" si="283"/>
        <v/>
      </c>
      <c r="G2036" s="5724"/>
      <c r="H2036" s="1521" t="str">
        <f>Combate!AB43</f>
        <v/>
      </c>
      <c r="J2036" s="922" t="str">
        <f>IF(ISNA(VLOOKUP(A24,Principal!$S$42:$AH$69,10,FALSE)),"",IF(VLOOKUP(A24,Principal!$S$42:$AH$69,10,FALSE)=0,"",INDEX(PoderesDeCriatura_Adquiridos,MATCH(A24,Principal!$S$42:$S$69,0))))</f>
        <v/>
      </c>
      <c r="K2036" s="988" t="str">
        <f t="shared" si="287"/>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8"/>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9"/>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2">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3">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4">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5">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6">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7">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8">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9">IF(AD2036="","",", "&amp;AD2036)</f>
        <v/>
      </c>
      <c r="AF2036" s="940" t="str">
        <f>IF(OR(AG2036=0,ISNUMBER(MATCH(AG2036,$AG$2015:$AG2035,0))),"",MAX($AF$2014:AF2035)+1)</f>
        <v/>
      </c>
      <c r="AG2036" s="1457">
        <f>Principal!V63</f>
        <v>0</v>
      </c>
    </row>
    <row r="2037" spans="1:33" ht="12.75" customHeight="1" x14ac:dyDescent="0.2">
      <c r="A2037" s="242">
        <v>2037</v>
      </c>
      <c r="B2037" s="5664"/>
      <c r="C2037" s="968" t="str">
        <f t="shared" si="281"/>
        <v/>
      </c>
      <c r="D2037" s="542" t="str">
        <f t="shared" si="362"/>
        <v/>
      </c>
      <c r="E2037" s="542" t="str">
        <f t="shared" si="363"/>
        <v/>
      </c>
      <c r="F2037" s="934" t="str">
        <f t="shared" si="283"/>
        <v/>
      </c>
      <c r="G2037" s="5724"/>
      <c r="H2037" s="1521" t="str">
        <f>Combate!AB44</f>
        <v/>
      </c>
      <c r="J2037" s="922" t="str">
        <f>IF(ISNA(VLOOKUP(A25,Principal!$S$42:$AH$69,10,FALSE)),"",IF(VLOOKUP(A25,Principal!$S$42:$AH$69,10,FALSE)=0,"",INDEX(PoderesDeCriatura_Adquiridos,MATCH(A25,Principal!$S$42:$S$69,0))))</f>
        <v/>
      </c>
      <c r="K2037" s="988" t="str">
        <f t="shared" si="287"/>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8"/>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9"/>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60">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1">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2">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3">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4">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5">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6">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7">IF(AD2037="","",", "&amp;AD2037)</f>
        <v/>
      </c>
      <c r="AF2037" s="940" t="str">
        <f>IF(OR(AG2037=0,ISNUMBER(MATCH(AG2037,$AG$2015:$AG2036,0))),"",MAX($AF$2014:AF2036)+1)</f>
        <v/>
      </c>
      <c r="AG2037" s="1457">
        <f>Principal!V64</f>
        <v>0</v>
      </c>
    </row>
    <row r="2038" spans="1:33" ht="12.75" customHeight="1" x14ac:dyDescent="0.2">
      <c r="A2038" s="242">
        <v>2038</v>
      </c>
      <c r="B2038" s="5664"/>
      <c r="C2038" s="968" t="str">
        <f t="shared" si="281"/>
        <v/>
      </c>
      <c r="D2038" s="542" t="str">
        <f t="shared" si="362"/>
        <v/>
      </c>
      <c r="E2038" s="542" t="str">
        <f t="shared" si="363"/>
        <v/>
      </c>
      <c r="F2038" s="934" t="str">
        <f t="shared" si="283"/>
        <v/>
      </c>
      <c r="G2038" s="5724"/>
      <c r="H2038" s="1521" t="str">
        <f>Combate!AB45</f>
        <v/>
      </c>
      <c r="J2038" s="922" t="str">
        <f>IF(ISNA(VLOOKUP(A26,Principal!$S$42:$AH$69,10,FALSE)),"",IF(VLOOKUP(A26,Principal!$S$42:$AH$69,10,FALSE)=0,"",INDEX(PoderesDeCriatura_Adquiridos,MATCH(A26,Principal!$S$42:$S$69,0))))</f>
        <v/>
      </c>
      <c r="K2038" s="988" t="str">
        <f t="shared" si="287"/>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8"/>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9"/>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8">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9">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70">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1">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2">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3">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4">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5">IF(AD2038="","",", "&amp;AD2038)</f>
        <v/>
      </c>
      <c r="AF2038" s="940" t="str">
        <f>IF(OR(AG2038=0,ISNUMBER(MATCH(AG2038,$AG$2015:$AG2037,0))),"",MAX($AF$2014:AF2037)+1)</f>
        <v/>
      </c>
      <c r="AG2038" s="1457">
        <f>Principal!V65</f>
        <v>0</v>
      </c>
    </row>
    <row r="2039" spans="1:33" ht="12.75" customHeight="1" x14ac:dyDescent="0.2">
      <c r="A2039" s="242">
        <v>2039</v>
      </c>
      <c r="B2039" s="5664"/>
      <c r="C2039" s="968" t="str">
        <f t="shared" si="281"/>
        <v/>
      </c>
      <c r="D2039" s="542" t="str">
        <f t="shared" si="362"/>
        <v/>
      </c>
      <c r="E2039" s="542" t="str">
        <f t="shared" si="363"/>
        <v/>
      </c>
      <c r="F2039" s="934" t="str">
        <f t="shared" si="283"/>
        <v/>
      </c>
      <c r="G2039" s="5724"/>
      <c r="H2039" s="1521" t="str">
        <f>Combate!AB46</f>
        <v/>
      </c>
      <c r="J2039" s="922" t="str">
        <f>IF(ISNA(VLOOKUP(A27,Principal!$S$42:$AH$69,10,FALSE)),"",IF(VLOOKUP(A27,Principal!$S$42:$AH$69,10,FALSE)=0,"",INDEX(PoderesDeCriatura_Adquiridos,MATCH(A27,Principal!$S$42:$S$69,0))))</f>
        <v/>
      </c>
      <c r="K2039" s="988" t="str">
        <f t="shared" si="287"/>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8"/>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9"/>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6">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7">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8">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9">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80">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1">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2">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3">IF(AD2039="","",", "&amp;AD2039)</f>
        <v/>
      </c>
      <c r="AF2039" s="940" t="str">
        <f>IF(OR(AG2039=0,ISNUMBER(MATCH(AG2039,$AG$2015:$AG2038,0))),"",MAX($AF$2014:AF2038)+1)</f>
        <v/>
      </c>
      <c r="AG2039" s="1457">
        <f>Principal!V66</f>
        <v>0</v>
      </c>
    </row>
    <row r="2040" spans="1:33" ht="12.75" customHeight="1" x14ac:dyDescent="0.2">
      <c r="A2040" s="242">
        <v>2040</v>
      </c>
      <c r="B2040" s="5664"/>
      <c r="C2040" s="968" t="str">
        <f t="shared" si="281"/>
        <v/>
      </c>
      <c r="D2040" s="542" t="str">
        <f t="shared" si="362"/>
        <v/>
      </c>
      <c r="E2040" s="542" t="str">
        <f t="shared" si="363"/>
        <v/>
      </c>
      <c r="F2040" s="934" t="str">
        <f t="shared" si="283"/>
        <v/>
      </c>
      <c r="G2040" s="5724"/>
      <c r="H2040" s="1521" t="str">
        <f>Combate!AB47</f>
        <v/>
      </c>
      <c r="J2040" s="922" t="str">
        <f>IF(ISNA(VLOOKUP(A28,Principal!$S$42:$AH$69,10,FALSE)),"",IF(VLOOKUP(A28,Principal!$S$42:$AH$69,10,FALSE)=0,"",INDEX(PoderesDeCriatura_Adquiridos,MATCH(A28,Principal!$S$42:$S$69,0))))</f>
        <v/>
      </c>
      <c r="K2040" s="988" t="str">
        <f t="shared" si="287"/>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8"/>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9"/>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4">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5">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6">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7">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8">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9">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90">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1">IF(AD2040="","",", "&amp;AD2040)</f>
        <v/>
      </c>
      <c r="AF2040" s="940" t="str">
        <f>IF(OR(AG2040=0,ISNUMBER(MATCH(AG2040,$AG$2015:$AG2039,0))),"",MAX($AF$2014:AF2039)+1)</f>
        <v/>
      </c>
      <c r="AG2040" s="1457">
        <f>Principal!V67</f>
        <v>0</v>
      </c>
    </row>
    <row r="2041" spans="1:33" ht="12.75" customHeight="1" x14ac:dyDescent="0.2">
      <c r="A2041" s="242">
        <v>2041</v>
      </c>
      <c r="B2041" s="5664"/>
      <c r="C2041" s="968" t="str">
        <f t="shared" si="281"/>
        <v/>
      </c>
      <c r="D2041" s="542" t="str">
        <f t="shared" si="362"/>
        <v/>
      </c>
      <c r="E2041" s="542" t="str">
        <f t="shared" si="363"/>
        <v/>
      </c>
      <c r="F2041" s="934" t="str">
        <f t="shared" si="283"/>
        <v/>
      </c>
      <c r="G2041" s="5724"/>
      <c r="H2041" s="1521" t="str">
        <f>Combate!AB48</f>
        <v/>
      </c>
      <c r="J2041" s="922" t="str">
        <f>IF(ISNA(VLOOKUP(A29,Principal!$S$42:$AH$69,10,FALSE)),"",IF(VLOOKUP(A29,Principal!$S$42:$AH$69,10,FALSE)=0,"",INDEX(PoderesDeCriatura_Adquiridos,MATCH(A29,Principal!$S$42:$S$69,0))))</f>
        <v/>
      </c>
      <c r="K2041" s="988" t="str">
        <f t="shared" si="287"/>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8"/>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9"/>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2">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3">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4">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5">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6">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7">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8">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9">IF(AD2041="","",", "&amp;AD2041)</f>
        <v/>
      </c>
      <c r="AF2041" s="940" t="str">
        <f>IF(OR(AG2041=0,ISNUMBER(MATCH(AG2041,$AG$2015:$AG2040,0))),"",MAX($AF$2014:AF2040)+1)</f>
        <v/>
      </c>
      <c r="AG2041" s="1457">
        <f>Principal!V68</f>
        <v>0</v>
      </c>
    </row>
    <row r="2042" spans="1:33" ht="12.75" customHeight="1" x14ac:dyDescent="0.2">
      <c r="A2042" s="242">
        <v>2042</v>
      </c>
      <c r="B2042" s="5664"/>
      <c r="C2042" s="968" t="str">
        <f t="shared" si="281"/>
        <v/>
      </c>
      <c r="D2042" s="542" t="str">
        <f t="shared" si="362"/>
        <v/>
      </c>
      <c r="E2042" s="542" t="str">
        <f t="shared" si="363"/>
        <v/>
      </c>
      <c r="F2042" s="934" t="str">
        <f t="shared" si="283"/>
        <v/>
      </c>
      <c r="G2042" s="5724"/>
      <c r="H2042" s="1522" t="str">
        <f>Combate!AB49</f>
        <v/>
      </c>
      <c r="J2042" s="922" t="str">
        <f>IF(ISNA(VLOOKUP(A30,Principal!$S$42:$AH$69,10,FALSE)),"",IF(VLOOKUP(A30,Principal!$S$42:$AH$69,10,FALSE)=0,"",INDEX(PoderesDeCriatura_Adquiridos,MATCH(A30,Principal!$S$42:$S$69,0))))</f>
        <v/>
      </c>
      <c r="K2042" s="1177" t="str">
        <f t="shared" si="287"/>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8"/>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9"/>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500">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1">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2">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3">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4">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5">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6">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7">IF(AD2042="","",", "&amp;AD2042)</f>
        <v/>
      </c>
      <c r="AF2042" s="1458" t="str">
        <f>IF(OR(AG2042=0,ISNUMBER(MATCH(AG2042,$AG$2015:$AG2041,0))),"",MAX($AF$2014:AF2041)+1)</f>
        <v/>
      </c>
      <c r="AG2042" s="1459">
        <f>Principal!V69</f>
        <v>0</v>
      </c>
    </row>
    <row r="2043" spans="1:33" ht="12.75" customHeight="1" x14ac:dyDescent="0.2">
      <c r="A2043" s="242">
        <v>2043</v>
      </c>
      <c r="B2043" s="5664"/>
      <c r="C2043" s="964" t="str">
        <f t="shared" ref="C2043:C2050" si="508">IF(D2043="","",COUNTIF($D$2008:$D$2050,"&lt;="&amp;D2043)-SUMPRODUCT(--($D$2008:$D$2050="")))</f>
        <v/>
      </c>
      <c r="D2043" s="542" t="str">
        <f>Combate!AB50</f>
        <v/>
      </c>
      <c r="E2043" s="542" t="str">
        <f t="shared" ref="E2043:E2050" si="509">D2043</f>
        <v/>
      </c>
      <c r="F2043" s="934" t="str">
        <f t="shared" si="283"/>
        <v/>
      </c>
      <c r="G2043" s="5723"/>
      <c r="J2043" s="5726" t="str">
        <f>K2013&amp;K2014&amp;K2015&amp;K2016&amp;K2017&amp;K2018&amp;K2019&amp;K2020&amp;K2021&amp;K2022&amp;K2023&amp;K2024&amp;K2025&amp;K2026&amp;K2027&amp;K2028&amp;K2029&amp;K2030&amp;K2031&amp;K2032&amp;K2033&amp;K2034&amp;K2035&amp;K2037&amp;K2036&amp;K2038&amp;K2039&amp;K2041&amp;K2040&amp;K2042</f>
        <v/>
      </c>
      <c r="K2043" s="5727"/>
      <c r="L2043" s="5624" t="str">
        <f>IF(L2012="","",L2012&amp;" ("&amp;M2014&amp;M2015&amp;M2016&amp;M2017&amp;M2018&amp;M2019&amp;M2020&amp;M2021&amp;M2022&amp;M2023&amp;M2024&amp;M2025&amp;M2026&amp;M2027&amp;M2028&amp;M2029&amp;M2030&amp;M2031&amp;M2032&amp;M2033&amp;M2034&amp;M2035&amp;M2036&amp;M2037&amp;M2038&amp;M2039&amp;M2040&amp;M2041&amp;M2042&amp;")")</f>
        <v/>
      </c>
      <c r="M2043" s="5624"/>
      <c r="N2043" s="5624" t="str">
        <f>IF(N2012="","",N2012&amp;" ("&amp;O2014&amp;O2015&amp;O2016&amp;O2017&amp;O2018&amp;O2019&amp;O2020&amp;O2021&amp;O2022&amp;O2023&amp;O2024&amp;O2025&amp;O2026&amp;O2027&amp;O2028&amp;O2029&amp;O2030&amp;O2031&amp;O2032&amp;O2033&amp;O2034&amp;O2035&amp;O2036&amp;O2037&amp;O2038&amp;O2039&amp;O2040&amp;O2041&amp;O2042&amp;")")</f>
        <v/>
      </c>
      <c r="O2043" s="5624"/>
      <c r="P2043" s="5624" t="str">
        <f>IF(P2012="","",P2012&amp;" ("&amp;Q2014&amp;Q2015&amp;Q2016&amp;Q2017&amp;Q2018&amp;Q2019&amp;Q2020&amp;Q2021&amp;Q2022&amp;Q2023&amp;Q2024&amp;Q2025&amp;Q2026&amp;Q2027&amp;Q2028&amp;Q2029&amp;Q2030&amp;Q2031&amp;Q2032&amp;Q2033&amp;Q2034&amp;Q2035&amp;Q2036&amp;Q2037&amp;Q2038&amp;Q2039&amp;Q2040&amp;Q2041&amp;Q2042&amp;")")</f>
        <v/>
      </c>
      <c r="Q2043" s="5624"/>
      <c r="R2043" s="5624" t="str">
        <f>IF(R2012="","",R2012&amp;" ("&amp;S2014&amp;S2015&amp;S2016&amp;S2017&amp;S2018&amp;S2019&amp;S2020&amp;S2021&amp;S2022&amp;S2023&amp;S2024&amp;S2025&amp;S2026&amp;S2027&amp;S2028&amp;S2029&amp;S2030&amp;S2031&amp;S2032&amp;S2033&amp;S2034&amp;S2035&amp;S2036&amp;S2037&amp;S2038&amp;S2039&amp;S2040&amp;S2041&amp;S2042&amp;")")</f>
        <v/>
      </c>
      <c r="S2043" s="5624"/>
      <c r="T2043" s="5624" t="str">
        <f>IF(T2012="","",T2012&amp;" ("&amp;U2014&amp;U2015&amp;U2016&amp;U2017&amp;U2018&amp;U2019&amp;U2020&amp;U2021&amp;U2022&amp;U2023&amp;U2024&amp;U2025&amp;U2026&amp;U2027&amp;U2028&amp;U2029&amp;U2030&amp;U2031&amp;U2032&amp;U2033&amp;U2034&amp;U2035&amp;U2036&amp;U2037&amp;U2038&amp;U2039&amp;U2040&amp;U2041&amp;U2042&amp;")")</f>
        <v/>
      </c>
      <c r="U2043" s="5624"/>
      <c r="V2043" s="5624" t="str">
        <f>IF(V2012="","",V2012&amp;" ("&amp;W2014&amp;W2015&amp;W2016&amp;W2017&amp;W2018&amp;W2019&amp;W2020&amp;W2021&amp;W2022&amp;W2023&amp;W2024&amp;W2025&amp;W2026&amp;W2027&amp;W2028&amp;W2029&amp;W2030&amp;W2031&amp;W2032&amp;W2033&amp;W2034&amp;W2035&amp;W2036&amp;W2037&amp;W2038&amp;W2039&amp;W2040&amp;W2041&amp;W2042&amp;")")</f>
        <v/>
      </c>
      <c r="W2043" s="5624"/>
      <c r="X2043" s="5624" t="str">
        <f>IF(X2012="","",X2012&amp;" ("&amp;Y2014&amp;Y2015&amp;Y2016&amp;Y2017&amp;Y2018&amp;Y2019&amp;Y2020&amp;Y2021&amp;Y2022&amp;Y2023&amp;Y2024&amp;Y2025&amp;Y2026&amp;Y2027&amp;Y2028&amp;Y2029&amp;Y2030&amp;Y2031&amp;Y2032&amp;Y2033&amp;Y2034&amp;Y2035&amp;Y2036&amp;Y2037&amp;Y2038&amp;Y2039&amp;Y2040&amp;Y2041&amp;Y2042&amp;")")</f>
        <v/>
      </c>
      <c r="Y2043" s="5624"/>
      <c r="Z2043" s="5624"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24"/>
      <c r="AB2043" s="5592"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592"/>
      <c r="AD2043" s="5592"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593"/>
    </row>
    <row r="2044" spans="1:33" ht="12.75" customHeight="1" x14ac:dyDescent="0.2">
      <c r="A2044" s="242">
        <v>2044</v>
      </c>
      <c r="B2044" s="5664"/>
      <c r="C2044" s="964" t="str">
        <f t="shared" si="508"/>
        <v/>
      </c>
      <c r="D2044" s="542" t="str">
        <f>Combate!AB51</f>
        <v/>
      </c>
      <c r="E2044" s="542" t="str">
        <f t="shared" si="509"/>
        <v/>
      </c>
      <c r="F2044" s="934" t="str">
        <f t="shared" si="283"/>
        <v/>
      </c>
      <c r="G2044" s="5723"/>
      <c r="J2044" s="5726"/>
      <c r="K2044" s="5727"/>
      <c r="L2044" s="5596" t="str">
        <f>L2043&amp;IF(N2043="","",", "&amp;N2043)&amp;IF(P2043="","",", "&amp;P2043)&amp;IF(R2043="","",", "&amp;R2043)&amp;IF(T2043="","",", "&amp;T2043)&amp;IF(V2043="","",", "&amp;V2043)&amp;IF(X2043="","",", "&amp;X2043)&amp;IF(Z2043="","",", "&amp;Z2043)&amp;IF(AB2043="","",", "&amp;AB2043)&amp;IF(AD2043="","",", "&amp;AD2043)</f>
        <v/>
      </c>
      <c r="M2044" s="5597"/>
      <c r="N2044" s="5597"/>
      <c r="O2044" s="5597"/>
      <c r="P2044" s="5597"/>
      <c r="Q2044" s="5597"/>
      <c r="R2044" s="5597"/>
      <c r="S2044" s="5597"/>
      <c r="T2044" s="5597"/>
      <c r="U2044" s="5597"/>
      <c r="V2044" s="5597"/>
      <c r="W2044" s="5597"/>
      <c r="X2044" s="5597"/>
      <c r="Y2044" s="5597"/>
      <c r="Z2044" s="5597"/>
      <c r="AA2044" s="5597"/>
      <c r="AB2044" s="5597"/>
      <c r="AC2044" s="5597"/>
      <c r="AD2044" s="5597"/>
      <c r="AE2044" s="5598"/>
    </row>
    <row r="2045" spans="1:33" ht="12.75" customHeight="1" x14ac:dyDescent="0.2">
      <c r="A2045" s="242">
        <v>2045</v>
      </c>
      <c r="B2045" s="5664"/>
      <c r="C2045" s="964" t="str">
        <f t="shared" si="508"/>
        <v/>
      </c>
      <c r="D2045" s="542" t="str">
        <f>Combate!AB52</f>
        <v/>
      </c>
      <c r="E2045" s="542" t="str">
        <f t="shared" si="509"/>
        <v/>
      </c>
      <c r="F2045" s="934" t="str">
        <f t="shared" si="283"/>
        <v/>
      </c>
      <c r="G2045" s="5723"/>
      <c r="J2045" s="5602" t="str">
        <f>L2044&amp;IF(L2044="",J2043,", "&amp;J2043)</f>
        <v/>
      </c>
      <c r="K2045" s="5603"/>
      <c r="L2045" s="5603"/>
      <c r="M2045" s="5603"/>
      <c r="N2045" s="5603"/>
      <c r="O2045" s="5603"/>
      <c r="P2045" s="5603"/>
      <c r="Q2045" s="5603"/>
      <c r="R2045" s="5603"/>
      <c r="S2045" s="5603"/>
      <c r="T2045" s="5603"/>
      <c r="U2045" s="5603"/>
      <c r="V2045" s="5603"/>
      <c r="W2045" s="5603"/>
      <c r="X2045" s="5603"/>
      <c r="Y2045" s="5603"/>
      <c r="Z2045" s="5603"/>
      <c r="AA2045" s="5603"/>
      <c r="AB2045" s="5603"/>
      <c r="AC2045" s="5603"/>
      <c r="AD2045" s="5603"/>
      <c r="AE2045" s="5604"/>
    </row>
    <row r="2046" spans="1:33" ht="12.75" customHeight="1" thickBot="1" x14ac:dyDescent="0.25">
      <c r="A2046" s="242">
        <v>2046</v>
      </c>
      <c r="B2046" s="5664"/>
      <c r="C2046" s="964" t="str">
        <f t="shared" si="508"/>
        <v/>
      </c>
      <c r="D2046" s="834" t="str">
        <f>Combate!AB55</f>
        <v/>
      </c>
      <c r="E2046" s="834" t="str">
        <f t="shared" si="509"/>
        <v/>
      </c>
      <c r="F2046" s="934" t="str">
        <f t="shared" si="283"/>
        <v/>
      </c>
      <c r="G2046" s="5723"/>
      <c r="J2046" s="5605"/>
      <c r="K2046" s="5606"/>
      <c r="L2046" s="5606"/>
      <c r="M2046" s="5606"/>
      <c r="N2046" s="5606"/>
      <c r="O2046" s="5606"/>
      <c r="P2046" s="5606"/>
      <c r="Q2046" s="5606"/>
      <c r="R2046" s="5606"/>
      <c r="S2046" s="5606"/>
      <c r="T2046" s="5606"/>
      <c r="U2046" s="5606"/>
      <c r="V2046" s="5606"/>
      <c r="W2046" s="5606"/>
      <c r="X2046" s="5606"/>
      <c r="Y2046" s="5606"/>
      <c r="Z2046" s="5606"/>
      <c r="AA2046" s="5606"/>
      <c r="AB2046" s="5606"/>
      <c r="AC2046" s="5606"/>
      <c r="AD2046" s="5606"/>
      <c r="AE2046" s="5607"/>
    </row>
    <row r="2047" spans="1:33" ht="12.75" customHeight="1" x14ac:dyDescent="0.2">
      <c r="A2047" s="242">
        <v>2047</v>
      </c>
      <c r="B2047" s="5664"/>
      <c r="C2047" s="964" t="str">
        <f t="shared" si="508"/>
        <v/>
      </c>
      <c r="D2047" s="542" t="str">
        <f>Combate!AB57</f>
        <v/>
      </c>
      <c r="E2047" s="542" t="str">
        <f t="shared" si="509"/>
        <v/>
      </c>
      <c r="F2047" s="934" t="str">
        <f t="shared" si="283"/>
        <v/>
      </c>
      <c r="G2047" s="5723"/>
      <c r="H2047" s="942"/>
      <c r="I2047" s="942"/>
      <c r="J2047" s="942"/>
      <c r="K2047" s="942"/>
      <c r="L2047" s="942"/>
      <c r="M2047" s="942"/>
      <c r="N2047" s="942"/>
      <c r="O2047" s="942"/>
      <c r="P2047" s="942"/>
      <c r="Q2047" s="942"/>
      <c r="R2047" s="942"/>
      <c r="S2047" s="942"/>
      <c r="T2047" s="942"/>
    </row>
    <row r="2048" spans="1:33" ht="12.75" customHeight="1" x14ac:dyDescent="0.2">
      <c r="A2048" s="242">
        <v>2048</v>
      </c>
      <c r="B2048" s="5664"/>
      <c r="C2048" s="964" t="str">
        <f t="shared" si="508"/>
        <v/>
      </c>
      <c r="D2048" s="542" t="str">
        <f>Combate!AB59</f>
        <v/>
      </c>
      <c r="E2048" s="542" t="str">
        <f t="shared" si="509"/>
        <v/>
      </c>
      <c r="F2048" s="934" t="str">
        <f t="shared" si="283"/>
        <v/>
      </c>
      <c r="G2048" s="5723"/>
      <c r="H2048" s="942"/>
      <c r="I2048" s="942"/>
      <c r="J2048" s="942"/>
      <c r="K2048" s="942"/>
      <c r="L2048" s="942"/>
      <c r="M2048" s="942"/>
      <c r="N2048" s="942"/>
      <c r="O2048" s="942"/>
      <c r="P2048" s="942"/>
      <c r="Q2048" s="942"/>
      <c r="R2048" s="942"/>
      <c r="S2048" s="942"/>
      <c r="T2048" s="942"/>
    </row>
    <row r="2049" spans="1:15" ht="12.75" customHeight="1" x14ac:dyDescent="0.2">
      <c r="A2049" s="242">
        <v>2049</v>
      </c>
      <c r="B2049" s="5664"/>
      <c r="C2049" s="964" t="str">
        <f t="shared" si="508"/>
        <v/>
      </c>
      <c r="D2049" s="542" t="str">
        <f>Combate!AB61</f>
        <v/>
      </c>
      <c r="E2049" s="542" t="str">
        <f t="shared" si="509"/>
        <v/>
      </c>
      <c r="F2049" s="934" t="str">
        <f t="shared" si="283"/>
        <v/>
      </c>
      <c r="G2049" s="5723"/>
      <c r="H2049"/>
      <c r="I2049" s="624"/>
      <c r="N2049"/>
      <c r="O2049" s="624"/>
    </row>
    <row r="2050" spans="1:15" ht="12.75" customHeight="1" thickBot="1" x14ac:dyDescent="0.25">
      <c r="A2050" s="242">
        <v>2050</v>
      </c>
      <c r="B2050" s="5664"/>
      <c r="C2050" s="966" t="str">
        <f t="shared" si="508"/>
        <v/>
      </c>
      <c r="D2050" s="544" t="str">
        <f>Combate!AB63</f>
        <v/>
      </c>
      <c r="E2050" s="544" t="str">
        <f t="shared" si="509"/>
        <v/>
      </c>
      <c r="F2050" s="935" t="str">
        <f t="shared" si="283"/>
        <v/>
      </c>
      <c r="G2050" s="5725"/>
      <c r="H2050"/>
      <c r="I2050" s="624"/>
      <c r="N2050"/>
      <c r="O2050" s="624"/>
    </row>
  </sheetData>
  <sheetProtection selectLockedCells="1"/>
  <dataConsolidate/>
  <mergeCells count="659">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B911"/>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J7:Q7"/>
    <mergeCell ref="S6:X7"/>
    <mergeCell ref="C6:C7"/>
    <mergeCell ref="C35:H36"/>
    <mergeCell ref="J35:K36"/>
    <mergeCell ref="M35:O35"/>
    <mergeCell ref="Q35:R36"/>
    <mergeCell ref="X19:X20"/>
    <mergeCell ref="W24:Y25"/>
    <mergeCell ref="T24:U25"/>
    <mergeCell ref="P11:Q12"/>
    <mergeCell ref="J8:Q9"/>
    <mergeCell ref="W65:X65"/>
    <mergeCell ref="E64:F64"/>
    <mergeCell ref="E63:F63"/>
    <mergeCell ref="E65:F65"/>
    <mergeCell ref="E37:F37"/>
    <mergeCell ref="E38:F38"/>
    <mergeCell ref="P67:AA67"/>
    <mergeCell ref="E40:F40"/>
    <mergeCell ref="E41:F41"/>
    <mergeCell ref="E42:F42"/>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BG107:BH107"/>
    <mergeCell ref="BJ108:BK108"/>
    <mergeCell ref="C255:D255"/>
    <mergeCell ref="T271:U271"/>
    <mergeCell ref="T593:U593"/>
    <mergeCell ref="T587:U587"/>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AC592:AC593"/>
    <mergeCell ref="T588:U588"/>
    <mergeCell ref="C572:R573"/>
    <mergeCell ref="AC612:AI612"/>
    <mergeCell ref="N271:O271"/>
    <mergeCell ref="P271:Q271"/>
    <mergeCell ref="C607:H607"/>
    <mergeCell ref="T589:U589"/>
    <mergeCell ref="T590:U590"/>
    <mergeCell ref="T597:U597"/>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548" priority="3">
      <formula>"No"</formula>
    </cfRule>
  </conditionalFormatting>
  <conditionalFormatting sqref="X1212:Y1212">
    <cfRule type="expression" dxfId="547"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810" zoomScaleNormal="100" workbookViewId="0">
      <selection activeCell="O827" sqref="O827"/>
    </sheetView>
  </sheetViews>
  <sheetFormatPr baseColWidth="10" defaultColWidth="11.42578125" defaultRowHeight="12" customHeight="1" x14ac:dyDescent="0.2"/>
  <cols>
    <col min="1" max="1" width="2.42578125" style="2224"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6"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89"/>
      <c r="B2" s="5534" t="s">
        <v>9102</v>
      </c>
      <c r="C2" s="5534"/>
      <c r="D2" s="5534"/>
      <c r="E2" s="5534"/>
      <c r="F2" s="5534"/>
      <c r="G2" s="5534"/>
      <c r="H2" s="5534"/>
      <c r="I2" s="5534"/>
      <c r="J2" s="5534"/>
      <c r="K2" s="5534"/>
      <c r="L2" s="5534"/>
      <c r="M2" s="5534"/>
      <c r="N2" s="5534"/>
      <c r="O2" s="5534"/>
      <c r="P2" s="5534"/>
      <c r="Q2" s="5534"/>
      <c r="R2" s="5534"/>
      <c r="S2" s="5534"/>
      <c r="T2" s="5534"/>
      <c r="U2" s="5534"/>
      <c r="V2" s="5534"/>
      <c r="W2" s="5534"/>
      <c r="X2" s="5534"/>
      <c r="Y2" s="5534"/>
      <c r="Z2" s="5534"/>
      <c r="AA2" s="5534"/>
    </row>
    <row r="3" spans="1:27" ht="12" customHeight="1" x14ac:dyDescent="0.2">
      <c r="A3" s="5889"/>
      <c r="B3" s="5534"/>
      <c r="C3" s="5534"/>
      <c r="D3" s="5534"/>
      <c r="E3" s="5534"/>
      <c r="F3" s="5534"/>
      <c r="G3" s="5534"/>
      <c r="H3" s="5534"/>
      <c r="I3" s="5534"/>
      <c r="J3" s="5534"/>
      <c r="K3" s="5534"/>
      <c r="L3" s="5534"/>
      <c r="M3" s="5534"/>
      <c r="N3" s="5534"/>
      <c r="O3" s="5534"/>
      <c r="P3" s="5534"/>
      <c r="Q3" s="5534"/>
      <c r="R3" s="5534"/>
      <c r="S3" s="5534"/>
      <c r="T3" s="5534"/>
      <c r="U3" s="5534"/>
      <c r="V3" s="5534"/>
      <c r="W3" s="5534"/>
      <c r="X3" s="5534"/>
      <c r="Y3" s="5534"/>
      <c r="Z3" s="5534"/>
      <c r="AA3" s="5534"/>
    </row>
    <row r="4" spans="1:27" ht="12" customHeight="1" x14ac:dyDescent="0.2">
      <c r="A4" s="5889"/>
      <c r="B4" s="5534"/>
      <c r="C4" s="5534"/>
      <c r="D4" s="5534"/>
      <c r="E4" s="5534"/>
      <c r="F4" s="5534"/>
      <c r="G4" s="5534"/>
      <c r="H4" s="5534"/>
      <c r="I4" s="5534"/>
      <c r="J4" s="5534"/>
      <c r="K4" s="5534"/>
      <c r="L4" s="5534"/>
      <c r="M4" s="5534"/>
      <c r="N4" s="5534"/>
      <c r="O4" s="5534"/>
      <c r="P4" s="5534"/>
      <c r="Q4" s="5534"/>
      <c r="R4" s="5534"/>
      <c r="S4" s="5534"/>
      <c r="T4" s="5534"/>
      <c r="U4" s="5534"/>
      <c r="V4" s="5534"/>
      <c r="W4" s="5534"/>
      <c r="X4" s="5534"/>
      <c r="Y4" s="5534"/>
      <c r="Z4" s="5534"/>
      <c r="AA4" s="5534"/>
    </row>
    <row r="5" spans="1:27" ht="12" customHeight="1" thickBot="1" x14ac:dyDescent="0.25">
      <c r="A5" s="5889"/>
      <c r="C5"/>
      <c r="D5" s="624"/>
      <c r="E5"/>
      <c r="F5"/>
      <c r="G5"/>
      <c r="H5"/>
      <c r="I5"/>
      <c r="J5"/>
      <c r="L5" s="2215"/>
      <c r="M5" s="2214"/>
      <c r="N5" s="2215"/>
      <c r="O5" s="2214"/>
      <c r="Q5" s="2214"/>
      <c r="R5" s="2214"/>
      <c r="S5" s="2344"/>
      <c r="T5" s="2214"/>
      <c r="U5" s="2214"/>
      <c r="V5"/>
      <c r="W5"/>
    </row>
    <row r="6" spans="1:27" ht="12" customHeight="1" x14ac:dyDescent="0.2">
      <c r="A6" s="5889"/>
      <c r="B6" s="5886"/>
      <c r="C6" s="5867" t="s">
        <v>9104</v>
      </c>
      <c r="D6" s="5867"/>
      <c r="E6" s="5867"/>
      <c r="F6" s="5867"/>
      <c r="G6" s="5867"/>
      <c r="H6" s="5867"/>
      <c r="I6" s="5867"/>
      <c r="J6" s="5867"/>
      <c r="K6" s="5867"/>
      <c r="L6" s="5868"/>
      <c r="M6" s="242"/>
      <c r="N6" s="5883"/>
      <c r="O6" s="5867" t="s">
        <v>9103</v>
      </c>
      <c r="P6" s="5867"/>
      <c r="Q6" s="5867"/>
      <c r="R6" s="5867"/>
      <c r="S6" s="5867"/>
      <c r="T6" s="5867"/>
      <c r="U6" s="5867"/>
      <c r="V6" s="5867"/>
      <c r="W6" s="5867"/>
      <c r="X6" s="5868"/>
    </row>
    <row r="7" spans="1:27" ht="12" customHeight="1" x14ac:dyDescent="0.2">
      <c r="A7" s="5889"/>
      <c r="B7" s="5887"/>
      <c r="C7" s="4569"/>
      <c r="D7" s="4569"/>
      <c r="E7" s="4569"/>
      <c r="F7" s="4569"/>
      <c r="G7" s="4569"/>
      <c r="H7" s="4569"/>
      <c r="I7" s="4569"/>
      <c r="J7" s="4569"/>
      <c r="K7" s="4569"/>
      <c r="L7" s="5869"/>
      <c r="M7" s="242"/>
      <c r="N7" s="5884"/>
      <c r="O7" s="4569"/>
      <c r="P7" s="4569"/>
      <c r="Q7" s="4569"/>
      <c r="R7" s="4569"/>
      <c r="S7" s="4569"/>
      <c r="T7" s="4569"/>
      <c r="U7" s="4569"/>
      <c r="V7" s="4569"/>
      <c r="W7" s="4569"/>
      <c r="X7" s="5869"/>
    </row>
    <row r="8" spans="1:27" ht="12" customHeight="1" x14ac:dyDescent="0.2">
      <c r="A8" s="5889"/>
      <c r="B8" s="5887"/>
      <c r="C8" s="2318" t="s">
        <v>1242</v>
      </c>
      <c r="D8" s="2318" t="s">
        <v>2913</v>
      </c>
      <c r="E8" s="2318" t="s">
        <v>9107</v>
      </c>
      <c r="F8" s="2318" t="s">
        <v>1851</v>
      </c>
      <c r="G8" s="2318" t="s">
        <v>1508</v>
      </c>
      <c r="H8" s="2318" t="s">
        <v>9108</v>
      </c>
      <c r="I8" s="2318" t="s">
        <v>2915</v>
      </c>
      <c r="J8" s="2318" t="s">
        <v>2916</v>
      </c>
      <c r="K8" s="2318" t="s">
        <v>2907</v>
      </c>
      <c r="L8" s="2217" t="s">
        <v>8736</v>
      </c>
      <c r="M8" s="242"/>
      <c r="N8" s="5884"/>
      <c r="O8" s="2317" t="s">
        <v>9105</v>
      </c>
      <c r="P8" s="2317" t="s">
        <v>9106</v>
      </c>
      <c r="Q8" s="2318" t="s">
        <v>1407</v>
      </c>
      <c r="R8" s="2318" t="s">
        <v>1378</v>
      </c>
      <c r="S8" s="2345" t="s">
        <v>1372</v>
      </c>
      <c r="T8" s="2317" t="s">
        <v>9606</v>
      </c>
      <c r="U8" s="2317" t="s">
        <v>9607</v>
      </c>
      <c r="V8" s="2317" t="s">
        <v>9608</v>
      </c>
      <c r="W8" s="2317" t="s">
        <v>9609</v>
      </c>
      <c r="X8" s="2216" t="s">
        <v>9605</v>
      </c>
    </row>
    <row r="9" spans="1:27" ht="12" customHeight="1" x14ac:dyDescent="0.2">
      <c r="A9" s="5889"/>
      <c r="B9" s="5887"/>
      <c r="C9" s="2318">
        <f>Tablas!A1</f>
        <v>1</v>
      </c>
      <c r="D9" s="2318">
        <f>Tablas!B1</f>
        <v>2</v>
      </c>
      <c r="E9" s="2318">
        <f>Tablas!C1</f>
        <v>3</v>
      </c>
      <c r="F9" s="2318">
        <f>Tablas!D1</f>
        <v>4</v>
      </c>
      <c r="G9" s="2318">
        <f>Tablas!E1</f>
        <v>5</v>
      </c>
      <c r="H9" s="2318">
        <f>Tablas!F1</f>
        <v>6</v>
      </c>
      <c r="I9" s="2318">
        <f>Tablas!G1</f>
        <v>7</v>
      </c>
      <c r="J9" s="2318">
        <f>Tablas!H1</f>
        <v>8</v>
      </c>
      <c r="K9" s="2318">
        <f>Tablas!I1</f>
        <v>9</v>
      </c>
      <c r="L9" s="2217">
        <f>Tablas!J1</f>
        <v>10</v>
      </c>
      <c r="M9" s="242"/>
      <c r="N9" s="5884"/>
      <c r="O9" s="87" t="s">
        <v>2904</v>
      </c>
      <c r="P9" s="87"/>
      <c r="Q9" s="81" t="s">
        <v>1464</v>
      </c>
      <c r="R9" s="81" t="s">
        <v>1464</v>
      </c>
      <c r="S9" s="89" t="s">
        <v>1464</v>
      </c>
      <c r="T9" s="87" t="s">
        <v>1464</v>
      </c>
      <c r="U9" s="87"/>
      <c r="V9" s="87"/>
      <c r="W9" s="87"/>
      <c r="X9" s="2218"/>
    </row>
    <row r="10" spans="1:27" ht="12" customHeight="1" x14ac:dyDescent="0.2">
      <c r="A10" s="5889"/>
      <c r="B10" s="5887"/>
      <c r="C10" s="45" t="s">
        <v>9112</v>
      </c>
      <c r="D10" s="87"/>
      <c r="E10" s="1291"/>
      <c r="F10" s="1292"/>
      <c r="G10" s="1291"/>
      <c r="H10" s="1291"/>
      <c r="I10" s="1291"/>
      <c r="J10" s="1291"/>
      <c r="K10" s="1291"/>
      <c r="L10" s="2220"/>
      <c r="M10" s="242"/>
      <c r="N10" s="5884"/>
      <c r="O10" s="87" t="s">
        <v>9109</v>
      </c>
      <c r="P10" s="87" t="str">
        <f t="shared" ref="P10:P40" si="0">IF(ISNUMBER(FIND("&gt;&gt;",O10)),"","'Tablas Técnicas'!"&amp;ADDRESS(ROW($D$9)+MATCH(O10,$C$10:$C$643,0),COLUMN($D$9))&amp;":"&amp;ADDRESS(ROW($D$9)+MATCH(O10,$C$10:$C$643,0)+COUNTIF($C$10:$C$643,O10)-1,COLUMN($D$9)))</f>
        <v>'Tablas Técnicas'!$D$11:$D$21</v>
      </c>
      <c r="Q10" s="81" t="s">
        <v>2906</v>
      </c>
      <c r="R10" s="81" t="s">
        <v>1240</v>
      </c>
      <c r="S10" s="89" t="s">
        <v>9110</v>
      </c>
      <c r="T10" s="87" t="s">
        <v>1612</v>
      </c>
      <c r="U10" s="87" t="s">
        <v>1619</v>
      </c>
      <c r="V10" s="87" t="s">
        <v>1709</v>
      </c>
      <c r="W10" s="87" t="s">
        <v>9111</v>
      </c>
      <c r="X10" s="2218" t="b">
        <f t="shared" ref="X10:X41" si="1">IFERROR(IF(VLOOKUP(T10,$Z$25:$AA$30,2,0),TRUE,IF(VLOOKUP(U10,$Z$25:$AA$30,2,0),TRUE,IF(VLOOKUP(V10,$Z$25:$AA$30,2,0),TRUE,FALSE))),FALSE)</f>
        <v>0</v>
      </c>
    </row>
    <row r="11" spans="1:27" ht="12" customHeight="1" x14ac:dyDescent="0.2">
      <c r="A11" s="5889"/>
      <c r="B11" s="5887"/>
      <c r="C11" s="45" t="s">
        <v>9114</v>
      </c>
      <c r="D11" s="87" t="s">
        <v>7748</v>
      </c>
      <c r="E11" s="1291">
        <v>2</v>
      </c>
      <c r="F11" s="1292">
        <v>4</v>
      </c>
      <c r="G11" s="1291">
        <v>5</v>
      </c>
      <c r="H11" s="1291">
        <v>1</v>
      </c>
      <c r="I11" s="1291">
        <v>2</v>
      </c>
      <c r="J11" s="1291">
        <v>4</v>
      </c>
      <c r="K11" s="1291">
        <v>1</v>
      </c>
      <c r="L11" s="2220" t="str">
        <f t="shared" ref="L11:L74" si="2">C11&amp;D11</f>
        <v>Habilidad De Ataque+10</v>
      </c>
      <c r="M11" s="242"/>
      <c r="N11" s="5884"/>
      <c r="O11" s="87" t="s">
        <v>9113</v>
      </c>
      <c r="P11" s="87" t="str">
        <f t="shared" si="0"/>
        <v>'Tablas Técnicas'!$D$23:$D$29</v>
      </c>
      <c r="Q11" s="81" t="s">
        <v>2909</v>
      </c>
      <c r="R11" s="81" t="s">
        <v>1240</v>
      </c>
      <c r="S11" s="89" t="s">
        <v>9110</v>
      </c>
      <c r="T11" s="87" t="s">
        <v>1612</v>
      </c>
      <c r="U11" s="87" t="s">
        <v>1619</v>
      </c>
      <c r="V11" s="87" t="s">
        <v>1709</v>
      </c>
      <c r="W11" s="87" t="s">
        <v>9111</v>
      </c>
      <c r="X11" s="2218" t="b">
        <f t="shared" si="1"/>
        <v>0</v>
      </c>
      <c r="AA11" s="242"/>
    </row>
    <row r="12" spans="1:27" ht="12" customHeight="1" x14ac:dyDescent="0.2">
      <c r="A12" s="5889"/>
      <c r="B12" s="5887"/>
      <c r="C12" s="45" t="s">
        <v>9114</v>
      </c>
      <c r="D12" s="87" t="s">
        <v>7892</v>
      </c>
      <c r="E12" s="1291">
        <v>3</v>
      </c>
      <c r="F12" s="1292">
        <v>5</v>
      </c>
      <c r="G12" s="1291">
        <v>5</v>
      </c>
      <c r="H12" s="1291">
        <v>2</v>
      </c>
      <c r="I12" s="1291">
        <v>4</v>
      </c>
      <c r="J12" s="1291">
        <v>7</v>
      </c>
      <c r="K12" s="1291">
        <v>1</v>
      </c>
      <c r="L12" s="2220" t="str">
        <f t="shared" si="2"/>
        <v>Habilidad De Ataque+25</v>
      </c>
      <c r="M12" s="242"/>
      <c r="N12" s="5884"/>
      <c r="O12" s="87" t="s">
        <v>9115</v>
      </c>
      <c r="P12" s="87" t="str">
        <f t="shared" si="0"/>
        <v>'Tablas Técnicas'!$D$31:$D$38</v>
      </c>
      <c r="Q12" s="81" t="s">
        <v>2906</v>
      </c>
      <c r="R12" s="81" t="s">
        <v>1240</v>
      </c>
      <c r="S12" s="89" t="s">
        <v>9116</v>
      </c>
      <c r="T12" s="87" t="s">
        <v>1708</v>
      </c>
      <c r="U12" s="87" t="s">
        <v>1709</v>
      </c>
      <c r="V12" s="87" t="s">
        <v>1713</v>
      </c>
      <c r="W12" s="87" t="s">
        <v>9117</v>
      </c>
      <c r="X12" s="2218" t="b">
        <f t="shared" si="1"/>
        <v>0</v>
      </c>
      <c r="AA12" s="242"/>
    </row>
    <row r="13" spans="1:27" ht="12" customHeight="1" x14ac:dyDescent="0.2">
      <c r="A13" s="5889"/>
      <c r="B13" s="5887"/>
      <c r="C13" s="45" t="s">
        <v>9114</v>
      </c>
      <c r="D13" s="87" t="s">
        <v>7750</v>
      </c>
      <c r="E13" s="1291">
        <v>4</v>
      </c>
      <c r="F13" s="1292">
        <v>6</v>
      </c>
      <c r="G13" s="1291">
        <v>10</v>
      </c>
      <c r="H13" s="1291">
        <v>3</v>
      </c>
      <c r="I13" s="1291">
        <v>6</v>
      </c>
      <c r="J13" s="1291">
        <v>11</v>
      </c>
      <c r="K13" s="1291">
        <v>1</v>
      </c>
      <c r="L13" s="2220" t="str">
        <f t="shared" si="2"/>
        <v>Habilidad De Ataque+40</v>
      </c>
      <c r="M13" s="242"/>
      <c r="N13" s="5884"/>
      <c r="O13" s="87" t="s">
        <v>9119</v>
      </c>
      <c r="P13" s="87" t="str">
        <f t="shared" si="0"/>
        <v>'Tablas Técnicas'!$D$40:$D$50</v>
      </c>
      <c r="Q13" s="81" t="s">
        <v>2906</v>
      </c>
      <c r="R13" s="81" t="s">
        <v>2975</v>
      </c>
      <c r="S13" s="89" t="s">
        <v>9110</v>
      </c>
      <c r="T13" s="87" t="s">
        <v>1615</v>
      </c>
      <c r="U13" s="87" t="s">
        <v>1612</v>
      </c>
      <c r="V13" s="87" t="s">
        <v>1713</v>
      </c>
      <c r="W13" s="87" t="s">
        <v>9120</v>
      </c>
      <c r="X13" s="2218" t="b">
        <f t="shared" si="1"/>
        <v>0</v>
      </c>
      <c r="AA13" s="242"/>
    </row>
    <row r="14" spans="1:27" ht="12" customHeight="1" x14ac:dyDescent="0.2">
      <c r="A14" s="5889"/>
      <c r="B14" s="5887"/>
      <c r="C14" s="45" t="s">
        <v>9114</v>
      </c>
      <c r="D14" s="87" t="s">
        <v>7751</v>
      </c>
      <c r="E14" s="1291">
        <v>5</v>
      </c>
      <c r="F14" s="1292">
        <v>8</v>
      </c>
      <c r="G14" s="1291">
        <v>15</v>
      </c>
      <c r="H14" s="1291">
        <v>4</v>
      </c>
      <c r="I14" s="1291">
        <v>8</v>
      </c>
      <c r="J14" s="1291">
        <v>14</v>
      </c>
      <c r="K14" s="1291">
        <v>1</v>
      </c>
      <c r="L14" s="2220" t="str">
        <f t="shared" si="2"/>
        <v>Habilidad De Ataque+50</v>
      </c>
      <c r="M14" s="242"/>
      <c r="N14" s="5884"/>
      <c r="O14" s="87" t="s">
        <v>9122</v>
      </c>
      <c r="P14" s="87" t="str">
        <f t="shared" si="0"/>
        <v>'Tablas Técnicas'!$D$52:$D$57</v>
      </c>
      <c r="Q14" s="81" t="s">
        <v>2906</v>
      </c>
      <c r="R14" s="81" t="s">
        <v>1240</v>
      </c>
      <c r="S14" s="89" t="s">
        <v>9123</v>
      </c>
      <c r="T14" s="87" t="s">
        <v>1612</v>
      </c>
      <c r="U14" s="87" t="s">
        <v>7172</v>
      </c>
      <c r="V14" s="87" t="s">
        <v>7172</v>
      </c>
      <c r="W14" s="87" t="s">
        <v>1612</v>
      </c>
      <c r="X14" s="2218" t="b">
        <f t="shared" si="1"/>
        <v>0</v>
      </c>
      <c r="AA14" s="242"/>
    </row>
    <row r="15" spans="1:27" ht="12" customHeight="1" thickBot="1" x14ac:dyDescent="0.25">
      <c r="A15" s="5889"/>
      <c r="B15" s="5887"/>
      <c r="C15" s="45" t="s">
        <v>9114</v>
      </c>
      <c r="D15" s="87" t="s">
        <v>9125</v>
      </c>
      <c r="E15" s="1291">
        <v>9</v>
      </c>
      <c r="F15" s="1292">
        <v>12</v>
      </c>
      <c r="G15" s="1291">
        <v>20</v>
      </c>
      <c r="H15" s="1291">
        <v>6</v>
      </c>
      <c r="I15" s="1291">
        <v>12</v>
      </c>
      <c r="J15" s="1291">
        <v>21</v>
      </c>
      <c r="K15" s="1291">
        <v>1</v>
      </c>
      <c r="L15" s="2220" t="str">
        <f t="shared" si="2"/>
        <v>Habilidad De Ataque+75</v>
      </c>
      <c r="M15" s="242"/>
      <c r="N15" s="5884"/>
      <c r="O15" s="87" t="s">
        <v>9124</v>
      </c>
      <c r="P15" s="87" t="str">
        <f t="shared" si="0"/>
        <v>'Tablas Técnicas'!$D$59:$D$61</v>
      </c>
      <c r="Q15" s="81" t="s">
        <v>2909</v>
      </c>
      <c r="R15" s="81" t="s">
        <v>1240</v>
      </c>
      <c r="S15" s="89" t="s">
        <v>9123</v>
      </c>
      <c r="T15" s="87" t="s">
        <v>1612</v>
      </c>
      <c r="U15" s="87" t="s">
        <v>7172</v>
      </c>
      <c r="V15" s="87" t="s">
        <v>7172</v>
      </c>
      <c r="W15" s="87" t="s">
        <v>1612</v>
      </c>
      <c r="X15" s="2218" t="b">
        <f t="shared" si="1"/>
        <v>0</v>
      </c>
      <c r="Z15" s="242"/>
      <c r="AA15" s="242"/>
    </row>
    <row r="16" spans="1:27" ht="12" customHeight="1" x14ac:dyDescent="0.2">
      <c r="A16" s="5889"/>
      <c r="B16" s="5887"/>
      <c r="C16" s="45" t="s">
        <v>9114</v>
      </c>
      <c r="D16" s="87" t="s">
        <v>9129</v>
      </c>
      <c r="E16" s="1291">
        <v>12</v>
      </c>
      <c r="F16" s="1292">
        <v>15</v>
      </c>
      <c r="G16" s="1291">
        <v>25</v>
      </c>
      <c r="H16" s="1291">
        <v>8</v>
      </c>
      <c r="I16" s="1291">
        <v>16</v>
      </c>
      <c r="J16" s="1291">
        <v>28</v>
      </c>
      <c r="K16" s="1291">
        <v>1</v>
      </c>
      <c r="L16" s="2220" t="str">
        <f t="shared" si="2"/>
        <v>Habilidad De Ataque+90</v>
      </c>
      <c r="M16" s="242"/>
      <c r="N16" s="5884"/>
      <c r="O16" s="87" t="s">
        <v>9126</v>
      </c>
      <c r="P16" s="87" t="str">
        <f t="shared" si="0"/>
        <v>'Tablas Técnicas'!$D$63:$D$65</v>
      </c>
      <c r="Q16" s="81" t="s">
        <v>2906</v>
      </c>
      <c r="R16" s="81" t="s">
        <v>1240</v>
      </c>
      <c r="S16" s="89" t="s">
        <v>9127</v>
      </c>
      <c r="T16" s="87" t="s">
        <v>1615</v>
      </c>
      <c r="U16" s="87" t="s">
        <v>1612</v>
      </c>
      <c r="V16" s="87" t="s">
        <v>1709</v>
      </c>
      <c r="W16" s="87" t="s">
        <v>9128</v>
      </c>
      <c r="X16" s="2218" t="b">
        <f t="shared" si="1"/>
        <v>0</v>
      </c>
      <c r="Z16" s="2219" t="s">
        <v>9136</v>
      </c>
      <c r="AA16" s="2219" t="s">
        <v>9595</v>
      </c>
    </row>
    <row r="17" spans="1:27" ht="12" customHeight="1" x14ac:dyDescent="0.2">
      <c r="A17" s="5889"/>
      <c r="B17" s="5887"/>
      <c r="C17" s="45" t="s">
        <v>9114</v>
      </c>
      <c r="D17" s="87" t="s">
        <v>9132</v>
      </c>
      <c r="E17" s="1291">
        <v>14</v>
      </c>
      <c r="F17" s="1292">
        <v>18</v>
      </c>
      <c r="G17" s="1291">
        <v>30</v>
      </c>
      <c r="H17" s="1291">
        <v>10</v>
      </c>
      <c r="I17" s="1291">
        <v>20</v>
      </c>
      <c r="J17" s="1291">
        <v>35</v>
      </c>
      <c r="K17" s="1291">
        <v>1</v>
      </c>
      <c r="L17" s="2220" t="str">
        <f t="shared" si="2"/>
        <v>Habilidad De Ataque+100</v>
      </c>
      <c r="M17" s="242"/>
      <c r="N17" s="5884"/>
      <c r="O17" s="87" t="s">
        <v>9130</v>
      </c>
      <c r="P17" s="87" t="str">
        <f t="shared" si="0"/>
        <v>'Tablas Técnicas'!$D$67:$D$74</v>
      </c>
      <c r="Q17" s="81" t="s">
        <v>2906</v>
      </c>
      <c r="R17" s="81" t="s">
        <v>1240</v>
      </c>
      <c r="S17" s="89" t="s">
        <v>9131</v>
      </c>
      <c r="T17" s="87" t="s">
        <v>1615</v>
      </c>
      <c r="U17" s="87" t="s">
        <v>1612</v>
      </c>
      <c r="V17" s="87" t="s">
        <v>1709</v>
      </c>
      <c r="W17" s="87" t="s">
        <v>9128</v>
      </c>
      <c r="X17" s="2218" t="b">
        <f t="shared" si="1"/>
        <v>0</v>
      </c>
      <c r="Z17" s="2221">
        <v>0</v>
      </c>
      <c r="AA17" s="2221">
        <v>0</v>
      </c>
    </row>
    <row r="18" spans="1:27" ht="12" customHeight="1" x14ac:dyDescent="0.2">
      <c r="A18" s="5889"/>
      <c r="B18" s="5887"/>
      <c r="C18" s="45" t="s">
        <v>9114</v>
      </c>
      <c r="D18" s="87" t="s">
        <v>9133</v>
      </c>
      <c r="E18" s="1291">
        <v>18</v>
      </c>
      <c r="F18" s="1292">
        <v>22</v>
      </c>
      <c r="G18" s="1291">
        <v>35</v>
      </c>
      <c r="H18" s="1291">
        <v>12</v>
      </c>
      <c r="I18" s="1291">
        <v>24</v>
      </c>
      <c r="J18" s="1291">
        <v>42</v>
      </c>
      <c r="K18" s="1291">
        <v>2</v>
      </c>
      <c r="L18" s="2220" t="str">
        <f t="shared" si="2"/>
        <v>Habilidad De Ataque+125</v>
      </c>
      <c r="M18" s="242"/>
      <c r="N18" s="5884"/>
      <c r="O18" s="87" t="s">
        <v>2912</v>
      </c>
      <c r="P18" s="87"/>
      <c r="Q18" s="81"/>
      <c r="R18" s="81"/>
      <c r="S18" s="89"/>
      <c r="T18" s="87"/>
      <c r="U18" s="87" t="s">
        <v>7172</v>
      </c>
      <c r="V18" s="87" t="s">
        <v>7172</v>
      </c>
      <c r="W18" s="87" t="s">
        <v>7172</v>
      </c>
      <c r="X18" s="2218" t="b">
        <f t="shared" si="1"/>
        <v>0</v>
      </c>
      <c r="Z18" s="2221">
        <v>-5</v>
      </c>
      <c r="AA18" s="2221">
        <v>-1</v>
      </c>
    </row>
    <row r="19" spans="1:27" ht="12" customHeight="1" x14ac:dyDescent="0.2">
      <c r="A19" s="5889"/>
      <c r="B19" s="5887"/>
      <c r="C19" s="45" t="s">
        <v>9114</v>
      </c>
      <c r="D19" s="87" t="s">
        <v>9135</v>
      </c>
      <c r="E19" s="1291">
        <v>22</v>
      </c>
      <c r="F19" s="1292">
        <v>26</v>
      </c>
      <c r="G19" s="1291">
        <v>40</v>
      </c>
      <c r="H19" s="1291">
        <v>14</v>
      </c>
      <c r="I19" s="1291">
        <v>28</v>
      </c>
      <c r="J19" s="1291">
        <v>49</v>
      </c>
      <c r="K19" s="1291">
        <v>2</v>
      </c>
      <c r="L19" s="2220" t="str">
        <f t="shared" si="2"/>
        <v>Habilidad De Ataque+150</v>
      </c>
      <c r="M19" s="242"/>
      <c r="N19" s="5884"/>
      <c r="O19" s="87" t="s">
        <v>2886</v>
      </c>
      <c r="P19" s="87" t="str">
        <f t="shared" si="0"/>
        <v>'Tablas Técnicas'!$D$77:$D$87</v>
      </c>
      <c r="Q19" s="81" t="s">
        <v>2906</v>
      </c>
      <c r="R19" s="81" t="s">
        <v>1574</v>
      </c>
      <c r="S19" s="89" t="s">
        <v>9110</v>
      </c>
      <c r="T19" s="87" t="s">
        <v>1615</v>
      </c>
      <c r="U19" s="87" t="s">
        <v>1708</v>
      </c>
      <c r="V19" s="87" t="s">
        <v>1713</v>
      </c>
      <c r="W19" s="87" t="s">
        <v>9134</v>
      </c>
      <c r="X19" s="2218" t="b">
        <f t="shared" si="1"/>
        <v>0</v>
      </c>
      <c r="Z19" s="2221">
        <v>-10</v>
      </c>
      <c r="AA19" s="2221">
        <v>-2</v>
      </c>
    </row>
    <row r="20" spans="1:27" ht="12" customHeight="1" x14ac:dyDescent="0.2">
      <c r="A20" s="5889"/>
      <c r="B20" s="5887"/>
      <c r="C20" s="45" t="s">
        <v>9114</v>
      </c>
      <c r="D20" s="87" t="s">
        <v>9138</v>
      </c>
      <c r="E20" s="1291">
        <v>26</v>
      </c>
      <c r="F20" s="1292">
        <v>32</v>
      </c>
      <c r="G20" s="1291">
        <v>45</v>
      </c>
      <c r="H20" s="1291">
        <v>16</v>
      </c>
      <c r="I20" s="1291">
        <v>32</v>
      </c>
      <c r="J20" s="1291">
        <v>56</v>
      </c>
      <c r="K20" s="1291">
        <v>3</v>
      </c>
      <c r="L20" s="2220" t="str">
        <f t="shared" si="2"/>
        <v>Habilidad De Ataque+175</v>
      </c>
      <c r="M20" s="242"/>
      <c r="N20" s="5884"/>
      <c r="O20" s="87" t="s">
        <v>9137</v>
      </c>
      <c r="P20" s="87" t="str">
        <f t="shared" si="0"/>
        <v>'Tablas Técnicas'!$D$89:$D$95</v>
      </c>
      <c r="Q20" s="81" t="s">
        <v>2909</v>
      </c>
      <c r="R20" s="81" t="s">
        <v>1574</v>
      </c>
      <c r="S20" s="89" t="s">
        <v>9110</v>
      </c>
      <c r="T20" s="87" t="s">
        <v>1615</v>
      </c>
      <c r="U20" s="87" t="s">
        <v>1708</v>
      </c>
      <c r="V20" s="87" t="s">
        <v>1713</v>
      </c>
      <c r="W20" s="87" t="s">
        <v>9134</v>
      </c>
      <c r="X20" s="2218" t="b">
        <f t="shared" si="1"/>
        <v>0</v>
      </c>
      <c r="Z20" s="2221">
        <v>-15</v>
      </c>
      <c r="AA20" s="2221">
        <v>-3</v>
      </c>
    </row>
    <row r="21" spans="1:27" ht="12" customHeight="1" thickBot="1" x14ac:dyDescent="0.25">
      <c r="A21" s="5889"/>
      <c r="B21" s="5887"/>
      <c r="C21" s="45" t="s">
        <v>9114</v>
      </c>
      <c r="D21" s="87" t="s">
        <v>9140</v>
      </c>
      <c r="E21" s="1291">
        <v>30</v>
      </c>
      <c r="F21" s="1292">
        <v>36</v>
      </c>
      <c r="G21" s="1291">
        <v>50</v>
      </c>
      <c r="H21" s="1291">
        <v>18</v>
      </c>
      <c r="I21" s="1291">
        <v>36</v>
      </c>
      <c r="J21" s="1291">
        <v>63</v>
      </c>
      <c r="K21" s="1291">
        <v>3</v>
      </c>
      <c r="L21" s="2220" t="str">
        <f t="shared" si="2"/>
        <v>Habilidad De Ataque+200</v>
      </c>
      <c r="M21" s="242"/>
      <c r="N21" s="5884"/>
      <c r="O21" s="87" t="s">
        <v>9139</v>
      </c>
      <c r="P21" s="87" t="str">
        <f t="shared" si="0"/>
        <v>'Tablas Técnicas'!$D$97:$D$107</v>
      </c>
      <c r="Q21" s="81" t="s">
        <v>2906</v>
      </c>
      <c r="R21" s="81" t="s">
        <v>1574</v>
      </c>
      <c r="S21" s="89" t="s">
        <v>9110</v>
      </c>
      <c r="T21" s="87" t="s">
        <v>1615</v>
      </c>
      <c r="U21" s="87" t="s">
        <v>1708</v>
      </c>
      <c r="V21" s="87" t="s">
        <v>1713</v>
      </c>
      <c r="W21" s="87" t="s">
        <v>9134</v>
      </c>
      <c r="X21" s="2218" t="b">
        <f t="shared" si="1"/>
        <v>0</v>
      </c>
      <c r="Z21" s="2222">
        <v>-20</v>
      </c>
      <c r="AA21" s="2221">
        <v>-4</v>
      </c>
    </row>
    <row r="22" spans="1:27" ht="12" customHeight="1" thickBot="1" x14ac:dyDescent="0.25">
      <c r="A22" s="5889"/>
      <c r="B22" s="5887"/>
      <c r="C22" s="45" t="s">
        <v>9143</v>
      </c>
      <c r="D22" s="87"/>
      <c r="E22" s="1291"/>
      <c r="F22" s="1292"/>
      <c r="G22" s="1291"/>
      <c r="H22" s="1291"/>
      <c r="I22" s="1291"/>
      <c r="J22" s="1291"/>
      <c r="K22" s="1291"/>
      <c r="L22" s="2220" t="str">
        <f t="shared" si="2"/>
        <v>&gt; HABILIDAD DE ATAQUE COMPLETA</v>
      </c>
      <c r="M22" s="242"/>
      <c r="N22" s="5884"/>
      <c r="O22" s="87" t="s">
        <v>2884</v>
      </c>
      <c r="P22" s="87" t="str">
        <f t="shared" si="0"/>
        <v>'Tablas Técnicas'!$D$109:$D$119</v>
      </c>
      <c r="Q22" s="81" t="s">
        <v>2906</v>
      </c>
      <c r="R22" s="81" t="s">
        <v>1574</v>
      </c>
      <c r="S22" s="89" t="s">
        <v>9141</v>
      </c>
      <c r="T22" s="87" t="s">
        <v>1615</v>
      </c>
      <c r="U22" s="87" t="s">
        <v>1612</v>
      </c>
      <c r="V22" s="87" t="s">
        <v>1708</v>
      </c>
      <c r="W22" s="87" t="s">
        <v>9142</v>
      </c>
      <c r="X22" s="2218" t="b">
        <f t="shared" si="1"/>
        <v>0</v>
      </c>
      <c r="Z22" s="242"/>
      <c r="AA22" s="2222">
        <v>-5</v>
      </c>
    </row>
    <row r="23" spans="1:27" ht="12" customHeight="1" thickBot="1" x14ac:dyDescent="0.25">
      <c r="A23" s="5889"/>
      <c r="B23" s="5887"/>
      <c r="C23" s="45" t="s">
        <v>9145</v>
      </c>
      <c r="D23" s="87" t="s">
        <v>7748</v>
      </c>
      <c r="E23" s="1291">
        <v>4</v>
      </c>
      <c r="F23" s="1292">
        <v>6</v>
      </c>
      <c r="G23" s="1291">
        <v>10</v>
      </c>
      <c r="H23" s="1291">
        <v>2</v>
      </c>
      <c r="I23" s="1291">
        <v>4</v>
      </c>
      <c r="J23" s="1291">
        <v>7</v>
      </c>
      <c r="K23" s="1291">
        <v>1</v>
      </c>
      <c r="L23" s="2220" t="str">
        <f t="shared" si="2"/>
        <v>Habilidad De Ataque Completa+10</v>
      </c>
      <c r="M23" s="242"/>
      <c r="N23" s="5884"/>
      <c r="O23" s="87" t="s">
        <v>9144</v>
      </c>
      <c r="P23" s="87" t="str">
        <f t="shared" si="0"/>
        <v>'Tablas Técnicas'!$D$121:$D$127</v>
      </c>
      <c r="Q23" s="81" t="s">
        <v>2909</v>
      </c>
      <c r="R23" s="81" t="s">
        <v>1574</v>
      </c>
      <c r="S23" s="89" t="s">
        <v>9141</v>
      </c>
      <c r="T23" s="87" t="s">
        <v>1615</v>
      </c>
      <c r="U23" s="87" t="s">
        <v>1612</v>
      </c>
      <c r="V23" s="87" t="s">
        <v>1708</v>
      </c>
      <c r="W23" s="87" t="s">
        <v>9142</v>
      </c>
      <c r="X23" s="2218" t="b">
        <f t="shared" si="1"/>
        <v>0</v>
      </c>
      <c r="Z23" s="242"/>
      <c r="AA23" s="242"/>
    </row>
    <row r="24" spans="1:27" ht="12" customHeight="1" x14ac:dyDescent="0.2">
      <c r="A24" s="5889"/>
      <c r="B24" s="5887"/>
      <c r="C24" s="45" t="s">
        <v>9145</v>
      </c>
      <c r="D24" s="87" t="s">
        <v>7892</v>
      </c>
      <c r="E24" s="1291">
        <v>8</v>
      </c>
      <c r="F24" s="1292">
        <v>11</v>
      </c>
      <c r="G24" s="1291">
        <v>15</v>
      </c>
      <c r="H24" s="1291">
        <v>5</v>
      </c>
      <c r="I24" s="1291">
        <v>10</v>
      </c>
      <c r="J24" s="1291">
        <v>18</v>
      </c>
      <c r="K24" s="1291">
        <v>1</v>
      </c>
      <c r="L24" s="2220" t="str">
        <f t="shared" si="2"/>
        <v>Habilidad De Ataque Completa+25</v>
      </c>
      <c r="M24" s="242"/>
      <c r="N24" s="5884"/>
      <c r="O24" s="87" t="s">
        <v>9146</v>
      </c>
      <c r="P24" s="87" t="str">
        <f t="shared" si="0"/>
        <v>'Tablas Técnicas'!$D$129:$D$139</v>
      </c>
      <c r="Q24" s="81" t="s">
        <v>2906</v>
      </c>
      <c r="R24" s="81" t="s">
        <v>1574</v>
      </c>
      <c r="S24" s="89" t="s">
        <v>9141</v>
      </c>
      <c r="T24" s="87" t="s">
        <v>1612</v>
      </c>
      <c r="U24" s="87" t="s">
        <v>1708</v>
      </c>
      <c r="V24" s="87" t="s">
        <v>1709</v>
      </c>
      <c r="W24" s="87" t="s">
        <v>9147</v>
      </c>
      <c r="X24" s="2218" t="b">
        <f t="shared" si="1"/>
        <v>0</v>
      </c>
      <c r="Z24" s="2219" t="s">
        <v>9086</v>
      </c>
      <c r="AA24" s="2219" t="s">
        <v>9604</v>
      </c>
    </row>
    <row r="25" spans="1:27" ht="12" customHeight="1" x14ac:dyDescent="0.2">
      <c r="A25" s="5889"/>
      <c r="B25" s="5887"/>
      <c r="C25" s="45" t="s">
        <v>9145</v>
      </c>
      <c r="D25" s="87" t="s">
        <v>7750</v>
      </c>
      <c r="E25" s="1291">
        <v>10</v>
      </c>
      <c r="F25" s="1292">
        <v>13</v>
      </c>
      <c r="G25" s="1291">
        <v>20</v>
      </c>
      <c r="H25" s="1291">
        <v>8</v>
      </c>
      <c r="I25" s="1291">
        <v>16</v>
      </c>
      <c r="J25" s="1291">
        <v>28</v>
      </c>
      <c r="K25" s="1291">
        <v>1</v>
      </c>
      <c r="L25" s="2220" t="str">
        <f t="shared" si="2"/>
        <v>Habilidad De Ataque Completa+40</v>
      </c>
      <c r="M25" s="242"/>
      <c r="N25" s="5884"/>
      <c r="O25" s="87" t="s">
        <v>9148</v>
      </c>
      <c r="P25" s="87" t="str">
        <f t="shared" si="0"/>
        <v>'Tablas Técnicas'!$D$141:$D$148</v>
      </c>
      <c r="Q25" s="81" t="s">
        <v>2906</v>
      </c>
      <c r="R25" s="81" t="s">
        <v>1574</v>
      </c>
      <c r="S25" s="89" t="s">
        <v>9149</v>
      </c>
      <c r="T25" s="87" t="s">
        <v>1615</v>
      </c>
      <c r="U25" s="87" t="s">
        <v>1708</v>
      </c>
      <c r="V25" s="87" t="s">
        <v>1713</v>
      </c>
      <c r="W25" s="87" t="s">
        <v>9134</v>
      </c>
      <c r="X25" s="2218" t="b">
        <f t="shared" si="1"/>
        <v>0</v>
      </c>
      <c r="Z25" s="2221" t="s">
        <v>1612</v>
      </c>
      <c r="AA25" s="2221" t="b">
        <f>ISNUMBER(FIND("Empatía Elemental ("&amp;Z25&amp;")",Principal!$AF$30))</f>
        <v>0</v>
      </c>
    </row>
    <row r="26" spans="1:27" ht="12" customHeight="1" x14ac:dyDescent="0.2">
      <c r="A26" s="5889"/>
      <c r="B26" s="5887"/>
      <c r="C26" s="45" t="s">
        <v>9145</v>
      </c>
      <c r="D26" s="87" t="s">
        <v>7751</v>
      </c>
      <c r="E26" s="1291">
        <v>12</v>
      </c>
      <c r="F26" s="1292">
        <v>15</v>
      </c>
      <c r="G26" s="1291">
        <v>30</v>
      </c>
      <c r="H26" s="1291">
        <v>10</v>
      </c>
      <c r="I26" s="1291">
        <v>20</v>
      </c>
      <c r="J26" s="1291">
        <v>35</v>
      </c>
      <c r="K26" s="1291">
        <v>2</v>
      </c>
      <c r="L26" s="2220" t="str">
        <f t="shared" si="2"/>
        <v>Habilidad De Ataque Completa+50</v>
      </c>
      <c r="M26" s="242"/>
      <c r="N26" s="5884"/>
      <c r="O26" s="87" t="s">
        <v>9320</v>
      </c>
      <c r="P26" s="87"/>
      <c r="Q26" s="81"/>
      <c r="R26" s="81"/>
      <c r="S26" s="89"/>
      <c r="T26" s="87"/>
      <c r="U26" s="87" t="s">
        <v>7172</v>
      </c>
      <c r="V26" s="87" t="s">
        <v>7172</v>
      </c>
      <c r="W26" s="87" t="s">
        <v>7172</v>
      </c>
      <c r="X26" s="2218" t="b">
        <f t="shared" si="1"/>
        <v>0</v>
      </c>
      <c r="Z26" s="2221" t="s">
        <v>1615</v>
      </c>
      <c r="AA26" s="2221" t="b">
        <f>ISNUMBER(FIND("Empatía Elemental ("&amp;Z26&amp;")",Principal!$AF$30))</f>
        <v>0</v>
      </c>
    </row>
    <row r="27" spans="1:27" ht="12" customHeight="1" x14ac:dyDescent="0.2">
      <c r="A27" s="5889"/>
      <c r="B27" s="5887"/>
      <c r="C27" s="45" t="s">
        <v>9145</v>
      </c>
      <c r="D27" s="87" t="s">
        <v>9125</v>
      </c>
      <c r="E27" s="1291">
        <v>18</v>
      </c>
      <c r="F27" s="1292">
        <v>22</v>
      </c>
      <c r="G27" s="1291">
        <v>50</v>
      </c>
      <c r="H27" s="1291">
        <v>14</v>
      </c>
      <c r="I27" s="1291">
        <v>28</v>
      </c>
      <c r="J27" s="1291">
        <v>49</v>
      </c>
      <c r="K27" s="1291">
        <v>2</v>
      </c>
      <c r="L27" s="2220" t="str">
        <f t="shared" si="2"/>
        <v>Habilidad De Ataque Completa+75</v>
      </c>
      <c r="M27" s="242"/>
      <c r="N27" s="5884"/>
      <c r="O27" s="87" t="s">
        <v>9150</v>
      </c>
      <c r="P27" s="87" t="str">
        <f t="shared" si="0"/>
        <v>'Tablas Técnicas'!$D$151:$D$166</v>
      </c>
      <c r="Q27" s="81" t="s">
        <v>2906</v>
      </c>
      <c r="R27" s="81" t="s">
        <v>1240</v>
      </c>
      <c r="S27" s="89" t="s">
        <v>9151</v>
      </c>
      <c r="T27" s="87" t="s">
        <v>1619</v>
      </c>
      <c r="U27" s="87" t="s">
        <v>1713</v>
      </c>
      <c r="V27" s="87" t="s">
        <v>7172</v>
      </c>
      <c r="W27" s="87" t="s">
        <v>9628</v>
      </c>
      <c r="X27" s="2218" t="b">
        <f t="shared" si="1"/>
        <v>0</v>
      </c>
      <c r="Z27" s="2221" t="s">
        <v>1619</v>
      </c>
      <c r="AA27" s="2221" t="b">
        <f>ISNUMBER(FIND("Empatía Elemental ("&amp;Z27&amp;")",Principal!$AF$30))</f>
        <v>0</v>
      </c>
    </row>
    <row r="28" spans="1:27" ht="12" customHeight="1" x14ac:dyDescent="0.2">
      <c r="A28" s="5889"/>
      <c r="B28" s="5887"/>
      <c r="C28" s="45" t="s">
        <v>9145</v>
      </c>
      <c r="D28" s="87" t="s">
        <v>9129</v>
      </c>
      <c r="E28" s="1291">
        <v>24</v>
      </c>
      <c r="F28" s="1292">
        <v>29</v>
      </c>
      <c r="G28" s="1291">
        <v>60</v>
      </c>
      <c r="H28" s="1291">
        <v>18</v>
      </c>
      <c r="I28" s="1291">
        <v>36</v>
      </c>
      <c r="J28" s="1291">
        <v>63</v>
      </c>
      <c r="K28" s="1291">
        <v>3</v>
      </c>
      <c r="L28" s="2220" t="str">
        <f t="shared" si="2"/>
        <v>Habilidad De Ataque Completa+90</v>
      </c>
      <c r="M28" s="242"/>
      <c r="N28" s="5884"/>
      <c r="O28" s="87" t="s">
        <v>9152</v>
      </c>
      <c r="P28" s="87" t="str">
        <f t="shared" si="0"/>
        <v>'Tablas Técnicas'!$D$168:$D$174</v>
      </c>
      <c r="Q28" s="81" t="s">
        <v>2909</v>
      </c>
      <c r="R28" s="81" t="s">
        <v>1240</v>
      </c>
      <c r="S28" s="89" t="s">
        <v>9153</v>
      </c>
      <c r="T28" s="87" t="s">
        <v>1619</v>
      </c>
      <c r="U28" s="87" t="s">
        <v>1713</v>
      </c>
      <c r="V28" s="87" t="s">
        <v>7172</v>
      </c>
      <c r="W28" s="87" t="s">
        <v>9628</v>
      </c>
      <c r="X28" s="2218" t="b">
        <f t="shared" si="1"/>
        <v>0</v>
      </c>
      <c r="Z28" s="2221" t="s">
        <v>1713</v>
      </c>
      <c r="AA28" s="2221" t="b">
        <f>ISNUMBER(FIND("Empatía Elemental ("&amp;Z28&amp;")",Principal!$AF$30))</f>
        <v>0</v>
      </c>
    </row>
    <row r="29" spans="1:27" ht="12" customHeight="1" x14ac:dyDescent="0.2">
      <c r="A29" s="5889"/>
      <c r="B29" s="5887"/>
      <c r="C29" s="45" t="s">
        <v>9145</v>
      </c>
      <c r="D29" s="87" t="s">
        <v>9132</v>
      </c>
      <c r="E29" s="1291">
        <v>28</v>
      </c>
      <c r="F29" s="1292">
        <v>32</v>
      </c>
      <c r="G29" s="1291">
        <v>70</v>
      </c>
      <c r="H29" s="1291">
        <v>20</v>
      </c>
      <c r="I29" s="1291">
        <v>40</v>
      </c>
      <c r="J29" s="1291">
        <v>70</v>
      </c>
      <c r="K29" s="1291">
        <v>3</v>
      </c>
      <c r="L29" s="2220" t="str">
        <f t="shared" si="2"/>
        <v>Habilidad De Ataque Completa+100</v>
      </c>
      <c r="M29" s="242"/>
      <c r="N29" s="5884"/>
      <c r="O29" s="87" t="s">
        <v>9154</v>
      </c>
      <c r="P29" s="87" t="str">
        <f t="shared" si="0"/>
        <v>'Tablas Técnicas'!$D$176:$D$178</v>
      </c>
      <c r="Q29" s="81" t="s">
        <v>2906</v>
      </c>
      <c r="R29" s="81" t="s">
        <v>1240</v>
      </c>
      <c r="S29" s="89" t="s">
        <v>9155</v>
      </c>
      <c r="T29" s="87" t="s">
        <v>1619</v>
      </c>
      <c r="U29" s="87" t="s">
        <v>1713</v>
      </c>
      <c r="V29" s="87" t="s">
        <v>7172</v>
      </c>
      <c r="W29" s="87" t="s">
        <v>9628</v>
      </c>
      <c r="X29" s="2218" t="b">
        <f t="shared" si="1"/>
        <v>0</v>
      </c>
      <c r="Z29" s="2221" t="s">
        <v>1708</v>
      </c>
      <c r="AA29" s="2221" t="b">
        <f>ISNUMBER(FIND("Empatía Elemental ("&amp;Z29&amp;")",Principal!$AF$30))</f>
        <v>0</v>
      </c>
    </row>
    <row r="30" spans="1:27" ht="12" customHeight="1" thickBot="1" x14ac:dyDescent="0.25">
      <c r="A30" s="5889"/>
      <c r="B30" s="5887"/>
      <c r="C30" s="45" t="s">
        <v>9158</v>
      </c>
      <c r="D30" s="87"/>
      <c r="E30" s="1291"/>
      <c r="F30" s="1292"/>
      <c r="G30" s="1291"/>
      <c r="H30" s="1291"/>
      <c r="I30" s="1291"/>
      <c r="J30" s="1291"/>
      <c r="K30" s="1291"/>
      <c r="L30" s="2220" t="str">
        <f t="shared" si="2"/>
        <v>&gt; ATAQUE PREDETERMINADO</v>
      </c>
      <c r="M30" s="242"/>
      <c r="N30" s="5884"/>
      <c r="O30" s="87" t="s">
        <v>9156</v>
      </c>
      <c r="P30" s="87" t="str">
        <f t="shared" si="0"/>
        <v>'Tablas Técnicas'!$D$180:$D$182</v>
      </c>
      <c r="Q30" s="81" t="s">
        <v>2909</v>
      </c>
      <c r="R30" s="81" t="s">
        <v>1240</v>
      </c>
      <c r="S30" s="89" t="s">
        <v>9155</v>
      </c>
      <c r="T30" s="87" t="s">
        <v>1619</v>
      </c>
      <c r="U30" s="87" t="s">
        <v>1713</v>
      </c>
      <c r="V30" s="87" t="s">
        <v>7172</v>
      </c>
      <c r="W30" s="87" t="s">
        <v>9628</v>
      </c>
      <c r="X30" s="2218" t="b">
        <f t="shared" si="1"/>
        <v>0</v>
      </c>
      <c r="Z30" s="2222" t="s">
        <v>1709</v>
      </c>
      <c r="AA30" s="2222" t="b">
        <f>ISNUMBER(FIND("Empatía Elemental ("&amp;Z30&amp;")",Principal!$AF$30))</f>
        <v>0</v>
      </c>
    </row>
    <row r="31" spans="1:27" ht="12" customHeight="1" x14ac:dyDescent="0.2">
      <c r="A31" s="5889"/>
      <c r="B31" s="5887"/>
      <c r="C31" s="45" t="s">
        <v>9115</v>
      </c>
      <c r="D31" s="87" t="s">
        <v>9160</v>
      </c>
      <c r="E31" s="1291">
        <v>2</v>
      </c>
      <c r="F31" s="1292">
        <v>4</v>
      </c>
      <c r="G31" s="1291">
        <v>5</v>
      </c>
      <c r="H31" s="1291">
        <v>1</v>
      </c>
      <c r="I31" s="1291">
        <v>2</v>
      </c>
      <c r="J31" s="1291">
        <v>4</v>
      </c>
      <c r="K31" s="1291">
        <v>1</v>
      </c>
      <c r="L31" s="2220" t="str">
        <f t="shared" si="2"/>
        <v>Ataque PredeterminadoMedia (80)</v>
      </c>
      <c r="M31" s="242"/>
      <c r="N31" s="5884"/>
      <c r="O31" s="87" t="s">
        <v>9157</v>
      </c>
      <c r="P31" s="87" t="str">
        <f t="shared" si="0"/>
        <v>'Tablas Técnicas'!$D$184:$D$190</v>
      </c>
      <c r="Q31" s="81" t="s">
        <v>2906</v>
      </c>
      <c r="R31" s="81" t="s">
        <v>1240</v>
      </c>
      <c r="S31" s="89" t="s">
        <v>9153</v>
      </c>
      <c r="T31" s="87" t="s">
        <v>1619</v>
      </c>
      <c r="U31" s="87" t="s">
        <v>1713</v>
      </c>
      <c r="V31" s="87" t="s">
        <v>7172</v>
      </c>
      <c r="W31" s="87" t="s">
        <v>9628</v>
      </c>
      <c r="X31" s="2218" t="b">
        <f t="shared" si="1"/>
        <v>0</v>
      </c>
      <c r="Z31" s="242"/>
    </row>
    <row r="32" spans="1:27" ht="12" customHeight="1" x14ac:dyDescent="0.2">
      <c r="A32" s="5889"/>
      <c r="B32" s="5887"/>
      <c r="C32" s="45" t="s">
        <v>9115</v>
      </c>
      <c r="D32" s="87" t="s">
        <v>9161</v>
      </c>
      <c r="E32" s="1291">
        <v>4</v>
      </c>
      <c r="F32" s="1292">
        <v>6</v>
      </c>
      <c r="G32" s="1291">
        <v>5</v>
      </c>
      <c r="H32" s="1291">
        <v>2</v>
      </c>
      <c r="I32" s="1291">
        <v>4</v>
      </c>
      <c r="J32" s="1291">
        <v>7</v>
      </c>
      <c r="K32" s="1291">
        <v>1</v>
      </c>
      <c r="L32" s="2220" t="str">
        <f t="shared" si="2"/>
        <v>Ataque PredeterminadoDifícil (120)</v>
      </c>
      <c r="M32" s="242"/>
      <c r="N32" s="5884"/>
      <c r="O32" s="87" t="s">
        <v>9159</v>
      </c>
      <c r="P32" s="87" t="str">
        <f t="shared" si="0"/>
        <v>'Tablas Técnicas'!$D$192:$D$197</v>
      </c>
      <c r="Q32" s="81" t="s">
        <v>2909</v>
      </c>
      <c r="R32" s="81" t="s">
        <v>1240</v>
      </c>
      <c r="S32" s="89" t="s">
        <v>9153</v>
      </c>
      <c r="T32" s="87" t="s">
        <v>1619</v>
      </c>
      <c r="U32" s="87" t="s">
        <v>1713</v>
      </c>
      <c r="V32" s="87" t="s">
        <v>7172</v>
      </c>
      <c r="W32" s="87" t="s">
        <v>9628</v>
      </c>
      <c r="X32" s="2218" t="b">
        <f t="shared" si="1"/>
        <v>0</v>
      </c>
      <c r="Z32" s="242"/>
    </row>
    <row r="33" spans="1:26" ht="12" customHeight="1" x14ac:dyDescent="0.2">
      <c r="A33" s="5889"/>
      <c r="B33" s="5887"/>
      <c r="C33" s="45" t="s">
        <v>9115</v>
      </c>
      <c r="D33" s="87" t="s">
        <v>9164</v>
      </c>
      <c r="E33" s="1291">
        <v>6</v>
      </c>
      <c r="F33" s="1292">
        <v>9</v>
      </c>
      <c r="G33" s="1291">
        <v>5</v>
      </c>
      <c r="H33" s="1291">
        <v>3</v>
      </c>
      <c r="I33" s="1291">
        <v>6</v>
      </c>
      <c r="J33" s="1291">
        <v>11</v>
      </c>
      <c r="K33" s="1291">
        <v>1</v>
      </c>
      <c r="L33" s="2220" t="str">
        <f t="shared" si="2"/>
        <v>Ataque PredeterminadoMuy Difícil (140)</v>
      </c>
      <c r="M33" s="242"/>
      <c r="N33" s="5884"/>
      <c r="O33" s="87" t="s">
        <v>2933</v>
      </c>
      <c r="P33" s="87"/>
      <c r="Q33" s="81"/>
      <c r="R33" s="81"/>
      <c r="S33" s="89"/>
      <c r="T33" s="87" t="s">
        <v>2843</v>
      </c>
      <c r="U33" s="87" t="s">
        <v>7172</v>
      </c>
      <c r="V33" s="87" t="s">
        <v>7172</v>
      </c>
      <c r="W33" s="87" t="s">
        <v>2843</v>
      </c>
      <c r="X33" s="2218" t="b">
        <f t="shared" si="1"/>
        <v>0</v>
      </c>
      <c r="Z33" s="242"/>
    </row>
    <row r="34" spans="1:26" ht="12" customHeight="1" x14ac:dyDescent="0.2">
      <c r="A34" s="5889"/>
      <c r="B34" s="5887"/>
      <c r="C34" s="45" t="s">
        <v>9115</v>
      </c>
      <c r="D34" s="87" t="s">
        <v>9166</v>
      </c>
      <c r="E34" s="1291">
        <v>8</v>
      </c>
      <c r="F34" s="1292">
        <v>11</v>
      </c>
      <c r="G34" s="1291">
        <v>10</v>
      </c>
      <c r="H34" s="1291">
        <v>4</v>
      </c>
      <c r="I34" s="1291">
        <v>8</v>
      </c>
      <c r="J34" s="1291">
        <v>14</v>
      </c>
      <c r="K34" s="1291">
        <v>1</v>
      </c>
      <c r="L34" s="2220" t="str">
        <f t="shared" si="2"/>
        <v>Ataque PredeterminadoAbsurdo (180)</v>
      </c>
      <c r="M34" s="242"/>
      <c r="N34" s="5884"/>
      <c r="O34" s="87" t="s">
        <v>9162</v>
      </c>
      <c r="P34" s="87" t="str">
        <f t="shared" si="0"/>
        <v>'Tablas Técnicas'!$D$200:$D$208</v>
      </c>
      <c r="Q34" s="81" t="s">
        <v>2906</v>
      </c>
      <c r="R34" s="81" t="s">
        <v>1240</v>
      </c>
      <c r="S34" s="89" t="s">
        <v>9163</v>
      </c>
      <c r="T34" s="87" t="s">
        <v>1615</v>
      </c>
      <c r="U34" s="87" t="s">
        <v>1612</v>
      </c>
      <c r="V34" s="87" t="s">
        <v>7172</v>
      </c>
      <c r="W34" s="87" t="s">
        <v>9933</v>
      </c>
      <c r="X34" s="2218" t="b">
        <f t="shared" si="1"/>
        <v>0</v>
      </c>
      <c r="Z34" s="242"/>
    </row>
    <row r="35" spans="1:26" ht="12" customHeight="1" x14ac:dyDescent="0.2">
      <c r="A35" s="5889"/>
      <c r="B35" s="5887"/>
      <c r="C35" s="45" t="s">
        <v>9115</v>
      </c>
      <c r="D35" s="87" t="s">
        <v>9169</v>
      </c>
      <c r="E35" s="1291">
        <v>12</v>
      </c>
      <c r="F35" s="1292">
        <v>15</v>
      </c>
      <c r="G35" s="1291">
        <v>15</v>
      </c>
      <c r="H35" s="1291">
        <v>6</v>
      </c>
      <c r="I35" s="1291">
        <v>12</v>
      </c>
      <c r="J35" s="1291">
        <v>21</v>
      </c>
      <c r="K35" s="1291">
        <v>1</v>
      </c>
      <c r="L35" s="2220" t="str">
        <f t="shared" si="2"/>
        <v>Ataque PredeterminadoCasi Imposible (240)</v>
      </c>
      <c r="M35" s="242"/>
      <c r="N35" s="5884"/>
      <c r="O35" s="87" t="s">
        <v>9165</v>
      </c>
      <c r="P35" s="87" t="str">
        <f t="shared" si="0"/>
        <v>'Tablas Técnicas'!$D$210:$D$218</v>
      </c>
      <c r="Q35" s="81" t="s">
        <v>2906</v>
      </c>
      <c r="R35" s="81" t="s">
        <v>1240</v>
      </c>
      <c r="S35" s="89" t="s">
        <v>9163</v>
      </c>
      <c r="T35" s="87" t="s">
        <v>1615</v>
      </c>
      <c r="U35" s="87" t="s">
        <v>1612</v>
      </c>
      <c r="V35" s="87" t="s">
        <v>1709</v>
      </c>
      <c r="W35" s="87" t="s">
        <v>9128</v>
      </c>
      <c r="X35" s="2218" t="b">
        <f t="shared" si="1"/>
        <v>0</v>
      </c>
      <c r="Z35" s="242"/>
    </row>
    <row r="36" spans="1:26" ht="12" customHeight="1" x14ac:dyDescent="0.2">
      <c r="A36" s="5889"/>
      <c r="B36" s="5887"/>
      <c r="C36" s="45" t="s">
        <v>9115</v>
      </c>
      <c r="D36" s="87" t="s">
        <v>9172</v>
      </c>
      <c r="E36" s="1291">
        <v>16</v>
      </c>
      <c r="F36" s="1292">
        <v>20</v>
      </c>
      <c r="G36" s="1291">
        <v>25</v>
      </c>
      <c r="H36" s="1291">
        <v>8</v>
      </c>
      <c r="I36" s="1291">
        <v>16</v>
      </c>
      <c r="J36" s="1291">
        <v>28</v>
      </c>
      <c r="K36" s="1291">
        <v>2</v>
      </c>
      <c r="L36" s="2220" t="str">
        <f t="shared" si="2"/>
        <v>Ataque PredeterminadoImposible (280)</v>
      </c>
      <c r="M36" s="242"/>
      <c r="N36" s="5884"/>
      <c r="O36" s="87" t="s">
        <v>9167</v>
      </c>
      <c r="P36" s="87" t="str">
        <f t="shared" si="0"/>
        <v>'Tablas Técnicas'!$D$220:$D$228</v>
      </c>
      <c r="Q36" s="81" t="s">
        <v>2906</v>
      </c>
      <c r="R36" s="81" t="s">
        <v>1574</v>
      </c>
      <c r="S36" s="89" t="s">
        <v>9168</v>
      </c>
      <c r="T36" s="87" t="s">
        <v>1708</v>
      </c>
      <c r="U36" s="87" t="s">
        <v>7172</v>
      </c>
      <c r="V36" s="87" t="s">
        <v>7172</v>
      </c>
      <c r="W36" s="87" t="s">
        <v>1708</v>
      </c>
      <c r="X36" s="2218" t="b">
        <f t="shared" si="1"/>
        <v>0</v>
      </c>
      <c r="Z36" s="242"/>
    </row>
    <row r="37" spans="1:26" ht="12" customHeight="1" x14ac:dyDescent="0.2">
      <c r="A37" s="5889"/>
      <c r="B37" s="5887"/>
      <c r="C37" s="45" t="s">
        <v>9115</v>
      </c>
      <c r="D37" s="87" t="s">
        <v>9173</v>
      </c>
      <c r="E37" s="1291">
        <v>20</v>
      </c>
      <c r="F37" s="1292">
        <v>24</v>
      </c>
      <c r="G37" s="1291">
        <v>35</v>
      </c>
      <c r="H37" s="1291">
        <v>10</v>
      </c>
      <c r="I37" s="1291">
        <v>20</v>
      </c>
      <c r="J37" s="1291">
        <v>35</v>
      </c>
      <c r="K37" s="1291">
        <v>2</v>
      </c>
      <c r="L37" s="2220" t="str">
        <f t="shared" si="2"/>
        <v>Ataque PredeterminadoInhumano (320)</v>
      </c>
      <c r="M37" s="242"/>
      <c r="N37" s="5884"/>
      <c r="O37" s="87" t="s">
        <v>9170</v>
      </c>
      <c r="P37" s="87" t="str">
        <f t="shared" si="0"/>
        <v>'Tablas Técnicas'!$D$230:$D$238</v>
      </c>
      <c r="Q37" s="81" t="s">
        <v>2909</v>
      </c>
      <c r="R37" s="81" t="s">
        <v>3221</v>
      </c>
      <c r="S37" s="89" t="s">
        <v>9171</v>
      </c>
      <c r="T37" s="87" t="s">
        <v>1612</v>
      </c>
      <c r="U37" s="87" t="s">
        <v>7172</v>
      </c>
      <c r="V37" s="87" t="s">
        <v>7172</v>
      </c>
      <c r="W37" s="87" t="s">
        <v>1612</v>
      </c>
      <c r="X37" s="2218" t="b">
        <f t="shared" si="1"/>
        <v>0</v>
      </c>
      <c r="Z37" s="242"/>
    </row>
    <row r="38" spans="1:26" ht="12" customHeight="1" x14ac:dyDescent="0.2">
      <c r="A38" s="5889"/>
      <c r="B38" s="5887"/>
      <c r="C38" s="45" t="s">
        <v>9115</v>
      </c>
      <c r="D38" s="87" t="s">
        <v>9175</v>
      </c>
      <c r="E38" s="1291">
        <v>26</v>
      </c>
      <c r="F38" s="1292">
        <v>32</v>
      </c>
      <c r="G38" s="1291">
        <v>45</v>
      </c>
      <c r="H38" s="1291">
        <v>12</v>
      </c>
      <c r="I38" s="1291">
        <v>24</v>
      </c>
      <c r="J38" s="1291">
        <v>42</v>
      </c>
      <c r="K38" s="1291">
        <v>3</v>
      </c>
      <c r="L38" s="2220" t="str">
        <f t="shared" si="2"/>
        <v>Ataque PredeterminadoZen (440)</v>
      </c>
      <c r="M38" s="242"/>
      <c r="N38" s="5884"/>
      <c r="O38" s="87" t="s">
        <v>2943</v>
      </c>
      <c r="P38" s="87"/>
      <c r="Q38" s="81"/>
      <c r="R38" s="81"/>
      <c r="S38" s="89"/>
      <c r="T38" s="87" t="s">
        <v>7172</v>
      </c>
      <c r="U38" s="87" t="s">
        <v>7172</v>
      </c>
      <c r="V38" s="87" t="s">
        <v>7172</v>
      </c>
      <c r="W38" s="87" t="s">
        <v>7172</v>
      </c>
      <c r="X38" s="2218" t="b">
        <f t="shared" si="1"/>
        <v>0</v>
      </c>
      <c r="Z38" s="242"/>
    </row>
    <row r="39" spans="1:26" ht="12" customHeight="1" x14ac:dyDescent="0.2">
      <c r="A39" s="5889"/>
      <c r="B39" s="5887"/>
      <c r="C39" s="45" t="s">
        <v>9178</v>
      </c>
      <c r="D39" s="87"/>
      <c r="E39" s="1291"/>
      <c r="F39" s="1292"/>
      <c r="G39" s="1291"/>
      <c r="H39" s="1291"/>
      <c r="I39" s="1291"/>
      <c r="J39" s="1291"/>
      <c r="K39" s="1291"/>
      <c r="L39" s="2220" t="str">
        <f t="shared" si="2"/>
        <v>&gt; HABILIDAD DE CONTRAATAQUE</v>
      </c>
      <c r="M39" s="242"/>
      <c r="N39" s="5884"/>
      <c r="O39" s="87" t="s">
        <v>9174</v>
      </c>
      <c r="P39" s="87" t="str">
        <f t="shared" si="0"/>
        <v>'Tablas Técnicas'!$D$241:$D$248</v>
      </c>
      <c r="Q39" s="81" t="s">
        <v>2909</v>
      </c>
      <c r="R39" s="81" t="s">
        <v>3221</v>
      </c>
      <c r="S39" s="89" t="s">
        <v>9168</v>
      </c>
      <c r="T39" s="87" t="s">
        <v>1612</v>
      </c>
      <c r="U39" s="87" t="s">
        <v>7172</v>
      </c>
      <c r="V39" s="87" t="s">
        <v>7172</v>
      </c>
      <c r="W39" s="87" t="s">
        <v>1612</v>
      </c>
      <c r="X39" s="2218" t="b">
        <f t="shared" si="1"/>
        <v>0</v>
      </c>
      <c r="Z39" s="242"/>
    </row>
    <row r="40" spans="1:26" ht="12" customHeight="1" x14ac:dyDescent="0.2">
      <c r="A40" s="5889"/>
      <c r="B40" s="5887"/>
      <c r="C40" s="45" t="s">
        <v>9181</v>
      </c>
      <c r="D40" s="87" t="s">
        <v>7748</v>
      </c>
      <c r="E40" s="1291">
        <v>1</v>
      </c>
      <c r="F40" s="1292">
        <v>2</v>
      </c>
      <c r="G40" s="1291">
        <v>5</v>
      </c>
      <c r="H40" s="1291">
        <v>1</v>
      </c>
      <c r="I40" s="1291">
        <v>2</v>
      </c>
      <c r="J40" s="1291">
        <v>4</v>
      </c>
      <c r="K40" s="1291">
        <v>1</v>
      </c>
      <c r="L40" s="2220" t="str">
        <f t="shared" si="2"/>
        <v>Habilidad De Contraataque+10</v>
      </c>
      <c r="M40" s="242"/>
      <c r="N40" s="5884"/>
      <c r="O40" s="87" t="s">
        <v>3222</v>
      </c>
      <c r="P40" s="87" t="str">
        <f t="shared" si="0"/>
        <v>'Tablas Técnicas'!$D$250:$D$250</v>
      </c>
      <c r="Q40" s="81" t="s">
        <v>2906</v>
      </c>
      <c r="R40" s="81" t="s">
        <v>3221</v>
      </c>
      <c r="S40" s="89" t="s">
        <v>9176</v>
      </c>
      <c r="T40" s="87" t="s">
        <v>1612</v>
      </c>
      <c r="U40" s="87" t="s">
        <v>1708</v>
      </c>
      <c r="V40" s="87" t="s">
        <v>1615</v>
      </c>
      <c r="W40" s="87" t="s">
        <v>9177</v>
      </c>
      <c r="X40" s="2218" t="b">
        <f t="shared" si="1"/>
        <v>0</v>
      </c>
      <c r="Z40" s="242"/>
    </row>
    <row r="41" spans="1:26" ht="12" customHeight="1" x14ac:dyDescent="0.2">
      <c r="A41" s="5889"/>
      <c r="B41" s="5887"/>
      <c r="C41" s="45" t="s">
        <v>9181</v>
      </c>
      <c r="D41" s="87" t="s">
        <v>7892</v>
      </c>
      <c r="E41" s="1291">
        <v>2</v>
      </c>
      <c r="F41" s="1292">
        <v>4</v>
      </c>
      <c r="G41" s="1291">
        <v>5</v>
      </c>
      <c r="H41" s="1291">
        <v>2</v>
      </c>
      <c r="I41" s="1291">
        <v>4</v>
      </c>
      <c r="J41" s="1291">
        <v>7</v>
      </c>
      <c r="K41" s="1291">
        <v>1</v>
      </c>
      <c r="L41" s="2220" t="str">
        <f t="shared" si="2"/>
        <v>Habilidad De Contraataque+25</v>
      </c>
      <c r="M41" s="242"/>
      <c r="N41" s="5884"/>
      <c r="O41" s="87" t="s">
        <v>2950</v>
      </c>
      <c r="P41" s="87" t="str">
        <f t="shared" ref="P41:P72" si="3">IF(ISNUMBER(FIND("&gt;&gt;",O41)),"","'Tablas Técnicas'!"&amp;ADDRESS(ROW($D$9)+MATCH(O41,$C$10:$C$643,0),COLUMN($D$9))&amp;":"&amp;ADDRESS(ROW($D$9)+MATCH(O41,$C$10:$C$643,0)+COUNTIF($C$10:$C$643,O41)-1,COLUMN($D$9)))</f>
        <v>'Tablas Técnicas'!$D$252:$D$253</v>
      </c>
      <c r="Q41" s="81" t="s">
        <v>2909</v>
      </c>
      <c r="R41" s="81" t="s">
        <v>3221</v>
      </c>
      <c r="S41" s="89" t="s">
        <v>9179</v>
      </c>
      <c r="T41" s="87" t="s">
        <v>1612</v>
      </c>
      <c r="U41" s="87" t="s">
        <v>1619</v>
      </c>
      <c r="V41" s="87" t="s">
        <v>1708</v>
      </c>
      <c r="W41" s="87" t="s">
        <v>9180</v>
      </c>
      <c r="X41" s="2218" t="b">
        <f t="shared" si="1"/>
        <v>0</v>
      </c>
      <c r="Z41" s="242"/>
    </row>
    <row r="42" spans="1:26" ht="12" customHeight="1" x14ac:dyDescent="0.2">
      <c r="A42" s="5889"/>
      <c r="B42" s="5887"/>
      <c r="C42" s="45" t="s">
        <v>9181</v>
      </c>
      <c r="D42" s="87" t="s">
        <v>7750</v>
      </c>
      <c r="E42" s="1291">
        <v>3</v>
      </c>
      <c r="F42" s="1292">
        <v>5</v>
      </c>
      <c r="G42" s="1291">
        <v>10</v>
      </c>
      <c r="H42" s="1291">
        <v>3</v>
      </c>
      <c r="I42" s="1291">
        <v>6</v>
      </c>
      <c r="J42" s="1291">
        <v>11</v>
      </c>
      <c r="K42" s="1291">
        <v>1</v>
      </c>
      <c r="L42" s="2220" t="str">
        <f t="shared" si="2"/>
        <v>Habilidad De Contraataque+40</v>
      </c>
      <c r="M42" s="242"/>
      <c r="N42" s="5884"/>
      <c r="O42" s="87" t="s">
        <v>2953</v>
      </c>
      <c r="P42" s="87"/>
      <c r="Q42" s="81"/>
      <c r="R42" s="81"/>
      <c r="S42" s="89"/>
      <c r="T42" s="87" t="s">
        <v>7172</v>
      </c>
      <c r="U42" s="87" t="s">
        <v>7172</v>
      </c>
      <c r="V42" s="87" t="s">
        <v>7172</v>
      </c>
      <c r="W42" s="87" t="s">
        <v>7172</v>
      </c>
      <c r="X42" s="2218" t="b">
        <f t="shared" ref="X42:X73" si="4">IFERROR(IF(VLOOKUP(T42,$Z$25:$AA$30,2,0),TRUE,IF(VLOOKUP(U42,$Z$25:$AA$30,2,0),TRUE,IF(VLOOKUP(V42,$Z$25:$AA$30,2,0),TRUE,FALSE))),FALSE)</f>
        <v>0</v>
      </c>
      <c r="Z42" s="242"/>
    </row>
    <row r="43" spans="1:26" ht="12" customHeight="1" x14ac:dyDescent="0.2">
      <c r="A43" s="5889"/>
      <c r="B43" s="5887"/>
      <c r="C43" s="45" t="s">
        <v>9181</v>
      </c>
      <c r="D43" s="87" t="s">
        <v>7751</v>
      </c>
      <c r="E43" s="1291">
        <v>4</v>
      </c>
      <c r="F43" s="1292">
        <v>6</v>
      </c>
      <c r="G43" s="1291">
        <v>10</v>
      </c>
      <c r="H43" s="1291">
        <v>4</v>
      </c>
      <c r="I43" s="1291">
        <v>8</v>
      </c>
      <c r="J43" s="1291">
        <v>14</v>
      </c>
      <c r="K43" s="1291">
        <v>1</v>
      </c>
      <c r="L43" s="2220" t="str">
        <f t="shared" si="2"/>
        <v>Habilidad De Contraataque+50</v>
      </c>
      <c r="M43" s="242"/>
      <c r="N43" s="5884"/>
      <c r="O43" s="87" t="s">
        <v>9182</v>
      </c>
      <c r="P43" s="87" t="str">
        <f t="shared" si="3"/>
        <v>'Tablas Técnicas'!$D$256:$D$268</v>
      </c>
      <c r="Q43" s="81" t="s">
        <v>2906</v>
      </c>
      <c r="R43" s="81" t="s">
        <v>1240</v>
      </c>
      <c r="S43" s="89" t="s">
        <v>9183</v>
      </c>
      <c r="T43" s="87" t="s">
        <v>1615</v>
      </c>
      <c r="U43" s="87" t="s">
        <v>1612</v>
      </c>
      <c r="V43" s="87" t="s">
        <v>1619</v>
      </c>
      <c r="W43" s="87" t="s">
        <v>9184</v>
      </c>
      <c r="X43" s="2218" t="b">
        <f t="shared" si="4"/>
        <v>0</v>
      </c>
      <c r="Z43" s="242"/>
    </row>
    <row r="44" spans="1:26" ht="12" customHeight="1" x14ac:dyDescent="0.2">
      <c r="A44" s="5889"/>
      <c r="B44" s="5887"/>
      <c r="C44" s="45" t="s">
        <v>9181</v>
      </c>
      <c r="D44" s="87" t="s">
        <v>9125</v>
      </c>
      <c r="E44" s="1291">
        <v>6</v>
      </c>
      <c r="F44" s="1292">
        <v>9</v>
      </c>
      <c r="G44" s="1291">
        <v>15</v>
      </c>
      <c r="H44" s="1291">
        <v>6</v>
      </c>
      <c r="I44" s="1291">
        <v>12</v>
      </c>
      <c r="J44" s="1291">
        <v>21</v>
      </c>
      <c r="K44" s="1291">
        <v>1</v>
      </c>
      <c r="L44" s="2220" t="str">
        <f t="shared" si="2"/>
        <v>Habilidad De Contraataque+75</v>
      </c>
      <c r="M44" s="242"/>
      <c r="N44" s="5884"/>
      <c r="O44" s="87" t="s">
        <v>9185</v>
      </c>
      <c r="P44" s="87" t="str">
        <f t="shared" si="3"/>
        <v>'Tablas Técnicas'!$D$270:$D$277</v>
      </c>
      <c r="Q44" s="81" t="s">
        <v>2909</v>
      </c>
      <c r="R44" s="81" t="s">
        <v>1240</v>
      </c>
      <c r="S44" s="89" t="s">
        <v>9183</v>
      </c>
      <c r="T44" s="87" t="s">
        <v>1615</v>
      </c>
      <c r="U44" s="87" t="s">
        <v>1612</v>
      </c>
      <c r="V44" s="87" t="s">
        <v>1619</v>
      </c>
      <c r="W44" s="87" t="s">
        <v>9184</v>
      </c>
      <c r="X44" s="2218" t="b">
        <f t="shared" si="4"/>
        <v>0</v>
      </c>
      <c r="Z44" s="242"/>
    </row>
    <row r="45" spans="1:26" ht="12" customHeight="1" x14ac:dyDescent="0.2">
      <c r="A45" s="5889"/>
      <c r="B45" s="5887"/>
      <c r="C45" s="45" t="s">
        <v>9181</v>
      </c>
      <c r="D45" s="87" t="s">
        <v>9129</v>
      </c>
      <c r="E45" s="1291">
        <v>9</v>
      </c>
      <c r="F45" s="1292">
        <v>12</v>
      </c>
      <c r="G45" s="1291">
        <v>20</v>
      </c>
      <c r="H45" s="1291">
        <v>8</v>
      </c>
      <c r="I45" s="1291">
        <v>16</v>
      </c>
      <c r="J45" s="1291">
        <v>28</v>
      </c>
      <c r="K45" s="1291">
        <v>1</v>
      </c>
      <c r="L45" s="2220" t="str">
        <f t="shared" si="2"/>
        <v>Habilidad De Contraataque+90</v>
      </c>
      <c r="M45" s="242"/>
      <c r="N45" s="5884"/>
      <c r="O45" s="87" t="s">
        <v>9186</v>
      </c>
      <c r="P45" s="87" t="str">
        <f t="shared" si="3"/>
        <v>'Tablas Técnicas'!$D$279:$D$288</v>
      </c>
      <c r="Q45" s="81" t="s">
        <v>2906</v>
      </c>
      <c r="R45" s="81" t="s">
        <v>1240</v>
      </c>
      <c r="S45" s="89" t="s">
        <v>9187</v>
      </c>
      <c r="T45" s="87" t="s">
        <v>1619</v>
      </c>
      <c r="U45" s="87" t="s">
        <v>1708</v>
      </c>
      <c r="V45" s="87" t="s">
        <v>1709</v>
      </c>
      <c r="W45" s="87" t="s">
        <v>9188</v>
      </c>
      <c r="X45" s="2218" t="b">
        <f t="shared" si="4"/>
        <v>0</v>
      </c>
      <c r="Z45" s="242"/>
    </row>
    <row r="46" spans="1:26" ht="12" customHeight="1" x14ac:dyDescent="0.2">
      <c r="A46" s="5889"/>
      <c r="B46" s="5887"/>
      <c r="C46" s="45" t="s">
        <v>9181</v>
      </c>
      <c r="D46" s="87" t="s">
        <v>9132</v>
      </c>
      <c r="E46" s="1291">
        <v>12</v>
      </c>
      <c r="F46" s="1292">
        <v>15</v>
      </c>
      <c r="G46" s="1291">
        <v>25</v>
      </c>
      <c r="H46" s="1291">
        <v>10</v>
      </c>
      <c r="I46" s="1291">
        <v>20</v>
      </c>
      <c r="J46" s="1291">
        <v>35</v>
      </c>
      <c r="K46" s="1291">
        <v>1</v>
      </c>
      <c r="L46" s="2220" t="str">
        <f t="shared" si="2"/>
        <v>Habilidad De Contraataque+100</v>
      </c>
      <c r="M46" s="242"/>
      <c r="N46" s="5884"/>
      <c r="O46" s="87" t="s">
        <v>9189</v>
      </c>
      <c r="P46" s="87" t="str">
        <f t="shared" si="3"/>
        <v>'Tablas Técnicas'!$D$290:$D$296</v>
      </c>
      <c r="Q46" s="81" t="s">
        <v>2909</v>
      </c>
      <c r="R46" s="81" t="s">
        <v>1240</v>
      </c>
      <c r="S46" s="89" t="s">
        <v>9187</v>
      </c>
      <c r="T46" s="87" t="s">
        <v>1619</v>
      </c>
      <c r="U46" s="87" t="s">
        <v>1708</v>
      </c>
      <c r="V46" s="87" t="s">
        <v>1709</v>
      </c>
      <c r="W46" s="87" t="s">
        <v>9188</v>
      </c>
      <c r="X46" s="2218" t="b">
        <f t="shared" si="4"/>
        <v>0</v>
      </c>
      <c r="Z46" s="242"/>
    </row>
    <row r="47" spans="1:26" ht="12" customHeight="1" x14ac:dyDescent="0.2">
      <c r="A47" s="5889"/>
      <c r="B47" s="5887"/>
      <c r="C47" s="45" t="s">
        <v>9181</v>
      </c>
      <c r="D47" s="87" t="s">
        <v>9133</v>
      </c>
      <c r="E47" s="1291">
        <v>14</v>
      </c>
      <c r="F47" s="1292">
        <v>18</v>
      </c>
      <c r="G47" s="1291">
        <v>30</v>
      </c>
      <c r="H47" s="1291">
        <v>12</v>
      </c>
      <c r="I47" s="1291">
        <v>24</v>
      </c>
      <c r="J47" s="1291">
        <v>42</v>
      </c>
      <c r="K47" s="1291">
        <v>2</v>
      </c>
      <c r="L47" s="2220" t="str">
        <f t="shared" si="2"/>
        <v>Habilidad De Contraataque+125</v>
      </c>
      <c r="M47" s="242"/>
      <c r="N47" s="5884"/>
      <c r="O47" s="87" t="s">
        <v>9190</v>
      </c>
      <c r="P47" s="87" t="str">
        <f t="shared" si="3"/>
        <v>'Tablas Técnicas'!$D$298:$D$305</v>
      </c>
      <c r="Q47" s="81" t="s">
        <v>2906</v>
      </c>
      <c r="R47" s="81" t="s">
        <v>1574</v>
      </c>
      <c r="S47" s="89" t="s">
        <v>9191</v>
      </c>
      <c r="T47" s="87" t="s">
        <v>1708</v>
      </c>
      <c r="U47" s="87" t="s">
        <v>1713</v>
      </c>
      <c r="V47" s="87" t="s">
        <v>1615</v>
      </c>
      <c r="W47" s="87" t="s">
        <v>9192</v>
      </c>
      <c r="X47" s="2218" t="b">
        <f t="shared" si="4"/>
        <v>0</v>
      </c>
      <c r="Z47" s="242"/>
    </row>
    <row r="48" spans="1:26" ht="12" customHeight="1" x14ac:dyDescent="0.2">
      <c r="A48" s="5889"/>
      <c r="B48" s="5887"/>
      <c r="C48" s="45" t="s">
        <v>9181</v>
      </c>
      <c r="D48" s="87" t="s">
        <v>9135</v>
      </c>
      <c r="E48" s="1291">
        <v>18</v>
      </c>
      <c r="F48" s="1292">
        <v>22</v>
      </c>
      <c r="G48" s="1291">
        <v>35</v>
      </c>
      <c r="H48" s="1291">
        <v>14</v>
      </c>
      <c r="I48" s="1291">
        <v>28</v>
      </c>
      <c r="J48" s="1291">
        <v>49</v>
      </c>
      <c r="K48" s="1291">
        <v>2</v>
      </c>
      <c r="L48" s="2220" t="str">
        <f t="shared" si="2"/>
        <v>Habilidad De Contraataque+150</v>
      </c>
      <c r="M48" s="242"/>
      <c r="N48" s="5884"/>
      <c r="O48" s="87" t="s">
        <v>9193</v>
      </c>
      <c r="P48" s="87" t="str">
        <f t="shared" si="3"/>
        <v>'Tablas Técnicas'!$D$307:$D$316</v>
      </c>
      <c r="Q48" s="81" t="s">
        <v>2906</v>
      </c>
      <c r="R48" s="81" t="s">
        <v>3221</v>
      </c>
      <c r="S48" s="89" t="s">
        <v>9194</v>
      </c>
      <c r="T48" s="87" t="s">
        <v>1612</v>
      </c>
      <c r="U48" s="87" t="s">
        <v>1708</v>
      </c>
      <c r="V48" s="87" t="s">
        <v>1709</v>
      </c>
      <c r="W48" s="87" t="s">
        <v>9147</v>
      </c>
      <c r="X48" s="2218" t="b">
        <f t="shared" si="4"/>
        <v>0</v>
      </c>
      <c r="Z48" s="242"/>
    </row>
    <row r="49" spans="1:26" ht="12" customHeight="1" x14ac:dyDescent="0.2">
      <c r="A49" s="5889"/>
      <c r="B49" s="5887"/>
      <c r="C49" s="45" t="s">
        <v>9181</v>
      </c>
      <c r="D49" s="87" t="s">
        <v>9138</v>
      </c>
      <c r="E49" s="1291">
        <v>22</v>
      </c>
      <c r="F49" s="1292">
        <v>26</v>
      </c>
      <c r="G49" s="1291">
        <v>40</v>
      </c>
      <c r="H49" s="1291">
        <v>16</v>
      </c>
      <c r="I49" s="1291">
        <v>32</v>
      </c>
      <c r="J49" s="1291">
        <v>56</v>
      </c>
      <c r="K49" s="1291">
        <v>3</v>
      </c>
      <c r="L49" s="2220" t="str">
        <f t="shared" si="2"/>
        <v>Habilidad De Contraataque+175</v>
      </c>
      <c r="M49" s="242"/>
      <c r="N49" s="5884"/>
      <c r="O49" s="87" t="s">
        <v>2967</v>
      </c>
      <c r="P49" s="87"/>
      <c r="Q49" s="81"/>
      <c r="R49" s="81"/>
      <c r="S49" s="89"/>
      <c r="T49" s="87" t="s">
        <v>7172</v>
      </c>
      <c r="U49" s="87" t="s">
        <v>7172</v>
      </c>
      <c r="V49" s="87" t="s">
        <v>7172</v>
      </c>
      <c r="W49" s="87" t="s">
        <v>7172</v>
      </c>
      <c r="X49" s="2218" t="b">
        <f t="shared" si="4"/>
        <v>0</v>
      </c>
      <c r="Z49" s="242"/>
    </row>
    <row r="50" spans="1:26" ht="12" customHeight="1" x14ac:dyDescent="0.2">
      <c r="A50" s="5889"/>
      <c r="B50" s="5887"/>
      <c r="C50" s="45" t="s">
        <v>9181</v>
      </c>
      <c r="D50" s="87" t="s">
        <v>9140</v>
      </c>
      <c r="E50" s="1291">
        <v>26</v>
      </c>
      <c r="F50" s="1292">
        <v>32</v>
      </c>
      <c r="G50" s="1291">
        <v>45</v>
      </c>
      <c r="H50" s="1291">
        <v>18</v>
      </c>
      <c r="I50" s="1291">
        <v>36</v>
      </c>
      <c r="J50" s="1291">
        <v>63</v>
      </c>
      <c r="K50" s="1291">
        <v>3</v>
      </c>
      <c r="L50" s="2220" t="str">
        <f t="shared" si="2"/>
        <v>Habilidad De Contraataque+200</v>
      </c>
      <c r="M50" s="242"/>
      <c r="N50" s="5884"/>
      <c r="O50" s="87" t="s">
        <v>9195</v>
      </c>
      <c r="P50" s="87" t="str">
        <f t="shared" si="3"/>
        <v>'Tablas Técnicas'!$D$319:$D$326</v>
      </c>
      <c r="Q50" s="81" t="s">
        <v>2909</v>
      </c>
      <c r="R50" s="81" t="s">
        <v>1240</v>
      </c>
      <c r="S50" s="89" t="s">
        <v>9196</v>
      </c>
      <c r="T50" s="87" t="s">
        <v>1619</v>
      </c>
      <c r="U50" s="87" t="s">
        <v>7172</v>
      </c>
      <c r="V50" s="87" t="s">
        <v>7172</v>
      </c>
      <c r="W50" s="87" t="s">
        <v>1619</v>
      </c>
      <c r="X50" s="2218" t="b">
        <f t="shared" si="4"/>
        <v>0</v>
      </c>
      <c r="Z50" s="242"/>
    </row>
    <row r="51" spans="1:26" ht="12" customHeight="1" x14ac:dyDescent="0.2">
      <c r="A51" s="5889"/>
      <c r="B51" s="5887"/>
      <c r="C51" s="45" t="s">
        <v>9202</v>
      </c>
      <c r="D51" s="87"/>
      <c r="E51" s="1291"/>
      <c r="F51" s="1292"/>
      <c r="G51" s="1291"/>
      <c r="H51" s="1291"/>
      <c r="I51" s="1291"/>
      <c r="J51" s="1291"/>
      <c r="K51" s="1291"/>
      <c r="L51" s="2220" t="str">
        <f t="shared" si="2"/>
        <v>&gt; MANIOBRAS DE COMBATE Y APUNTAR</v>
      </c>
      <c r="M51" s="242"/>
      <c r="N51" s="5884"/>
      <c r="O51" s="87" t="s">
        <v>9197</v>
      </c>
      <c r="P51" s="87" t="str">
        <f t="shared" si="3"/>
        <v>'Tablas Técnicas'!$D$328:$D$334</v>
      </c>
      <c r="Q51" s="81" t="s">
        <v>2909</v>
      </c>
      <c r="R51" s="81" t="s">
        <v>1574</v>
      </c>
      <c r="S51" s="89" t="s">
        <v>9198</v>
      </c>
      <c r="T51" s="87" t="s">
        <v>1619</v>
      </c>
      <c r="U51" s="87" t="s">
        <v>1708</v>
      </c>
      <c r="V51" s="87" t="s">
        <v>1713</v>
      </c>
      <c r="W51" s="87" t="s">
        <v>9199</v>
      </c>
      <c r="X51" s="2218" t="b">
        <f t="shared" si="4"/>
        <v>0</v>
      </c>
      <c r="Z51" s="242"/>
    </row>
    <row r="52" spans="1:26" ht="12" customHeight="1" x14ac:dyDescent="0.2">
      <c r="A52" s="5889"/>
      <c r="B52" s="5887"/>
      <c r="C52" s="45" t="s">
        <v>9204</v>
      </c>
      <c r="D52" s="87" t="s">
        <v>9205</v>
      </c>
      <c r="E52" s="1291">
        <v>1</v>
      </c>
      <c r="F52" s="1292">
        <v>2</v>
      </c>
      <c r="G52" s="1291">
        <v>5</v>
      </c>
      <c r="H52" s="1291">
        <v>1</v>
      </c>
      <c r="I52" s="1291">
        <v>2</v>
      </c>
      <c r="J52" s="1291">
        <v>4</v>
      </c>
      <c r="K52" s="1291">
        <v>1</v>
      </c>
      <c r="L52" s="2220" t="str">
        <f t="shared" si="2"/>
        <v>Maniobras De Combate Y Apuntar-10</v>
      </c>
      <c r="M52" s="242"/>
      <c r="N52" s="5884"/>
      <c r="O52" s="87" t="s">
        <v>9200</v>
      </c>
      <c r="P52" s="87" t="str">
        <f t="shared" si="3"/>
        <v>'Tablas Técnicas'!$D$336:$D$344</v>
      </c>
      <c r="Q52" s="81" t="s">
        <v>2906</v>
      </c>
      <c r="R52" s="81" t="s">
        <v>1240</v>
      </c>
      <c r="S52" s="89" t="s">
        <v>9201</v>
      </c>
      <c r="T52" s="87" t="s">
        <v>1619</v>
      </c>
      <c r="U52" s="87" t="s">
        <v>1709</v>
      </c>
      <c r="V52" s="87" t="s">
        <v>7172</v>
      </c>
      <c r="W52" s="87" t="s">
        <v>9610</v>
      </c>
      <c r="X52" s="2218" t="b">
        <f t="shared" si="4"/>
        <v>0</v>
      </c>
      <c r="Z52" s="242"/>
    </row>
    <row r="53" spans="1:26" ht="12" customHeight="1" x14ac:dyDescent="0.2">
      <c r="A53" s="5889"/>
      <c r="B53" s="5887"/>
      <c r="C53" s="45" t="s">
        <v>9204</v>
      </c>
      <c r="D53" s="87" t="s">
        <v>9206</v>
      </c>
      <c r="E53" s="1291">
        <v>2</v>
      </c>
      <c r="F53" s="1292">
        <v>4</v>
      </c>
      <c r="G53" s="1291">
        <v>5</v>
      </c>
      <c r="H53" s="1291">
        <v>1</v>
      </c>
      <c r="I53" s="1291">
        <v>2</v>
      </c>
      <c r="J53" s="1291">
        <v>4</v>
      </c>
      <c r="K53" s="1291">
        <v>1</v>
      </c>
      <c r="L53" s="2220" t="str">
        <f t="shared" si="2"/>
        <v>Maniobras De Combate Y Apuntar-25</v>
      </c>
      <c r="M53" s="242"/>
      <c r="N53" s="5884"/>
      <c r="O53" s="87" t="s">
        <v>1557</v>
      </c>
      <c r="P53" s="87" t="str">
        <f t="shared" si="3"/>
        <v>'Tablas Técnicas'!$D$346:$D$356</v>
      </c>
      <c r="Q53" s="81" t="s">
        <v>2909</v>
      </c>
      <c r="R53" s="81" t="s">
        <v>1574</v>
      </c>
      <c r="S53" s="89" t="s">
        <v>9203</v>
      </c>
      <c r="T53" s="87" t="s">
        <v>1615</v>
      </c>
      <c r="U53" s="87" t="s">
        <v>1708</v>
      </c>
      <c r="V53" s="87" t="s">
        <v>1713</v>
      </c>
      <c r="W53" s="87" t="s">
        <v>9134</v>
      </c>
      <c r="X53" s="2218" t="b">
        <f t="shared" si="4"/>
        <v>0</v>
      </c>
      <c r="Z53" s="242"/>
    </row>
    <row r="54" spans="1:26" ht="12" customHeight="1" x14ac:dyDescent="0.2">
      <c r="A54" s="5889"/>
      <c r="B54" s="5887"/>
      <c r="C54" s="45" t="s">
        <v>9204</v>
      </c>
      <c r="D54" s="87" t="s">
        <v>9209</v>
      </c>
      <c r="E54" s="1291">
        <v>3</v>
      </c>
      <c r="F54" s="1292">
        <v>5</v>
      </c>
      <c r="G54" s="1291">
        <v>10</v>
      </c>
      <c r="H54" s="1291">
        <v>2</v>
      </c>
      <c r="I54" s="1291">
        <v>4</v>
      </c>
      <c r="J54" s="1291">
        <v>7</v>
      </c>
      <c r="K54" s="1291">
        <v>1</v>
      </c>
      <c r="L54" s="2220" t="str">
        <f t="shared" si="2"/>
        <v>Maniobras De Combate Y Apuntar-50</v>
      </c>
      <c r="M54" s="242"/>
      <c r="N54" s="5884"/>
      <c r="O54" s="87" t="s">
        <v>2978</v>
      </c>
      <c r="P54" s="87"/>
      <c r="Q54" s="81"/>
      <c r="R54" s="81"/>
      <c r="S54" s="89"/>
      <c r="T54" s="87" t="s">
        <v>7172</v>
      </c>
      <c r="U54" s="87" t="s">
        <v>7172</v>
      </c>
      <c r="V54" s="87" t="s">
        <v>7172</v>
      </c>
      <c r="W54" s="87" t="s">
        <v>7172</v>
      </c>
      <c r="X54" s="2218" t="b">
        <f t="shared" si="4"/>
        <v>0</v>
      </c>
      <c r="Z54" s="242"/>
    </row>
    <row r="55" spans="1:26" ht="12" customHeight="1" x14ac:dyDescent="0.2">
      <c r="A55" s="5889"/>
      <c r="B55" s="5887"/>
      <c r="C55" s="45" t="s">
        <v>9204</v>
      </c>
      <c r="D55" s="87" t="s">
        <v>9213</v>
      </c>
      <c r="E55" s="1291">
        <v>4</v>
      </c>
      <c r="F55" s="1292">
        <v>6</v>
      </c>
      <c r="G55" s="1291">
        <v>10</v>
      </c>
      <c r="H55" s="1291">
        <v>2</v>
      </c>
      <c r="I55" s="1291">
        <v>4</v>
      </c>
      <c r="J55" s="1291">
        <v>7</v>
      </c>
      <c r="K55" s="1291">
        <v>2</v>
      </c>
      <c r="L55" s="2220" t="str">
        <f t="shared" si="2"/>
        <v>Maniobras De Combate Y Apuntar-75</v>
      </c>
      <c r="M55" s="242"/>
      <c r="N55" s="5884"/>
      <c r="O55" s="87" t="s">
        <v>9207</v>
      </c>
      <c r="P55" s="87" t="str">
        <f t="shared" si="3"/>
        <v>'Tablas Técnicas'!$D$359:$D$363</v>
      </c>
      <c r="Q55" s="81" t="s">
        <v>2909</v>
      </c>
      <c r="R55" s="81" t="s">
        <v>3221</v>
      </c>
      <c r="S55" s="89" t="s">
        <v>9208</v>
      </c>
      <c r="T55" s="87" t="s">
        <v>1612</v>
      </c>
      <c r="U55" s="87" t="s">
        <v>1619</v>
      </c>
      <c r="V55" s="87" t="s">
        <v>1708</v>
      </c>
      <c r="W55" s="87" t="s">
        <v>9180</v>
      </c>
      <c r="X55" s="2218" t="b">
        <f t="shared" si="4"/>
        <v>0</v>
      </c>
      <c r="Z55" s="242"/>
    </row>
    <row r="56" spans="1:26" ht="12" customHeight="1" x14ac:dyDescent="0.2">
      <c r="A56" s="5889"/>
      <c r="B56" s="5887"/>
      <c r="C56" s="45" t="s">
        <v>9204</v>
      </c>
      <c r="D56" s="87" t="s">
        <v>9217</v>
      </c>
      <c r="E56" s="1291">
        <v>6</v>
      </c>
      <c r="F56" s="1292">
        <v>9</v>
      </c>
      <c r="G56" s="1291">
        <v>15</v>
      </c>
      <c r="H56" s="1291">
        <v>3</v>
      </c>
      <c r="I56" s="1291">
        <v>6</v>
      </c>
      <c r="J56" s="1291">
        <v>11</v>
      </c>
      <c r="K56" s="1291">
        <v>2</v>
      </c>
      <c r="L56" s="2220" t="str">
        <f t="shared" si="2"/>
        <v>Maniobras De Combate Y Apuntar-100</v>
      </c>
      <c r="M56" s="242"/>
      <c r="N56" s="5884"/>
      <c r="O56" s="87" t="s">
        <v>9210</v>
      </c>
      <c r="P56" s="87" t="str">
        <f t="shared" si="3"/>
        <v>'Tablas Técnicas'!$D$365:$D$370</v>
      </c>
      <c r="Q56" s="81" t="s">
        <v>2909</v>
      </c>
      <c r="R56" s="81" t="s">
        <v>3221</v>
      </c>
      <c r="S56" s="89" t="s">
        <v>9211</v>
      </c>
      <c r="T56" s="87" t="s">
        <v>1612</v>
      </c>
      <c r="U56" s="87" t="s">
        <v>1713</v>
      </c>
      <c r="V56" s="87" t="s">
        <v>1708</v>
      </c>
      <c r="W56" s="87" t="s">
        <v>9212</v>
      </c>
      <c r="X56" s="2218" t="b">
        <f t="shared" si="4"/>
        <v>0</v>
      </c>
      <c r="Z56" s="242"/>
    </row>
    <row r="57" spans="1:26" ht="12" customHeight="1" x14ac:dyDescent="0.2">
      <c r="A57" s="5889"/>
      <c r="B57" s="5887"/>
      <c r="C57" s="45" t="s">
        <v>9204</v>
      </c>
      <c r="D57" s="87" t="s">
        <v>9220</v>
      </c>
      <c r="E57" s="1291">
        <v>8</v>
      </c>
      <c r="F57" s="1292">
        <v>11</v>
      </c>
      <c r="G57" s="1291">
        <v>20</v>
      </c>
      <c r="H57" s="1291">
        <v>3</v>
      </c>
      <c r="I57" s="1291">
        <v>6</v>
      </c>
      <c r="J57" s="1291">
        <v>11</v>
      </c>
      <c r="K57" s="1291">
        <v>3</v>
      </c>
      <c r="L57" s="2220" t="str">
        <f t="shared" si="2"/>
        <v>Maniobras De Combate Y Apuntar-120</v>
      </c>
      <c r="M57" s="242"/>
      <c r="N57" s="5884"/>
      <c r="O57" s="87" t="s">
        <v>9214</v>
      </c>
      <c r="P57" s="87" t="str">
        <f t="shared" si="3"/>
        <v>'Tablas Técnicas'!$D$372:$D$379</v>
      </c>
      <c r="Q57" s="81" t="s">
        <v>2906</v>
      </c>
      <c r="R57" s="81" t="s">
        <v>3221</v>
      </c>
      <c r="S57" s="89" t="s">
        <v>9215</v>
      </c>
      <c r="T57" s="87" t="s">
        <v>1615</v>
      </c>
      <c r="U57" s="87" t="s">
        <v>1619</v>
      </c>
      <c r="V57" s="87" t="s">
        <v>1709</v>
      </c>
      <c r="W57" s="87" t="s">
        <v>9216</v>
      </c>
      <c r="X57" s="2218" t="b">
        <f t="shared" si="4"/>
        <v>0</v>
      </c>
      <c r="Z57" s="242"/>
    </row>
    <row r="58" spans="1:26" ht="12" customHeight="1" x14ac:dyDescent="0.2">
      <c r="A58" s="5889"/>
      <c r="B58" s="5887"/>
      <c r="C58" s="45" t="s">
        <v>9223</v>
      </c>
      <c r="D58" s="87"/>
      <c r="E58" s="1291"/>
      <c r="F58" s="1292"/>
      <c r="G58" s="1291"/>
      <c r="H58" s="1291"/>
      <c r="I58" s="1291"/>
      <c r="J58" s="1291"/>
      <c r="K58" s="1291"/>
      <c r="L58" s="2220" t="str">
        <f t="shared" si="2"/>
        <v>&gt; MANIOBRAS DE COMBATE Y APUNTAR REALES</v>
      </c>
      <c r="M58" s="242"/>
      <c r="N58" s="5884"/>
      <c r="O58" s="87" t="s">
        <v>9218</v>
      </c>
      <c r="P58" s="87" t="str">
        <f t="shared" si="3"/>
        <v>'Tablas Técnicas'!$D$381:$D$388</v>
      </c>
      <c r="Q58" s="81" t="s">
        <v>2906</v>
      </c>
      <c r="R58" s="81" t="s">
        <v>3221</v>
      </c>
      <c r="S58" s="89" t="s">
        <v>9219</v>
      </c>
      <c r="T58" s="87" t="s">
        <v>1615</v>
      </c>
      <c r="U58" s="87" t="s">
        <v>1619</v>
      </c>
      <c r="V58" s="87" t="s">
        <v>1709</v>
      </c>
      <c r="W58" s="87" t="s">
        <v>9216</v>
      </c>
      <c r="X58" s="2218" t="b">
        <f t="shared" si="4"/>
        <v>0</v>
      </c>
      <c r="Z58" s="242"/>
    </row>
    <row r="59" spans="1:26" ht="12" customHeight="1" x14ac:dyDescent="0.2">
      <c r="A59" s="5889"/>
      <c r="B59" s="5887"/>
      <c r="C59" s="45" t="s">
        <v>9226</v>
      </c>
      <c r="D59" s="87" t="s">
        <v>9205</v>
      </c>
      <c r="E59" s="1291">
        <v>2</v>
      </c>
      <c r="F59" s="1292">
        <v>4</v>
      </c>
      <c r="G59" s="1291">
        <v>10</v>
      </c>
      <c r="H59" s="1291">
        <v>2</v>
      </c>
      <c r="I59" s="1291">
        <v>4</v>
      </c>
      <c r="J59" s="1291">
        <v>7</v>
      </c>
      <c r="K59" s="1291">
        <v>1</v>
      </c>
      <c r="L59" s="2220" t="str">
        <f t="shared" si="2"/>
        <v>Maniobras De Combate Y Apuntar Reales-10</v>
      </c>
      <c r="M59" s="242"/>
      <c r="N59" s="5884"/>
      <c r="O59" s="87" t="s">
        <v>9221</v>
      </c>
      <c r="P59" s="87" t="str">
        <f t="shared" si="3"/>
        <v>'Tablas Técnicas'!$D$390:$D$397</v>
      </c>
      <c r="Q59" s="81" t="s">
        <v>2906</v>
      </c>
      <c r="R59" s="81" t="s">
        <v>3221</v>
      </c>
      <c r="S59" s="89" t="s">
        <v>9222</v>
      </c>
      <c r="T59" s="87" t="s">
        <v>1615</v>
      </c>
      <c r="U59" s="87" t="s">
        <v>1619</v>
      </c>
      <c r="V59" s="87" t="s">
        <v>1709</v>
      </c>
      <c r="W59" s="87" t="s">
        <v>9216</v>
      </c>
      <c r="X59" s="2218" t="b">
        <f t="shared" si="4"/>
        <v>0</v>
      </c>
      <c r="Z59" s="242"/>
    </row>
    <row r="60" spans="1:26" ht="12" customHeight="1" x14ac:dyDescent="0.2">
      <c r="A60" s="5889"/>
      <c r="B60" s="5887"/>
      <c r="C60" s="45" t="s">
        <v>9226</v>
      </c>
      <c r="D60" s="87" t="s">
        <v>9206</v>
      </c>
      <c r="E60" s="1291">
        <v>4</v>
      </c>
      <c r="F60" s="1292">
        <v>6</v>
      </c>
      <c r="G60" s="1291">
        <v>15</v>
      </c>
      <c r="H60" s="1291">
        <v>3</v>
      </c>
      <c r="I60" s="1291">
        <v>6</v>
      </c>
      <c r="J60" s="1291">
        <v>11</v>
      </c>
      <c r="K60" s="1291">
        <v>1</v>
      </c>
      <c r="L60" s="2220" t="str">
        <f t="shared" si="2"/>
        <v>Maniobras De Combate Y Apuntar Reales-25</v>
      </c>
      <c r="M60" s="242"/>
      <c r="N60" s="5884"/>
      <c r="O60" s="87" t="s">
        <v>9224</v>
      </c>
      <c r="P60" s="87" t="str">
        <f t="shared" si="3"/>
        <v>'Tablas Técnicas'!$D$399:$D$408</v>
      </c>
      <c r="Q60" s="81" t="s">
        <v>2909</v>
      </c>
      <c r="R60" s="81" t="s">
        <v>3221</v>
      </c>
      <c r="S60" s="89" t="s">
        <v>9225</v>
      </c>
      <c r="T60" s="87" t="s">
        <v>1615</v>
      </c>
      <c r="U60" s="87" t="s">
        <v>1708</v>
      </c>
      <c r="V60" s="87" t="s">
        <v>1713</v>
      </c>
      <c r="W60" s="87" t="s">
        <v>9134</v>
      </c>
      <c r="X60" s="2218" t="b">
        <f t="shared" si="4"/>
        <v>0</v>
      </c>
      <c r="Z60" s="242"/>
    </row>
    <row r="61" spans="1:26" ht="12" customHeight="1" x14ac:dyDescent="0.2">
      <c r="A61" s="5889"/>
      <c r="B61" s="5887"/>
      <c r="C61" s="45" t="s">
        <v>9226</v>
      </c>
      <c r="D61" s="87" t="s">
        <v>9209</v>
      </c>
      <c r="E61" s="1291">
        <v>6</v>
      </c>
      <c r="F61" s="1292">
        <v>9</v>
      </c>
      <c r="G61" s="1291">
        <v>20</v>
      </c>
      <c r="H61" s="1291">
        <v>4</v>
      </c>
      <c r="I61" s="1291">
        <v>8</v>
      </c>
      <c r="J61" s="1291">
        <v>14</v>
      </c>
      <c r="K61" s="1291">
        <v>2</v>
      </c>
      <c r="L61" s="2220" t="str">
        <f t="shared" si="2"/>
        <v>Maniobras De Combate Y Apuntar Reales-50</v>
      </c>
      <c r="M61" s="242"/>
      <c r="N61" s="5884"/>
      <c r="O61" s="87" t="s">
        <v>9227</v>
      </c>
      <c r="P61" s="87" t="str">
        <f t="shared" si="3"/>
        <v>'Tablas Técnicas'!$D$410:$D$417</v>
      </c>
      <c r="Q61" s="81" t="s">
        <v>2909</v>
      </c>
      <c r="R61" s="81" t="s">
        <v>3221</v>
      </c>
      <c r="S61" s="89" t="s">
        <v>9228</v>
      </c>
      <c r="T61" s="87" t="s">
        <v>1612</v>
      </c>
      <c r="U61" s="87" t="s">
        <v>1619</v>
      </c>
      <c r="V61" s="87" t="s">
        <v>1708</v>
      </c>
      <c r="W61" s="87" t="s">
        <v>9180</v>
      </c>
      <c r="X61" s="2218" t="b">
        <f t="shared" si="4"/>
        <v>0</v>
      </c>
      <c r="Z61" s="242"/>
    </row>
    <row r="62" spans="1:26" ht="12" customHeight="1" x14ac:dyDescent="0.2">
      <c r="A62" s="5889"/>
      <c r="B62" s="5887"/>
      <c r="C62" s="45" t="s">
        <v>9234</v>
      </c>
      <c r="D62" s="87"/>
      <c r="E62" s="1291"/>
      <c r="F62" s="1292"/>
      <c r="G62" s="1291"/>
      <c r="H62" s="1291"/>
      <c r="I62" s="1291"/>
      <c r="J62" s="1291"/>
      <c r="K62" s="1291"/>
      <c r="L62" s="2220" t="str">
        <f t="shared" si="2"/>
        <v>&gt; ATAQUE INDIRECTO</v>
      </c>
      <c r="M62" s="242"/>
      <c r="N62" s="5884"/>
      <c r="O62" s="87" t="s">
        <v>9229</v>
      </c>
      <c r="P62" s="87" t="str">
        <f t="shared" si="3"/>
        <v>'Tablas Técnicas'!$D$419:$D$426</v>
      </c>
      <c r="Q62" s="81" t="s">
        <v>2909</v>
      </c>
      <c r="R62" s="81" t="s">
        <v>3221</v>
      </c>
      <c r="S62" s="89" t="s">
        <v>9230</v>
      </c>
      <c r="T62" s="87" t="s">
        <v>1612</v>
      </c>
      <c r="U62" s="87" t="s">
        <v>1615</v>
      </c>
      <c r="V62" s="87" t="s">
        <v>1708</v>
      </c>
      <c r="W62" s="87" t="s">
        <v>9231</v>
      </c>
      <c r="X62" s="2218" t="b">
        <f t="shared" si="4"/>
        <v>0</v>
      </c>
      <c r="Z62" s="242"/>
    </row>
    <row r="63" spans="1:26" ht="12" customHeight="1" x14ac:dyDescent="0.2">
      <c r="A63" s="5889"/>
      <c r="B63" s="5887"/>
      <c r="C63" s="45" t="s">
        <v>9126</v>
      </c>
      <c r="D63" s="87" t="s">
        <v>9368</v>
      </c>
      <c r="E63" s="1291">
        <v>3</v>
      </c>
      <c r="F63" s="1292">
        <v>5</v>
      </c>
      <c r="G63" s="1291">
        <v>10</v>
      </c>
      <c r="H63" s="1291">
        <v>2</v>
      </c>
      <c r="I63" s="1291">
        <v>4</v>
      </c>
      <c r="J63" s="1291">
        <v>7</v>
      </c>
      <c r="K63" s="1291">
        <v>1</v>
      </c>
      <c r="L63" s="2220" t="str">
        <f t="shared" si="2"/>
        <v>Ataque IndirectoNv 1</v>
      </c>
      <c r="M63" s="242"/>
      <c r="N63" s="5884"/>
      <c r="O63" s="87" t="s">
        <v>9232</v>
      </c>
      <c r="P63" s="87" t="str">
        <f t="shared" si="3"/>
        <v>'Tablas Técnicas'!$D$428:$D$434</v>
      </c>
      <c r="Q63" s="81" t="s">
        <v>2909</v>
      </c>
      <c r="R63" s="81" t="s">
        <v>3221</v>
      </c>
      <c r="S63" s="89" t="s">
        <v>9233</v>
      </c>
      <c r="T63" s="87" t="s">
        <v>1615</v>
      </c>
      <c r="U63" s="87" t="s">
        <v>1612</v>
      </c>
      <c r="V63" s="87" t="s">
        <v>1708</v>
      </c>
      <c r="W63" s="87" t="s">
        <v>9142</v>
      </c>
      <c r="X63" s="2218" t="b">
        <f t="shared" si="4"/>
        <v>0</v>
      </c>
      <c r="Z63" s="242"/>
    </row>
    <row r="64" spans="1:26" ht="12" customHeight="1" x14ac:dyDescent="0.2">
      <c r="A64" s="5889"/>
      <c r="B64" s="5887"/>
      <c r="C64" s="45" t="s">
        <v>9126</v>
      </c>
      <c r="D64" s="87" t="s">
        <v>9370</v>
      </c>
      <c r="E64" s="1291">
        <v>6</v>
      </c>
      <c r="F64" s="1292">
        <v>9</v>
      </c>
      <c r="G64" s="1291">
        <v>20</v>
      </c>
      <c r="H64" s="1291">
        <v>4</v>
      </c>
      <c r="I64" s="1291">
        <v>8</v>
      </c>
      <c r="J64" s="1291">
        <v>14</v>
      </c>
      <c r="K64" s="1291">
        <v>2</v>
      </c>
      <c r="L64" s="2220" t="str">
        <f t="shared" si="2"/>
        <v>Ataque IndirectoNv 2</v>
      </c>
      <c r="M64" s="242"/>
      <c r="N64" s="5884"/>
      <c r="O64" s="87" t="s">
        <v>2997</v>
      </c>
      <c r="P64" s="87"/>
      <c r="Q64" s="81"/>
      <c r="R64" s="81"/>
      <c r="S64" s="89"/>
      <c r="T64" s="87" t="s">
        <v>7172</v>
      </c>
      <c r="U64" s="87" t="s">
        <v>7172</v>
      </c>
      <c r="V64" s="87" t="s">
        <v>7172</v>
      </c>
      <c r="W64" s="87" t="s">
        <v>7172</v>
      </c>
      <c r="X64" s="2218" t="b">
        <f t="shared" si="4"/>
        <v>0</v>
      </c>
      <c r="Z64" s="242"/>
    </row>
    <row r="65" spans="1:26" ht="12" customHeight="1" x14ac:dyDescent="0.2">
      <c r="A65" s="5889"/>
      <c r="B65" s="5887"/>
      <c r="C65" s="45" t="s">
        <v>9126</v>
      </c>
      <c r="D65" s="87" t="s">
        <v>9371</v>
      </c>
      <c r="E65" s="1291">
        <v>9</v>
      </c>
      <c r="F65" s="1292">
        <v>12</v>
      </c>
      <c r="G65" s="1291">
        <v>30</v>
      </c>
      <c r="H65" s="1291">
        <v>6</v>
      </c>
      <c r="I65" s="1291">
        <v>12</v>
      </c>
      <c r="J65" s="1291">
        <v>21</v>
      </c>
      <c r="K65" s="1291">
        <v>3</v>
      </c>
      <c r="L65" s="2220" t="str">
        <f t="shared" si="2"/>
        <v>Ataque IndirectoNv 3</v>
      </c>
      <c r="M65" s="242"/>
      <c r="N65" s="5884"/>
      <c r="O65" s="87" t="s">
        <v>3229</v>
      </c>
      <c r="P65" s="87" t="str">
        <f t="shared" si="3"/>
        <v>'Tablas Técnicas'!$D$437:$D$437</v>
      </c>
      <c r="Q65" s="81" t="s">
        <v>2906</v>
      </c>
      <c r="R65" s="81" t="s">
        <v>1240</v>
      </c>
      <c r="S65" s="89" t="s">
        <v>9235</v>
      </c>
      <c r="T65" s="87" t="s">
        <v>1619</v>
      </c>
      <c r="U65" s="87" t="s">
        <v>1708</v>
      </c>
      <c r="V65" s="87" t="s">
        <v>1709</v>
      </c>
      <c r="W65" s="87" t="s">
        <v>9188</v>
      </c>
      <c r="X65" s="2218" t="b">
        <f t="shared" si="4"/>
        <v>0</v>
      </c>
      <c r="Z65" s="242"/>
    </row>
    <row r="66" spans="1:26" ht="12" customHeight="1" x14ac:dyDescent="0.2">
      <c r="A66" s="5889"/>
      <c r="B66" s="5887"/>
      <c r="C66" s="45" t="s">
        <v>9239</v>
      </c>
      <c r="D66" s="87"/>
      <c r="E66" s="1291"/>
      <c r="F66" s="1292"/>
      <c r="G66" s="1291"/>
      <c r="H66" s="1291"/>
      <c r="I66" s="1291"/>
      <c r="J66" s="1291"/>
      <c r="K66" s="1291"/>
      <c r="L66" s="2220" t="str">
        <f t="shared" si="2"/>
        <v>&gt; CAMUFLAR ATAQUE</v>
      </c>
      <c r="M66" s="242"/>
      <c r="N66" s="5884"/>
      <c r="O66" s="87" t="s">
        <v>9236</v>
      </c>
      <c r="P66" s="87" t="str">
        <f t="shared" si="3"/>
        <v>'Tablas Técnicas'!$D$439:$D$444</v>
      </c>
      <c r="Q66" s="81" t="s">
        <v>2909</v>
      </c>
      <c r="R66" s="81" t="s">
        <v>1240</v>
      </c>
      <c r="S66" s="89" t="s">
        <v>9235</v>
      </c>
      <c r="T66" s="87"/>
      <c r="U66" s="87" t="s">
        <v>7172</v>
      </c>
      <c r="V66" s="87" t="s">
        <v>7172</v>
      </c>
      <c r="W66" s="87" t="s">
        <v>3221</v>
      </c>
      <c r="X66" s="2218" t="b">
        <f t="shared" si="4"/>
        <v>0</v>
      </c>
      <c r="Z66" s="242"/>
    </row>
    <row r="67" spans="1:26" ht="12" customHeight="1" x14ac:dyDescent="0.2">
      <c r="A67" s="5889"/>
      <c r="B67" s="5887"/>
      <c r="C67" s="45" t="s">
        <v>9130</v>
      </c>
      <c r="D67" s="87" t="s">
        <v>9160</v>
      </c>
      <c r="E67" s="1291">
        <v>1</v>
      </c>
      <c r="F67" s="1292">
        <v>2</v>
      </c>
      <c r="G67" s="1291">
        <v>5</v>
      </c>
      <c r="H67" s="1291">
        <v>1</v>
      </c>
      <c r="I67" s="1291">
        <v>2</v>
      </c>
      <c r="J67" s="1291">
        <v>4</v>
      </c>
      <c r="K67" s="1291">
        <v>1</v>
      </c>
      <c r="L67" s="2220" t="str">
        <f t="shared" si="2"/>
        <v>Camuflar AtaqueMedia (80)</v>
      </c>
      <c r="M67" s="242"/>
      <c r="N67" s="5884"/>
      <c r="O67" s="87" t="s">
        <v>9237</v>
      </c>
      <c r="P67" s="87" t="str">
        <f t="shared" si="3"/>
        <v>'Tablas Técnicas'!$D$446:$D$455</v>
      </c>
      <c r="Q67" s="81" t="s">
        <v>2909</v>
      </c>
      <c r="R67" s="81" t="s">
        <v>3221</v>
      </c>
      <c r="S67" s="89" t="s">
        <v>9238</v>
      </c>
      <c r="T67" s="87" t="s">
        <v>1708</v>
      </c>
      <c r="U67" s="87" t="s">
        <v>1709</v>
      </c>
      <c r="V67" s="87" t="s">
        <v>1713</v>
      </c>
      <c r="W67" s="87" t="s">
        <v>9117</v>
      </c>
      <c r="X67" s="2218" t="b">
        <f t="shared" si="4"/>
        <v>0</v>
      </c>
      <c r="Z67" s="242"/>
    </row>
    <row r="68" spans="1:26" ht="12" customHeight="1" x14ac:dyDescent="0.2">
      <c r="A68" s="5889"/>
      <c r="B68" s="5887"/>
      <c r="C68" s="45" t="s">
        <v>9130</v>
      </c>
      <c r="D68" s="87" t="s">
        <v>9161</v>
      </c>
      <c r="E68" s="1291">
        <v>2</v>
      </c>
      <c r="F68" s="1292">
        <v>4</v>
      </c>
      <c r="G68" s="1291">
        <v>5</v>
      </c>
      <c r="H68" s="1291">
        <v>1</v>
      </c>
      <c r="I68" s="1291">
        <v>2</v>
      </c>
      <c r="J68" s="1291">
        <v>4</v>
      </c>
      <c r="K68" s="1291">
        <v>1</v>
      </c>
      <c r="L68" s="2220" t="str">
        <f t="shared" si="2"/>
        <v>Camuflar AtaqueDifícil (120)</v>
      </c>
      <c r="M68" s="242"/>
      <c r="N68" s="5884"/>
      <c r="O68" s="87" t="s">
        <v>3235</v>
      </c>
      <c r="P68" s="87" t="str">
        <f t="shared" si="3"/>
        <v>'Tablas Técnicas'!$D$457:$D$457</v>
      </c>
      <c r="Q68" s="81" t="s">
        <v>2906</v>
      </c>
      <c r="R68" s="81" t="s">
        <v>1240</v>
      </c>
      <c r="S68" s="89" t="s">
        <v>9235</v>
      </c>
      <c r="T68" s="87" t="s">
        <v>1708</v>
      </c>
      <c r="U68" s="87" t="s">
        <v>1709</v>
      </c>
      <c r="V68" s="87" t="s">
        <v>7172</v>
      </c>
      <c r="W68" s="87" t="s">
        <v>9250</v>
      </c>
      <c r="X68" s="2218" t="b">
        <f t="shared" si="4"/>
        <v>0</v>
      </c>
      <c r="Z68" s="242"/>
    </row>
    <row r="69" spans="1:26" ht="12" customHeight="1" x14ac:dyDescent="0.2">
      <c r="A69" s="5889"/>
      <c r="B69" s="5887"/>
      <c r="C69" s="45" t="s">
        <v>9130</v>
      </c>
      <c r="D69" s="87" t="s">
        <v>9164</v>
      </c>
      <c r="E69" s="1291">
        <v>3</v>
      </c>
      <c r="F69" s="1292">
        <v>5</v>
      </c>
      <c r="G69" s="1291">
        <v>5</v>
      </c>
      <c r="H69" s="1291">
        <v>1</v>
      </c>
      <c r="I69" s="1291">
        <v>2</v>
      </c>
      <c r="J69" s="1291">
        <v>4</v>
      </c>
      <c r="K69" s="1291">
        <v>1</v>
      </c>
      <c r="L69" s="2220" t="str">
        <f t="shared" si="2"/>
        <v>Camuflar AtaqueMuy Difícil (140)</v>
      </c>
      <c r="M69" s="242"/>
      <c r="N69" s="5884"/>
      <c r="O69" s="87" t="s">
        <v>9240</v>
      </c>
      <c r="P69" s="87" t="str">
        <f t="shared" si="3"/>
        <v>'Tablas Técnicas'!$D$459:$D$464</v>
      </c>
      <c r="Q69" s="81" t="s">
        <v>2906</v>
      </c>
      <c r="R69" s="81" t="s">
        <v>1574</v>
      </c>
      <c r="S69" s="89" t="s">
        <v>9241</v>
      </c>
      <c r="T69" s="87" t="s">
        <v>1615</v>
      </c>
      <c r="U69" s="87" t="s">
        <v>1612</v>
      </c>
      <c r="V69" s="87" t="s">
        <v>1713</v>
      </c>
      <c r="W69" s="87" t="s">
        <v>9120</v>
      </c>
      <c r="X69" s="2218" t="b">
        <f t="shared" si="4"/>
        <v>0</v>
      </c>
      <c r="Z69" s="242"/>
    </row>
    <row r="70" spans="1:26" ht="12" customHeight="1" x14ac:dyDescent="0.2">
      <c r="A70" s="5889"/>
      <c r="B70" s="5887"/>
      <c r="C70" s="45" t="s">
        <v>9130</v>
      </c>
      <c r="D70" s="87" t="s">
        <v>9166</v>
      </c>
      <c r="E70" s="1291">
        <v>5</v>
      </c>
      <c r="F70" s="1292">
        <v>8</v>
      </c>
      <c r="G70" s="1291">
        <v>10</v>
      </c>
      <c r="H70" s="1291">
        <v>2</v>
      </c>
      <c r="I70" s="1291">
        <v>4</v>
      </c>
      <c r="J70" s="1291">
        <v>7</v>
      </c>
      <c r="K70" s="1291">
        <v>1</v>
      </c>
      <c r="L70" s="2220" t="str">
        <f t="shared" si="2"/>
        <v>Camuflar AtaqueAbsurdo (180)</v>
      </c>
      <c r="M70" s="242"/>
      <c r="N70" s="5884"/>
      <c r="O70" s="87" t="s">
        <v>3009</v>
      </c>
      <c r="P70" s="87" t="str">
        <f t="shared" si="3"/>
        <v>'Tablas Técnicas'!$D$466:$D$475</v>
      </c>
      <c r="Q70" s="81" t="s">
        <v>2906</v>
      </c>
      <c r="R70" s="81" t="s">
        <v>1240</v>
      </c>
      <c r="S70" s="89" t="s">
        <v>9242</v>
      </c>
      <c r="T70" s="87" t="s">
        <v>1713</v>
      </c>
      <c r="U70" s="87" t="s">
        <v>7172</v>
      </c>
      <c r="V70" s="87" t="s">
        <v>7172</v>
      </c>
      <c r="W70" s="87" t="s">
        <v>1713</v>
      </c>
      <c r="X70" s="2218" t="b">
        <f t="shared" si="4"/>
        <v>0</v>
      </c>
      <c r="Z70" s="242"/>
    </row>
    <row r="71" spans="1:26" ht="12" customHeight="1" x14ac:dyDescent="0.2">
      <c r="A71" s="5889"/>
      <c r="B71" s="5887"/>
      <c r="C71" s="45" t="s">
        <v>9130</v>
      </c>
      <c r="D71" s="87" t="s">
        <v>9169</v>
      </c>
      <c r="E71" s="1291">
        <v>6</v>
      </c>
      <c r="F71" s="1292">
        <v>9</v>
      </c>
      <c r="G71" s="1291">
        <v>10</v>
      </c>
      <c r="H71" s="1291">
        <v>3</v>
      </c>
      <c r="I71" s="1291">
        <v>6</v>
      </c>
      <c r="J71" s="1291">
        <v>11</v>
      </c>
      <c r="K71" s="1291">
        <v>1</v>
      </c>
      <c r="L71" s="2220" t="str">
        <f t="shared" si="2"/>
        <v>Camuflar AtaqueCasi Imposible (240)</v>
      </c>
      <c r="M71" s="242"/>
      <c r="N71" s="5884"/>
      <c r="O71" s="87" t="s">
        <v>3237</v>
      </c>
      <c r="P71" s="87" t="str">
        <f t="shared" si="3"/>
        <v>'Tablas Técnicas'!$D$477:$D$477</v>
      </c>
      <c r="Q71" s="81" t="s">
        <v>2906</v>
      </c>
      <c r="R71" s="81" t="s">
        <v>1240</v>
      </c>
      <c r="S71" s="89" t="s">
        <v>9243</v>
      </c>
      <c r="T71" s="87" t="s">
        <v>1615</v>
      </c>
      <c r="U71" s="87" t="s">
        <v>1708</v>
      </c>
      <c r="V71" s="87" t="s">
        <v>1713</v>
      </c>
      <c r="W71" s="87" t="s">
        <v>9134</v>
      </c>
      <c r="X71" s="2218" t="b">
        <f t="shared" si="4"/>
        <v>0</v>
      </c>
      <c r="Z71" s="242"/>
    </row>
    <row r="72" spans="1:26" ht="12" customHeight="1" x14ac:dyDescent="0.2">
      <c r="A72" s="5889"/>
      <c r="B72" s="5887"/>
      <c r="C72" s="45" t="s">
        <v>9130</v>
      </c>
      <c r="D72" s="87" t="s">
        <v>9172</v>
      </c>
      <c r="E72" s="1291">
        <v>7</v>
      </c>
      <c r="F72" s="1292">
        <v>10</v>
      </c>
      <c r="G72" s="1291">
        <v>15</v>
      </c>
      <c r="H72" s="1291">
        <v>4</v>
      </c>
      <c r="I72" s="1291">
        <v>8</v>
      </c>
      <c r="J72" s="1291">
        <v>14</v>
      </c>
      <c r="K72" s="1291">
        <v>2</v>
      </c>
      <c r="L72" s="2220" t="str">
        <f t="shared" si="2"/>
        <v>Camuflar AtaqueImposible (280)</v>
      </c>
      <c r="M72" s="242"/>
      <c r="N72" s="5884"/>
      <c r="O72" s="87" t="s">
        <v>1695</v>
      </c>
      <c r="P72" s="87" t="str">
        <f t="shared" si="3"/>
        <v>'Tablas Técnicas'!$D$479:$D$490</v>
      </c>
      <c r="Q72" s="81" t="s">
        <v>2909</v>
      </c>
      <c r="R72" s="81" t="s">
        <v>1574</v>
      </c>
      <c r="S72" s="89" t="s">
        <v>9244</v>
      </c>
      <c r="T72" s="87" t="s">
        <v>1713</v>
      </c>
      <c r="U72" s="87" t="s">
        <v>7172</v>
      </c>
      <c r="V72" s="87" t="s">
        <v>7172</v>
      </c>
      <c r="W72" s="87" t="s">
        <v>1713</v>
      </c>
      <c r="X72" s="2218" t="b">
        <f t="shared" si="4"/>
        <v>0</v>
      </c>
      <c r="Z72" s="242"/>
    </row>
    <row r="73" spans="1:26" ht="12" customHeight="1" x14ac:dyDescent="0.2">
      <c r="A73" s="5889"/>
      <c r="B73" s="5887"/>
      <c r="C73" s="45" t="s">
        <v>9130</v>
      </c>
      <c r="D73" s="87" t="s">
        <v>9173</v>
      </c>
      <c r="E73" s="1291">
        <v>8</v>
      </c>
      <c r="F73" s="1292">
        <v>11</v>
      </c>
      <c r="G73" s="1291">
        <v>20</v>
      </c>
      <c r="H73" s="1291">
        <v>5</v>
      </c>
      <c r="I73" s="1291">
        <v>10</v>
      </c>
      <c r="J73" s="1291">
        <v>18</v>
      </c>
      <c r="K73" s="1291">
        <v>2</v>
      </c>
      <c r="L73" s="2220" t="str">
        <f t="shared" si="2"/>
        <v>Camuflar AtaqueInhumano (320)</v>
      </c>
      <c r="M73" s="242"/>
      <c r="N73" s="5884"/>
      <c r="O73" s="87" t="s">
        <v>3016</v>
      </c>
      <c r="P73" s="87" t="str">
        <f t="shared" ref="P73:P82" si="5">IF(ISNUMBER(FIND("&gt;&gt;",O73)),"","'Tablas Técnicas'!"&amp;ADDRESS(ROW($D$9)+MATCH(O73,$C$10:$C$643,0),COLUMN($D$9))&amp;":"&amp;ADDRESS(ROW($D$9)+MATCH(O73,$C$10:$C$643,0)+COUNTIF($C$10:$C$643,O73)-1,COLUMN($D$9)))</f>
        <v>'Tablas Técnicas'!$D$492:$D$511</v>
      </c>
      <c r="Q73" s="81" t="s">
        <v>2909</v>
      </c>
      <c r="R73" s="81" t="s">
        <v>3221</v>
      </c>
      <c r="S73" s="89" t="s">
        <v>9245</v>
      </c>
      <c r="T73" s="87" t="s">
        <v>1615</v>
      </c>
      <c r="U73" s="87" t="s">
        <v>7172</v>
      </c>
      <c r="V73" s="87" t="s">
        <v>7172</v>
      </c>
      <c r="W73" s="87" t="s">
        <v>1615</v>
      </c>
      <c r="X73" s="2218" t="b">
        <f t="shared" si="4"/>
        <v>0</v>
      </c>
      <c r="Z73" s="242"/>
    </row>
    <row r="74" spans="1:26" ht="12" customHeight="1" x14ac:dyDescent="0.2">
      <c r="A74" s="5889"/>
      <c r="B74" s="5887"/>
      <c r="C74" s="45" t="s">
        <v>9130</v>
      </c>
      <c r="D74" s="87" t="s">
        <v>9175</v>
      </c>
      <c r="E74" s="1291">
        <v>10</v>
      </c>
      <c r="F74" s="1292">
        <v>13</v>
      </c>
      <c r="G74" s="1291">
        <v>25</v>
      </c>
      <c r="H74" s="1291">
        <v>6</v>
      </c>
      <c r="I74" s="1291">
        <v>12</v>
      </c>
      <c r="J74" s="1291">
        <v>21</v>
      </c>
      <c r="K74" s="1291">
        <v>3</v>
      </c>
      <c r="L74" s="2220" t="str">
        <f t="shared" si="2"/>
        <v>Camuflar AtaqueZen (440)</v>
      </c>
      <c r="M74" s="242"/>
      <c r="N74" s="5884"/>
      <c r="O74" s="87" t="s">
        <v>9246</v>
      </c>
      <c r="P74" s="87" t="str">
        <f t="shared" si="5"/>
        <v>'Tablas Técnicas'!$D$513:$D$525</v>
      </c>
      <c r="Q74" s="81" t="s">
        <v>2909</v>
      </c>
      <c r="R74" s="81" t="s">
        <v>1574</v>
      </c>
      <c r="S74" s="89" t="s">
        <v>9247</v>
      </c>
      <c r="T74" s="87" t="s">
        <v>1615</v>
      </c>
      <c r="U74" s="87" t="s">
        <v>7172</v>
      </c>
      <c r="V74" s="87" t="s">
        <v>7172</v>
      </c>
      <c r="W74" s="87" t="s">
        <v>1615</v>
      </c>
      <c r="X74" s="2218" t="b">
        <f t="shared" ref="X74:X81" si="6">IFERROR(IF(VLOOKUP(T74,$Z$25:$AA$30,2,0),TRUE,IF(VLOOKUP(U74,$Z$25:$AA$30,2,0),TRUE,IF(VLOOKUP(V74,$Z$25:$AA$30,2,0),TRUE,FALSE))),FALSE)</f>
        <v>0</v>
      </c>
      <c r="Z74" s="242"/>
    </row>
    <row r="75" spans="1:26" ht="12" customHeight="1" x14ac:dyDescent="0.2">
      <c r="A75" s="5889"/>
      <c r="B75" s="5887"/>
      <c r="C75" s="45" t="s">
        <v>2912</v>
      </c>
      <c r="D75" s="87"/>
      <c r="E75" s="1291"/>
      <c r="F75" s="1292"/>
      <c r="G75" s="1291"/>
      <c r="H75" s="1291"/>
      <c r="I75" s="1291"/>
      <c r="J75" s="1291"/>
      <c r="K75" s="1291"/>
      <c r="L75" s="2220" t="str">
        <f t="shared" ref="L75:L138" si="7">C75&amp;D75</f>
        <v>&gt;&gt;EFECTOS DEFENSIVOS</v>
      </c>
      <c r="M75" s="242"/>
      <c r="N75" s="5884"/>
      <c r="O75" s="87" t="s">
        <v>9248</v>
      </c>
      <c r="P75" s="87" t="str">
        <f t="shared" si="5"/>
        <v>'Tablas Técnicas'!$D$527:$D$579</v>
      </c>
      <c r="Q75" s="81" t="s">
        <v>2906</v>
      </c>
      <c r="R75" s="81" t="s">
        <v>1240</v>
      </c>
      <c r="S75" s="89" t="s">
        <v>9249</v>
      </c>
      <c r="T75" s="87" t="s">
        <v>1708</v>
      </c>
      <c r="U75" s="87" t="s">
        <v>1709</v>
      </c>
      <c r="V75" s="87" t="s">
        <v>7172</v>
      </c>
      <c r="W75" s="87" t="s">
        <v>9250</v>
      </c>
      <c r="X75" s="2218" t="b">
        <f t="shared" si="6"/>
        <v>0</v>
      </c>
      <c r="Z75" s="242"/>
    </row>
    <row r="76" spans="1:26" ht="12" customHeight="1" x14ac:dyDescent="0.2">
      <c r="A76" s="5889"/>
      <c r="B76" s="5887"/>
      <c r="C76" s="45" t="s">
        <v>9252</v>
      </c>
      <c r="D76" s="87"/>
      <c r="E76" s="1291"/>
      <c r="F76" s="1292"/>
      <c r="G76" s="1291"/>
      <c r="H76" s="1291"/>
      <c r="I76" s="1291"/>
      <c r="J76" s="1291"/>
      <c r="K76" s="1291"/>
      <c r="L76" s="2220" t="str">
        <f t="shared" si="7"/>
        <v>&gt; HABILIDAD DE PARADA</v>
      </c>
      <c r="M76" s="242"/>
      <c r="N76" s="5884"/>
      <c r="O76" s="87" t="s">
        <v>3022</v>
      </c>
      <c r="P76" s="87" t="str">
        <f t="shared" si="5"/>
        <v>'Tablas Técnicas'!$D$581:$D$590</v>
      </c>
      <c r="Q76" s="81" t="s">
        <v>2906</v>
      </c>
      <c r="R76" s="81" t="s">
        <v>1240</v>
      </c>
      <c r="S76" s="89" t="s">
        <v>9155</v>
      </c>
      <c r="T76" s="87" t="s">
        <v>1619</v>
      </c>
      <c r="U76" s="87" t="s">
        <v>7172</v>
      </c>
      <c r="V76" s="87" t="s">
        <v>7172</v>
      </c>
      <c r="W76" s="87" t="s">
        <v>1619</v>
      </c>
      <c r="X76" s="2218" t="b">
        <f t="shared" si="6"/>
        <v>0</v>
      </c>
      <c r="Z76" s="242"/>
    </row>
    <row r="77" spans="1:26" ht="12" customHeight="1" x14ac:dyDescent="0.2">
      <c r="A77" s="5889"/>
      <c r="B77" s="5887"/>
      <c r="C77" s="45" t="s">
        <v>9255</v>
      </c>
      <c r="D77" s="87" t="s">
        <v>7748</v>
      </c>
      <c r="E77" s="1291">
        <v>2</v>
      </c>
      <c r="F77" s="1292">
        <v>4</v>
      </c>
      <c r="G77" s="1291">
        <v>5</v>
      </c>
      <c r="H77" s="1291">
        <v>1</v>
      </c>
      <c r="I77" s="1291">
        <v>2</v>
      </c>
      <c r="J77" s="1291">
        <v>4</v>
      </c>
      <c r="K77" s="1291">
        <v>1</v>
      </c>
      <c r="L77" s="2220" t="str">
        <f t="shared" si="7"/>
        <v>Habilidad De Parada+10</v>
      </c>
      <c r="M77" s="242"/>
      <c r="N77" s="5884"/>
      <c r="O77" s="87" t="s">
        <v>3026</v>
      </c>
      <c r="P77" s="87" t="str">
        <f t="shared" si="5"/>
        <v>'Tablas Técnicas'!$D$592:$D$601</v>
      </c>
      <c r="Q77" s="81" t="s">
        <v>2906</v>
      </c>
      <c r="R77" s="81" t="s">
        <v>1240</v>
      </c>
      <c r="S77" s="89" t="s">
        <v>9251</v>
      </c>
      <c r="T77" s="87" t="s">
        <v>1615</v>
      </c>
      <c r="U77" s="87" t="s">
        <v>1612</v>
      </c>
      <c r="V77" s="87" t="s">
        <v>1708</v>
      </c>
      <c r="W77" s="87" t="s">
        <v>9142</v>
      </c>
      <c r="X77" s="2218" t="b">
        <f t="shared" si="6"/>
        <v>0</v>
      </c>
      <c r="Z77" s="242"/>
    </row>
    <row r="78" spans="1:26" ht="12" customHeight="1" x14ac:dyDescent="0.2">
      <c r="A78" s="5889"/>
      <c r="B78" s="5887"/>
      <c r="C78" s="45" t="s">
        <v>9255</v>
      </c>
      <c r="D78" s="87" t="s">
        <v>7892</v>
      </c>
      <c r="E78" s="1291">
        <v>3</v>
      </c>
      <c r="F78" s="1292">
        <v>5</v>
      </c>
      <c r="G78" s="1291">
        <v>5</v>
      </c>
      <c r="H78" s="1291">
        <v>1</v>
      </c>
      <c r="I78" s="1291">
        <v>2</v>
      </c>
      <c r="J78" s="1291">
        <v>4</v>
      </c>
      <c r="K78" s="1291">
        <v>1</v>
      </c>
      <c r="L78" s="2220" t="str">
        <f t="shared" si="7"/>
        <v>Habilidad De Parada+25</v>
      </c>
      <c r="M78" s="242"/>
      <c r="N78" s="5884"/>
      <c r="O78" s="87" t="s">
        <v>3029</v>
      </c>
      <c r="P78" s="87" t="str">
        <f t="shared" si="5"/>
        <v>'Tablas Técnicas'!$D$603:$D$606</v>
      </c>
      <c r="Q78" s="81" t="s">
        <v>2909</v>
      </c>
      <c r="R78" s="81" t="s">
        <v>3221</v>
      </c>
      <c r="S78" s="89" t="s">
        <v>9253</v>
      </c>
      <c r="T78" s="87" t="s">
        <v>1615</v>
      </c>
      <c r="U78" s="87" t="s">
        <v>1708</v>
      </c>
      <c r="V78" s="87" t="s">
        <v>1709</v>
      </c>
      <c r="W78" s="87" t="s">
        <v>9254</v>
      </c>
      <c r="X78" s="2218" t="b">
        <f t="shared" si="6"/>
        <v>0</v>
      </c>
      <c r="Z78" s="242"/>
    </row>
    <row r="79" spans="1:26" ht="12" customHeight="1" x14ac:dyDescent="0.2">
      <c r="A79" s="5889"/>
      <c r="B79" s="5887"/>
      <c r="C79" s="45" t="s">
        <v>9255</v>
      </c>
      <c r="D79" s="87" t="s">
        <v>7750</v>
      </c>
      <c r="E79" s="1291">
        <v>4</v>
      </c>
      <c r="F79" s="1292">
        <v>6</v>
      </c>
      <c r="G79" s="1291">
        <v>10</v>
      </c>
      <c r="H79" s="1291">
        <v>2</v>
      </c>
      <c r="I79" s="1291">
        <v>4</v>
      </c>
      <c r="J79" s="1291">
        <v>7</v>
      </c>
      <c r="K79" s="1291">
        <v>1</v>
      </c>
      <c r="L79" s="2220" t="str">
        <f t="shared" si="7"/>
        <v>Habilidad De Parada+40</v>
      </c>
      <c r="M79" s="242"/>
      <c r="N79" s="5884"/>
      <c r="O79" s="87" t="s">
        <v>3032</v>
      </c>
      <c r="P79" s="87" t="str">
        <f t="shared" si="5"/>
        <v>'Tablas Técnicas'!$D$608:$D$611</v>
      </c>
      <c r="Q79" s="81" t="s">
        <v>2906</v>
      </c>
      <c r="R79" s="81" t="s">
        <v>1240</v>
      </c>
      <c r="S79" s="89" t="s">
        <v>9235</v>
      </c>
      <c r="T79" s="87" t="s">
        <v>1612</v>
      </c>
      <c r="U79" s="87" t="s">
        <v>1708</v>
      </c>
      <c r="V79" s="87" t="s">
        <v>1709</v>
      </c>
      <c r="W79" s="87" t="s">
        <v>9147</v>
      </c>
      <c r="X79" s="2218" t="b">
        <f t="shared" si="6"/>
        <v>0</v>
      </c>
      <c r="Z79" s="242"/>
    </row>
    <row r="80" spans="1:26" ht="12" customHeight="1" x14ac:dyDescent="0.2">
      <c r="A80" s="5889"/>
      <c r="B80" s="5887"/>
      <c r="C80" s="45" t="s">
        <v>9255</v>
      </c>
      <c r="D80" s="87" t="s">
        <v>7751</v>
      </c>
      <c r="E80" s="1291">
        <v>5</v>
      </c>
      <c r="F80" s="1292">
        <v>8</v>
      </c>
      <c r="G80" s="1291">
        <v>15</v>
      </c>
      <c r="H80" s="1291">
        <v>3</v>
      </c>
      <c r="I80" s="1291">
        <v>6</v>
      </c>
      <c r="J80" s="1291">
        <v>11</v>
      </c>
      <c r="K80" s="1291">
        <v>1</v>
      </c>
      <c r="L80" s="2220" t="str">
        <f t="shared" si="7"/>
        <v>Habilidad De Parada+50</v>
      </c>
      <c r="M80" s="242"/>
      <c r="N80" s="5884"/>
      <c r="O80" s="87" t="s">
        <v>9256</v>
      </c>
      <c r="P80" s="87" t="str">
        <f t="shared" si="5"/>
        <v>'Tablas Técnicas'!$D$613:$D$624</v>
      </c>
      <c r="Q80" s="81" t="s">
        <v>2906</v>
      </c>
      <c r="R80" s="81" t="s">
        <v>1240</v>
      </c>
      <c r="S80" s="89" t="s">
        <v>9257</v>
      </c>
      <c r="T80" s="87" t="s">
        <v>1619</v>
      </c>
      <c r="U80" s="87" t="s">
        <v>1713</v>
      </c>
      <c r="V80" s="87" t="s">
        <v>7172</v>
      </c>
      <c r="W80" s="87" t="s">
        <v>9628</v>
      </c>
      <c r="X80" s="2218" t="b">
        <f t="shared" si="6"/>
        <v>0</v>
      </c>
      <c r="Z80" s="242"/>
    </row>
    <row r="81" spans="1:26" ht="12" customHeight="1" x14ac:dyDescent="0.2">
      <c r="A81" s="5889"/>
      <c r="B81" s="5887"/>
      <c r="C81" s="45" t="s">
        <v>9255</v>
      </c>
      <c r="D81" s="87" t="s">
        <v>9125</v>
      </c>
      <c r="E81" s="1291">
        <v>9</v>
      </c>
      <c r="F81" s="1292">
        <v>12</v>
      </c>
      <c r="G81" s="1291">
        <v>20</v>
      </c>
      <c r="H81" s="1291">
        <v>4</v>
      </c>
      <c r="I81" s="1291">
        <v>8</v>
      </c>
      <c r="J81" s="1291">
        <v>14</v>
      </c>
      <c r="K81" s="1291">
        <v>1</v>
      </c>
      <c r="L81" s="2220" t="str">
        <f t="shared" si="7"/>
        <v>Habilidad De Parada+75</v>
      </c>
      <c r="M81" s="242"/>
      <c r="N81" s="5884"/>
      <c r="O81" s="87" t="s">
        <v>9258</v>
      </c>
      <c r="P81" s="87" t="str">
        <f t="shared" si="5"/>
        <v>'Tablas Técnicas'!$D$626:$D$633</v>
      </c>
      <c r="Q81" s="81" t="s">
        <v>2909</v>
      </c>
      <c r="R81" s="81" t="s">
        <v>1240</v>
      </c>
      <c r="S81" s="89" t="s">
        <v>9257</v>
      </c>
      <c r="T81" s="87" t="s">
        <v>1619</v>
      </c>
      <c r="U81" s="87" t="s">
        <v>1713</v>
      </c>
      <c r="V81" s="87" t="s">
        <v>7172</v>
      </c>
      <c r="W81" s="87" t="s">
        <v>9628</v>
      </c>
      <c r="X81" s="2218" t="b">
        <f t="shared" si="6"/>
        <v>0</v>
      </c>
      <c r="Z81" s="242"/>
    </row>
    <row r="82" spans="1:26" ht="12" customHeight="1" x14ac:dyDescent="0.2">
      <c r="A82" s="5889"/>
      <c r="B82" s="5887"/>
      <c r="C82" s="45" t="s">
        <v>9255</v>
      </c>
      <c r="D82" s="87" t="s">
        <v>9129</v>
      </c>
      <c r="E82" s="1291">
        <v>12</v>
      </c>
      <c r="F82" s="1292">
        <v>15</v>
      </c>
      <c r="G82" s="1291">
        <v>25</v>
      </c>
      <c r="H82" s="1291">
        <v>5</v>
      </c>
      <c r="I82" s="1291">
        <v>10</v>
      </c>
      <c r="J82" s="1291">
        <v>18</v>
      </c>
      <c r="K82" s="1291">
        <v>1</v>
      </c>
      <c r="L82" s="2220" t="str">
        <f t="shared" si="7"/>
        <v>Habilidad De Parada+90</v>
      </c>
      <c r="M82" s="242"/>
      <c r="N82" s="5884"/>
      <c r="O82" s="87" t="s">
        <v>3263</v>
      </c>
      <c r="P82" s="87" t="str">
        <f t="shared" si="5"/>
        <v>'Tablas Técnicas'!$D$635:$D$637</v>
      </c>
      <c r="Q82" s="87" t="s">
        <v>2906</v>
      </c>
      <c r="R82" s="87" t="s">
        <v>1574</v>
      </c>
      <c r="S82" s="87" t="s">
        <v>9259</v>
      </c>
      <c r="T82" s="87" t="s">
        <v>1615</v>
      </c>
      <c r="U82" s="87" t="s">
        <v>1708</v>
      </c>
      <c r="V82" s="87" t="s">
        <v>1709</v>
      </c>
      <c r="W82" s="87" t="s">
        <v>9254</v>
      </c>
      <c r="X82" s="2218" t="b">
        <f>IFERROR(IF(VLOOKUP(T82,$Z$25:$AA$30,2,0),TRUE,IF(VLOOKUP(U82,$Z$25:$AA$30,2,0),TRUE,IF(VLOOKUP(V82,$Z$25:$AA$30,2,0),TRUE,FALSE))),FALSE)</f>
        <v>0</v>
      </c>
      <c r="Z82" s="242"/>
    </row>
    <row r="83" spans="1:26" ht="12" customHeight="1" x14ac:dyDescent="0.2">
      <c r="A83" s="5889"/>
      <c r="B83" s="5887"/>
      <c r="C83" s="45" t="s">
        <v>9255</v>
      </c>
      <c r="D83" s="87" t="s">
        <v>9132</v>
      </c>
      <c r="E83" s="1291">
        <v>14</v>
      </c>
      <c r="F83" s="1292">
        <v>18</v>
      </c>
      <c r="G83" s="1291">
        <v>30</v>
      </c>
      <c r="H83" s="1291">
        <v>8</v>
      </c>
      <c r="I83" s="1291">
        <v>16</v>
      </c>
      <c r="J83" s="1291">
        <v>28</v>
      </c>
      <c r="K83" s="1291">
        <v>1</v>
      </c>
      <c r="L83" s="2220" t="str">
        <f t="shared" si="7"/>
        <v>Habilidad De Parada+100</v>
      </c>
      <c r="M83" s="242"/>
      <c r="N83" s="5884"/>
      <c r="O83" s="87" t="s">
        <v>9881</v>
      </c>
      <c r="P83" s="87"/>
      <c r="Q83" s="87"/>
      <c r="R83" s="87"/>
      <c r="S83" s="87"/>
      <c r="T83" s="87"/>
      <c r="U83" s="87"/>
      <c r="V83" s="87"/>
      <c r="W83" s="87"/>
      <c r="X83" s="2218"/>
    </row>
    <row r="84" spans="1:26" ht="12" customHeight="1" x14ac:dyDescent="0.2">
      <c r="A84" s="5889"/>
      <c r="B84" s="5887"/>
      <c r="C84" s="45" t="s">
        <v>9255</v>
      </c>
      <c r="D84" s="87" t="s">
        <v>9133</v>
      </c>
      <c r="E84" s="1291">
        <v>18</v>
      </c>
      <c r="F84" s="1292">
        <v>22</v>
      </c>
      <c r="G84" s="1291">
        <v>35</v>
      </c>
      <c r="H84" s="1291">
        <v>10</v>
      </c>
      <c r="I84" s="1291">
        <v>20</v>
      </c>
      <c r="J84" s="1291">
        <v>35</v>
      </c>
      <c r="K84" s="1291">
        <v>2</v>
      </c>
      <c r="L84" s="2220" t="str">
        <f t="shared" si="7"/>
        <v>Habilidad De Parada+125</v>
      </c>
      <c r="M84" s="242"/>
      <c r="N84" s="5884"/>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8" t="b">
        <f>IFERROR(IF(VLOOKUP(T84,$Z$25:$AA$30,2,0),TRUE,IF(VLOOKUP(U84,$Z$25:$AA$30,2,0),TRUE,IF(VLOOKUP(V84,$Z$25:$AA$30,2,0),TRUE,FALSE))),FALSE)</f>
        <v>0</v>
      </c>
    </row>
    <row r="85" spans="1:26" ht="12" customHeight="1" x14ac:dyDescent="0.2">
      <c r="A85" s="5889"/>
      <c r="B85" s="5887"/>
      <c r="C85" s="45" t="s">
        <v>9255</v>
      </c>
      <c r="D85" s="87" t="s">
        <v>9135</v>
      </c>
      <c r="E85" s="1291">
        <v>22</v>
      </c>
      <c r="F85" s="1292">
        <v>26</v>
      </c>
      <c r="G85" s="1291">
        <v>40</v>
      </c>
      <c r="H85" s="1291">
        <v>12</v>
      </c>
      <c r="I85" s="1291">
        <v>24</v>
      </c>
      <c r="J85" s="1291">
        <v>42</v>
      </c>
      <c r="K85" s="1291">
        <v>2</v>
      </c>
      <c r="L85" s="2220" t="str">
        <f t="shared" si="7"/>
        <v>Habilidad De Parada+150</v>
      </c>
      <c r="M85" s="242"/>
      <c r="N85" s="5884"/>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8" t="b">
        <f t="shared" ref="X85:X88" si="9">IFERROR(IF(VLOOKUP(T85,$Z$25:$AA$30,2,0),TRUE,IF(VLOOKUP(U85,$Z$25:$AA$30,2,0),TRUE,IF(VLOOKUP(V85,$Z$25:$AA$30,2,0),TRUE,FALSE))),FALSE)</f>
        <v>0</v>
      </c>
    </row>
    <row r="86" spans="1:26" ht="12" customHeight="1" x14ac:dyDescent="0.2">
      <c r="A86" s="5889"/>
      <c r="B86" s="5887"/>
      <c r="C86" s="45" t="s">
        <v>9255</v>
      </c>
      <c r="D86" s="87" t="s">
        <v>9138</v>
      </c>
      <c r="E86" s="1291">
        <v>26</v>
      </c>
      <c r="F86" s="1292">
        <v>32</v>
      </c>
      <c r="G86" s="1291">
        <v>45</v>
      </c>
      <c r="H86" s="1291">
        <v>14</v>
      </c>
      <c r="I86" s="1291">
        <v>28</v>
      </c>
      <c r="J86" s="1291">
        <v>49</v>
      </c>
      <c r="K86" s="1291">
        <v>3</v>
      </c>
      <c r="L86" s="2220" t="str">
        <f t="shared" si="7"/>
        <v>Habilidad De Parada+175</v>
      </c>
      <c r="M86" s="242"/>
      <c r="N86" s="5884"/>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8" t="b">
        <f t="shared" si="9"/>
        <v>0</v>
      </c>
    </row>
    <row r="87" spans="1:26" ht="12" customHeight="1" x14ac:dyDescent="0.2">
      <c r="A87" s="5889"/>
      <c r="B87" s="5887"/>
      <c r="C87" s="45" t="s">
        <v>9255</v>
      </c>
      <c r="D87" s="87" t="s">
        <v>9140</v>
      </c>
      <c r="E87" s="1291">
        <v>30</v>
      </c>
      <c r="F87" s="1292">
        <v>36</v>
      </c>
      <c r="G87" s="1291">
        <v>50</v>
      </c>
      <c r="H87" s="1291">
        <v>16</v>
      </c>
      <c r="I87" s="1291">
        <v>32</v>
      </c>
      <c r="J87" s="1291">
        <v>56</v>
      </c>
      <c r="K87" s="1291">
        <v>3</v>
      </c>
      <c r="L87" s="2220" t="str">
        <f t="shared" si="7"/>
        <v>Habilidad De Parada+200</v>
      </c>
      <c r="M87" s="242"/>
      <c r="N87" s="5884"/>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8" t="b">
        <f t="shared" si="9"/>
        <v>0</v>
      </c>
    </row>
    <row r="88" spans="1:26" ht="12" customHeight="1" thickBot="1" x14ac:dyDescent="0.25">
      <c r="A88" s="5889"/>
      <c r="B88" s="5887"/>
      <c r="C88" s="45" t="s">
        <v>9263</v>
      </c>
      <c r="D88" s="87"/>
      <c r="E88" s="1291"/>
      <c r="F88" s="1292"/>
      <c r="G88" s="1291"/>
      <c r="H88" s="1291"/>
      <c r="I88" s="1291"/>
      <c r="J88" s="1291"/>
      <c r="K88" s="1291"/>
      <c r="L88" s="2220" t="str">
        <f t="shared" si="7"/>
        <v>&gt; HABILIDAD DE PARADA COMPLETA</v>
      </c>
      <c r="M88" s="242"/>
      <c r="N88" s="5885"/>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3" t="b">
        <f t="shared" si="9"/>
        <v>0</v>
      </c>
      <c r="Z88" s="242"/>
    </row>
    <row r="89" spans="1:26" ht="12" customHeight="1" x14ac:dyDescent="0.2">
      <c r="A89" s="5889"/>
      <c r="B89" s="5887"/>
      <c r="C89" s="45" t="s">
        <v>9265</v>
      </c>
      <c r="D89" s="87" t="s">
        <v>7748</v>
      </c>
      <c r="E89" s="1291">
        <v>4</v>
      </c>
      <c r="F89" s="1292">
        <v>6</v>
      </c>
      <c r="G89" s="1291">
        <v>10</v>
      </c>
      <c r="H89" s="1291">
        <v>2</v>
      </c>
      <c r="I89" s="1291">
        <v>4</v>
      </c>
      <c r="J89" s="1291">
        <v>7</v>
      </c>
      <c r="K89" s="1291">
        <v>1</v>
      </c>
      <c r="L89" s="2220" t="str">
        <f t="shared" si="7"/>
        <v>Habilidad De Parada Completa+10</v>
      </c>
      <c r="M89" s="242"/>
      <c r="Z89" s="242"/>
    </row>
    <row r="90" spans="1:26" ht="12" customHeight="1" x14ac:dyDescent="0.2">
      <c r="A90" s="5889"/>
      <c r="B90" s="5887"/>
      <c r="C90" s="45" t="s">
        <v>9265</v>
      </c>
      <c r="D90" s="87" t="s">
        <v>7892</v>
      </c>
      <c r="E90" s="1291">
        <v>6</v>
      </c>
      <c r="F90" s="1292">
        <v>9</v>
      </c>
      <c r="G90" s="1291">
        <v>15</v>
      </c>
      <c r="H90" s="1291">
        <v>4</v>
      </c>
      <c r="I90" s="1291">
        <v>8</v>
      </c>
      <c r="J90" s="1291">
        <v>14</v>
      </c>
      <c r="K90" s="1291">
        <v>1</v>
      </c>
      <c r="L90" s="2220" t="str">
        <f t="shared" si="7"/>
        <v>Habilidad De Parada Completa+25</v>
      </c>
      <c r="M90" s="242"/>
      <c r="Z90" s="242"/>
    </row>
    <row r="91" spans="1:26" ht="12" customHeight="1" x14ac:dyDescent="0.2">
      <c r="A91" s="5889"/>
      <c r="B91" s="5887"/>
      <c r="C91" s="45" t="s">
        <v>9265</v>
      </c>
      <c r="D91" s="87" t="s">
        <v>7750</v>
      </c>
      <c r="E91" s="1291">
        <v>9</v>
      </c>
      <c r="F91" s="1292">
        <v>12</v>
      </c>
      <c r="G91" s="1291">
        <v>20</v>
      </c>
      <c r="H91" s="1291">
        <v>6</v>
      </c>
      <c r="I91" s="1291">
        <v>12</v>
      </c>
      <c r="J91" s="1291">
        <v>21</v>
      </c>
      <c r="K91" s="1291">
        <v>1</v>
      </c>
      <c r="L91" s="2220" t="str">
        <f t="shared" si="7"/>
        <v>Habilidad De Parada Completa+40</v>
      </c>
      <c r="M91" s="242"/>
      <c r="Z91" s="242"/>
    </row>
    <row r="92" spans="1:26" ht="12" customHeight="1" x14ac:dyDescent="0.2">
      <c r="A92" s="5889"/>
      <c r="B92" s="5887"/>
      <c r="C92" s="45" t="s">
        <v>9265</v>
      </c>
      <c r="D92" s="87" t="s">
        <v>7751</v>
      </c>
      <c r="E92" s="1291">
        <v>12</v>
      </c>
      <c r="F92" s="1292">
        <v>15</v>
      </c>
      <c r="G92" s="1291">
        <v>35</v>
      </c>
      <c r="H92" s="1291">
        <v>9</v>
      </c>
      <c r="I92" s="1291">
        <v>18</v>
      </c>
      <c r="J92" s="1291">
        <v>32</v>
      </c>
      <c r="K92" s="1291">
        <v>2</v>
      </c>
      <c r="L92" s="2220" t="str">
        <f t="shared" si="7"/>
        <v>Habilidad De Parada Completa+50</v>
      </c>
      <c r="M92" s="242"/>
      <c r="Z92" s="242"/>
    </row>
    <row r="93" spans="1:26" ht="12" customHeight="1" x14ac:dyDescent="0.2">
      <c r="A93" s="5889"/>
      <c r="B93" s="5887"/>
      <c r="C93" s="45" t="s">
        <v>9265</v>
      </c>
      <c r="D93" s="87" t="s">
        <v>9125</v>
      </c>
      <c r="E93" s="1291">
        <v>18</v>
      </c>
      <c r="F93" s="1292">
        <v>22</v>
      </c>
      <c r="G93" s="1291">
        <v>50</v>
      </c>
      <c r="H93" s="1291">
        <v>12</v>
      </c>
      <c r="I93" s="1291">
        <v>24</v>
      </c>
      <c r="J93" s="1291">
        <v>42</v>
      </c>
      <c r="K93" s="1291">
        <v>2</v>
      </c>
      <c r="L93" s="2220" t="str">
        <f t="shared" si="7"/>
        <v>Habilidad De Parada Completa+75</v>
      </c>
      <c r="M93" s="242"/>
      <c r="Z93" s="242"/>
    </row>
    <row r="94" spans="1:26" ht="12" customHeight="1" x14ac:dyDescent="0.2">
      <c r="A94" s="5889"/>
      <c r="B94" s="5887"/>
      <c r="C94" s="45" t="s">
        <v>9265</v>
      </c>
      <c r="D94" s="87" t="s">
        <v>9129</v>
      </c>
      <c r="E94" s="1291">
        <v>26</v>
      </c>
      <c r="F94" s="1292">
        <v>32</v>
      </c>
      <c r="G94" s="1291">
        <v>65</v>
      </c>
      <c r="H94" s="1291">
        <v>15</v>
      </c>
      <c r="I94" s="1291">
        <v>30</v>
      </c>
      <c r="J94" s="1291">
        <v>53</v>
      </c>
      <c r="K94" s="1291">
        <v>3</v>
      </c>
      <c r="L94" s="2220" t="str">
        <f t="shared" si="7"/>
        <v>Habilidad De Parada Completa+90</v>
      </c>
      <c r="M94" s="242"/>
      <c r="Z94" s="242"/>
    </row>
    <row r="95" spans="1:26" ht="12" customHeight="1" x14ac:dyDescent="0.2">
      <c r="A95" s="5889"/>
      <c r="B95" s="5887"/>
      <c r="C95" s="45" t="s">
        <v>9265</v>
      </c>
      <c r="D95" s="87" t="s">
        <v>9132</v>
      </c>
      <c r="E95" s="1291">
        <v>30</v>
      </c>
      <c r="F95" s="1292">
        <v>36</v>
      </c>
      <c r="G95" s="1291">
        <v>75</v>
      </c>
      <c r="H95" s="1291">
        <v>18</v>
      </c>
      <c r="I95" s="1291">
        <v>36</v>
      </c>
      <c r="J95" s="1291">
        <v>63</v>
      </c>
      <c r="K95" s="1291">
        <v>3</v>
      </c>
      <c r="L95" s="2220" t="str">
        <f t="shared" si="7"/>
        <v>Habilidad De Parada Completa+100</v>
      </c>
      <c r="M95" s="242"/>
      <c r="Z95" s="242"/>
    </row>
    <row r="96" spans="1:26" ht="12" customHeight="1" x14ac:dyDescent="0.2">
      <c r="A96" s="5889"/>
      <c r="B96" s="5887"/>
      <c r="C96" s="45" t="s">
        <v>9269</v>
      </c>
      <c r="D96" s="87"/>
      <c r="E96" s="1291"/>
      <c r="F96" s="1292"/>
      <c r="G96" s="1291"/>
      <c r="H96" s="1291"/>
      <c r="I96" s="1291"/>
      <c r="J96" s="1291"/>
      <c r="K96" s="1291"/>
      <c r="L96" s="2220" t="str">
        <f t="shared" si="7"/>
        <v>&gt; HABILIDAD DE PARADA LIMITADA</v>
      </c>
      <c r="M96" s="242"/>
      <c r="Z96" s="242"/>
    </row>
    <row r="97" spans="1:26" ht="12" customHeight="1" x14ac:dyDescent="0.2">
      <c r="A97" s="5889"/>
      <c r="B97" s="5887"/>
      <c r="C97" s="45" t="s">
        <v>9271</v>
      </c>
      <c r="D97" s="87" t="s">
        <v>7748</v>
      </c>
      <c r="E97" s="1291">
        <v>1</v>
      </c>
      <c r="F97" s="1292">
        <v>2</v>
      </c>
      <c r="G97" s="1291">
        <v>5</v>
      </c>
      <c r="H97" s="1291">
        <v>1</v>
      </c>
      <c r="I97" s="1291">
        <v>2</v>
      </c>
      <c r="J97" s="1291">
        <v>4</v>
      </c>
      <c r="K97" s="1291">
        <v>1</v>
      </c>
      <c r="L97" s="2220" t="str">
        <f t="shared" si="7"/>
        <v>Habilidad De Parada Limitada+10</v>
      </c>
      <c r="M97" s="242"/>
      <c r="Z97" s="242"/>
    </row>
    <row r="98" spans="1:26" ht="12" customHeight="1" x14ac:dyDescent="0.2">
      <c r="A98" s="5889"/>
      <c r="B98" s="5887"/>
      <c r="C98" s="45" t="s">
        <v>9271</v>
      </c>
      <c r="D98" s="87" t="s">
        <v>7892</v>
      </c>
      <c r="E98" s="1291">
        <v>2</v>
      </c>
      <c r="F98" s="1292">
        <v>4</v>
      </c>
      <c r="G98" s="1291">
        <v>5</v>
      </c>
      <c r="H98" s="1291">
        <v>1</v>
      </c>
      <c r="I98" s="1291">
        <v>2</v>
      </c>
      <c r="J98" s="1291">
        <v>4</v>
      </c>
      <c r="K98" s="1291">
        <v>1</v>
      </c>
      <c r="L98" s="2220" t="str">
        <f t="shared" si="7"/>
        <v>Habilidad De Parada Limitada+25</v>
      </c>
      <c r="M98" s="242"/>
      <c r="Z98" s="242"/>
    </row>
    <row r="99" spans="1:26" ht="12" customHeight="1" x14ac:dyDescent="0.2">
      <c r="A99" s="5889"/>
      <c r="B99" s="5887"/>
      <c r="C99" s="45" t="s">
        <v>9271</v>
      </c>
      <c r="D99" s="87" t="s">
        <v>7750</v>
      </c>
      <c r="E99" s="1291">
        <v>3</v>
      </c>
      <c r="F99" s="1292">
        <v>5</v>
      </c>
      <c r="G99" s="1291">
        <v>10</v>
      </c>
      <c r="H99" s="1291">
        <v>1</v>
      </c>
      <c r="I99" s="1291">
        <v>2</v>
      </c>
      <c r="J99" s="1291">
        <v>4</v>
      </c>
      <c r="K99" s="1291">
        <v>1</v>
      </c>
      <c r="L99" s="2220" t="str">
        <f t="shared" si="7"/>
        <v>Habilidad De Parada Limitada+40</v>
      </c>
      <c r="M99" s="242"/>
      <c r="Z99" s="242"/>
    </row>
    <row r="100" spans="1:26" ht="12" customHeight="1" x14ac:dyDescent="0.2">
      <c r="A100" s="5889"/>
      <c r="B100" s="5887"/>
      <c r="C100" s="45" t="s">
        <v>9271</v>
      </c>
      <c r="D100" s="87" t="s">
        <v>7751</v>
      </c>
      <c r="E100" s="1291">
        <v>4</v>
      </c>
      <c r="F100" s="1292">
        <v>6</v>
      </c>
      <c r="G100" s="1291">
        <v>10</v>
      </c>
      <c r="H100" s="1291">
        <v>2</v>
      </c>
      <c r="I100" s="1291">
        <v>4</v>
      </c>
      <c r="J100" s="1291">
        <v>7</v>
      </c>
      <c r="K100" s="1291">
        <v>1</v>
      </c>
      <c r="L100" s="2220" t="str">
        <f t="shared" si="7"/>
        <v>Habilidad De Parada Limitada+50</v>
      </c>
      <c r="M100" s="242"/>
      <c r="Z100" s="242"/>
    </row>
    <row r="101" spans="1:26" ht="12" customHeight="1" x14ac:dyDescent="0.2">
      <c r="A101" s="5889"/>
      <c r="B101" s="5887"/>
      <c r="C101" s="45" t="s">
        <v>9271</v>
      </c>
      <c r="D101" s="87" t="s">
        <v>9125</v>
      </c>
      <c r="E101" s="1291">
        <v>6</v>
      </c>
      <c r="F101" s="1292">
        <v>9</v>
      </c>
      <c r="G101" s="1291">
        <v>15</v>
      </c>
      <c r="H101" s="1291">
        <v>3</v>
      </c>
      <c r="I101" s="1291">
        <v>6</v>
      </c>
      <c r="J101" s="1291">
        <v>11</v>
      </c>
      <c r="K101" s="1291">
        <v>1</v>
      </c>
      <c r="L101" s="2220" t="str">
        <f t="shared" si="7"/>
        <v>Habilidad De Parada Limitada+75</v>
      </c>
      <c r="M101" s="242"/>
      <c r="Z101" s="242"/>
    </row>
    <row r="102" spans="1:26" ht="12" customHeight="1" x14ac:dyDescent="0.2">
      <c r="A102" s="5889"/>
      <c r="B102" s="5887"/>
      <c r="C102" s="45" t="s">
        <v>9271</v>
      </c>
      <c r="D102" s="87" t="s">
        <v>9129</v>
      </c>
      <c r="E102" s="1291">
        <v>8</v>
      </c>
      <c r="F102" s="1292">
        <v>11</v>
      </c>
      <c r="G102" s="1291">
        <v>20</v>
      </c>
      <c r="H102" s="1291">
        <v>4</v>
      </c>
      <c r="I102" s="1291">
        <v>8</v>
      </c>
      <c r="J102" s="1291">
        <v>14</v>
      </c>
      <c r="K102" s="1291">
        <v>1</v>
      </c>
      <c r="L102" s="2220" t="str">
        <f t="shared" si="7"/>
        <v>Habilidad De Parada Limitada+90</v>
      </c>
      <c r="M102" s="242"/>
      <c r="Z102" s="242"/>
    </row>
    <row r="103" spans="1:26" ht="12" customHeight="1" x14ac:dyDescent="0.2">
      <c r="A103" s="5889"/>
      <c r="B103" s="5887"/>
      <c r="C103" s="45" t="s">
        <v>9271</v>
      </c>
      <c r="D103" s="87" t="s">
        <v>9132</v>
      </c>
      <c r="E103" s="1291">
        <v>10</v>
      </c>
      <c r="F103" s="1292">
        <v>13</v>
      </c>
      <c r="G103" s="1291">
        <v>25</v>
      </c>
      <c r="H103" s="1291">
        <v>6</v>
      </c>
      <c r="I103" s="1291">
        <v>12</v>
      </c>
      <c r="J103" s="1291">
        <v>21</v>
      </c>
      <c r="K103" s="1291">
        <v>1</v>
      </c>
      <c r="L103" s="2220" t="str">
        <f t="shared" si="7"/>
        <v>Habilidad De Parada Limitada+100</v>
      </c>
      <c r="M103" s="242"/>
      <c r="Z103" s="242"/>
    </row>
    <row r="104" spans="1:26" ht="12" customHeight="1" x14ac:dyDescent="0.2">
      <c r="A104" s="5889"/>
      <c r="B104" s="5887"/>
      <c r="C104" s="45" t="s">
        <v>9271</v>
      </c>
      <c r="D104" s="87" t="s">
        <v>9133</v>
      </c>
      <c r="E104" s="1291">
        <v>12</v>
      </c>
      <c r="F104" s="1292">
        <v>15</v>
      </c>
      <c r="G104" s="1291">
        <v>30</v>
      </c>
      <c r="H104" s="1291">
        <v>8</v>
      </c>
      <c r="I104" s="1291">
        <v>16</v>
      </c>
      <c r="J104" s="1291">
        <v>28</v>
      </c>
      <c r="K104" s="1291">
        <v>2</v>
      </c>
      <c r="L104" s="2220" t="str">
        <f t="shared" si="7"/>
        <v>Habilidad De Parada Limitada+125</v>
      </c>
      <c r="M104" s="242"/>
      <c r="Z104" s="242"/>
    </row>
    <row r="105" spans="1:26" ht="12" customHeight="1" x14ac:dyDescent="0.2">
      <c r="A105" s="5889"/>
      <c r="B105" s="5887"/>
      <c r="C105" s="45" t="s">
        <v>9271</v>
      </c>
      <c r="D105" s="87" t="s">
        <v>9135</v>
      </c>
      <c r="E105" s="1291">
        <v>16</v>
      </c>
      <c r="F105" s="1292">
        <v>20</v>
      </c>
      <c r="G105" s="1291">
        <v>35</v>
      </c>
      <c r="H105" s="1291">
        <v>10</v>
      </c>
      <c r="I105" s="1291">
        <v>20</v>
      </c>
      <c r="J105" s="1291">
        <v>35</v>
      </c>
      <c r="K105" s="1291">
        <v>2</v>
      </c>
      <c r="L105" s="2220" t="str">
        <f t="shared" si="7"/>
        <v>Habilidad De Parada Limitada+150</v>
      </c>
      <c r="M105" s="242"/>
      <c r="Z105" s="242"/>
    </row>
    <row r="106" spans="1:26" ht="12" customHeight="1" x14ac:dyDescent="0.2">
      <c r="A106" s="5889"/>
      <c r="B106" s="5887"/>
      <c r="C106" s="45" t="s">
        <v>9271</v>
      </c>
      <c r="D106" s="87" t="s">
        <v>9138</v>
      </c>
      <c r="E106" s="1291">
        <v>20</v>
      </c>
      <c r="F106" s="1292">
        <v>24</v>
      </c>
      <c r="G106" s="1291">
        <v>40</v>
      </c>
      <c r="H106" s="1291">
        <v>12</v>
      </c>
      <c r="I106" s="1291">
        <v>24</v>
      </c>
      <c r="J106" s="1291">
        <v>42</v>
      </c>
      <c r="K106" s="1291">
        <v>3</v>
      </c>
      <c r="L106" s="2220" t="str">
        <f t="shared" si="7"/>
        <v>Habilidad De Parada Limitada+175</v>
      </c>
      <c r="M106" s="242"/>
      <c r="Z106" s="242"/>
    </row>
    <row r="107" spans="1:26" ht="12" customHeight="1" x14ac:dyDescent="0.2">
      <c r="A107" s="5889"/>
      <c r="B107" s="5887"/>
      <c r="C107" s="45" t="s">
        <v>9271</v>
      </c>
      <c r="D107" s="87" t="s">
        <v>9140</v>
      </c>
      <c r="E107" s="1291">
        <v>24</v>
      </c>
      <c r="F107" s="1292">
        <v>29</v>
      </c>
      <c r="G107" s="1291">
        <v>45</v>
      </c>
      <c r="H107" s="1291">
        <v>14</v>
      </c>
      <c r="I107" s="1291">
        <v>28</v>
      </c>
      <c r="J107" s="1291">
        <v>49</v>
      </c>
      <c r="K107" s="1291">
        <v>3</v>
      </c>
      <c r="L107" s="2220" t="str">
        <f t="shared" si="7"/>
        <v>Habilidad De Parada Limitada+200</v>
      </c>
      <c r="M107" s="242"/>
      <c r="Z107" s="242"/>
    </row>
    <row r="108" spans="1:26" ht="12" customHeight="1" x14ac:dyDescent="0.2">
      <c r="A108" s="5889"/>
      <c r="B108" s="5887"/>
      <c r="C108" s="45" t="s">
        <v>9280</v>
      </c>
      <c r="D108" s="87"/>
      <c r="E108" s="1291"/>
      <c r="F108" s="1292"/>
      <c r="G108" s="1291"/>
      <c r="H108" s="1291"/>
      <c r="I108" s="1291"/>
      <c r="J108" s="1291"/>
      <c r="K108" s="1291"/>
      <c r="L108" s="2220" t="str">
        <f t="shared" si="7"/>
        <v>&gt; HABILIDAD DE ESQUIVA</v>
      </c>
      <c r="M108" s="242"/>
      <c r="Z108" s="242"/>
    </row>
    <row r="109" spans="1:26" ht="12" customHeight="1" x14ac:dyDescent="0.2">
      <c r="A109" s="5889"/>
      <c r="B109" s="5887"/>
      <c r="C109" s="45" t="s">
        <v>9281</v>
      </c>
      <c r="D109" s="87" t="s">
        <v>7748</v>
      </c>
      <c r="E109" s="1291">
        <v>2</v>
      </c>
      <c r="F109" s="1292">
        <v>4</v>
      </c>
      <c r="G109" s="1291">
        <v>5</v>
      </c>
      <c r="H109" s="1291">
        <v>1</v>
      </c>
      <c r="I109" s="1291">
        <v>2</v>
      </c>
      <c r="J109" s="1291">
        <v>4</v>
      </c>
      <c r="K109" s="1291">
        <v>1</v>
      </c>
      <c r="L109" s="2220" t="str">
        <f t="shared" si="7"/>
        <v>Habilidad De Esquiva+10</v>
      </c>
      <c r="M109" s="242"/>
      <c r="Z109" s="242"/>
    </row>
    <row r="110" spans="1:26" ht="12" customHeight="1" x14ac:dyDescent="0.2">
      <c r="A110" s="5889"/>
      <c r="B110" s="5887"/>
      <c r="C110" s="45" t="s">
        <v>9281</v>
      </c>
      <c r="D110" s="87" t="s">
        <v>7892</v>
      </c>
      <c r="E110" s="1291">
        <v>3</v>
      </c>
      <c r="F110" s="1292">
        <v>5</v>
      </c>
      <c r="G110" s="1291">
        <v>5</v>
      </c>
      <c r="H110" s="1291">
        <v>1</v>
      </c>
      <c r="I110" s="1291">
        <v>2</v>
      </c>
      <c r="J110" s="1291">
        <v>4</v>
      </c>
      <c r="K110" s="1291">
        <v>1</v>
      </c>
      <c r="L110" s="2220" t="str">
        <f t="shared" si="7"/>
        <v>Habilidad De Esquiva+25</v>
      </c>
      <c r="M110" s="242"/>
      <c r="Z110" s="242"/>
    </row>
    <row r="111" spans="1:26" ht="12" customHeight="1" x14ac:dyDescent="0.2">
      <c r="A111" s="5889"/>
      <c r="B111" s="5887"/>
      <c r="C111" s="45" t="s">
        <v>9281</v>
      </c>
      <c r="D111" s="87" t="s">
        <v>7750</v>
      </c>
      <c r="E111" s="1291">
        <v>4</v>
      </c>
      <c r="F111" s="1292">
        <v>6</v>
      </c>
      <c r="G111" s="1291">
        <v>10</v>
      </c>
      <c r="H111" s="1291">
        <v>2</v>
      </c>
      <c r="I111" s="1291">
        <v>4</v>
      </c>
      <c r="J111" s="1291">
        <v>7</v>
      </c>
      <c r="K111" s="1291">
        <v>1</v>
      </c>
      <c r="L111" s="2220" t="str">
        <f t="shared" si="7"/>
        <v>Habilidad De Esquiva+40</v>
      </c>
      <c r="M111" s="242"/>
      <c r="Z111" s="242"/>
    </row>
    <row r="112" spans="1:26" ht="12" customHeight="1" x14ac:dyDescent="0.2">
      <c r="A112" s="5889"/>
      <c r="B112" s="5887"/>
      <c r="C112" s="45" t="s">
        <v>9281</v>
      </c>
      <c r="D112" s="87" t="s">
        <v>7751</v>
      </c>
      <c r="E112" s="1291">
        <v>5</v>
      </c>
      <c r="F112" s="1292">
        <v>8</v>
      </c>
      <c r="G112" s="1291">
        <v>15</v>
      </c>
      <c r="H112" s="1291">
        <v>3</v>
      </c>
      <c r="I112" s="1291">
        <v>6</v>
      </c>
      <c r="J112" s="1291">
        <v>11</v>
      </c>
      <c r="K112" s="1291">
        <v>1</v>
      </c>
      <c r="L112" s="2220" t="str">
        <f t="shared" si="7"/>
        <v>Habilidad De Esquiva+50</v>
      </c>
      <c r="M112" s="242"/>
      <c r="Z112" s="242"/>
    </row>
    <row r="113" spans="1:26" ht="12" customHeight="1" x14ac:dyDescent="0.2">
      <c r="A113" s="5889"/>
      <c r="B113" s="5887"/>
      <c r="C113" s="45" t="s">
        <v>9281</v>
      </c>
      <c r="D113" s="87" t="s">
        <v>9125</v>
      </c>
      <c r="E113" s="1291">
        <v>8</v>
      </c>
      <c r="F113" s="1292">
        <v>11</v>
      </c>
      <c r="G113" s="1291">
        <v>20</v>
      </c>
      <c r="H113" s="1291">
        <v>4</v>
      </c>
      <c r="I113" s="1291">
        <v>8</v>
      </c>
      <c r="J113" s="1291">
        <v>14</v>
      </c>
      <c r="K113" s="1291">
        <v>1</v>
      </c>
      <c r="L113" s="2220" t="str">
        <f t="shared" si="7"/>
        <v>Habilidad De Esquiva+75</v>
      </c>
      <c r="M113" s="242"/>
      <c r="Z113" s="242"/>
    </row>
    <row r="114" spans="1:26" ht="12" customHeight="1" x14ac:dyDescent="0.2">
      <c r="A114" s="5889"/>
      <c r="B114" s="5887"/>
      <c r="C114" s="45" t="s">
        <v>9281</v>
      </c>
      <c r="D114" s="87" t="s">
        <v>9129</v>
      </c>
      <c r="E114" s="1291">
        <v>12</v>
      </c>
      <c r="F114" s="1292">
        <v>15</v>
      </c>
      <c r="G114" s="1291">
        <v>25</v>
      </c>
      <c r="H114" s="1291">
        <v>5</v>
      </c>
      <c r="I114" s="1291">
        <v>10</v>
      </c>
      <c r="J114" s="1291">
        <v>18</v>
      </c>
      <c r="K114" s="1291">
        <v>1</v>
      </c>
      <c r="L114" s="2220" t="str">
        <f t="shared" si="7"/>
        <v>Habilidad De Esquiva+90</v>
      </c>
      <c r="M114" s="242"/>
      <c r="Z114" s="242"/>
    </row>
    <row r="115" spans="1:26" ht="12" customHeight="1" x14ac:dyDescent="0.2">
      <c r="A115" s="5889"/>
      <c r="B115" s="5887"/>
      <c r="C115" s="45" t="s">
        <v>9281</v>
      </c>
      <c r="D115" s="87" t="s">
        <v>9132</v>
      </c>
      <c r="E115" s="1291">
        <v>14</v>
      </c>
      <c r="F115" s="1292">
        <v>18</v>
      </c>
      <c r="G115" s="1291">
        <v>30</v>
      </c>
      <c r="H115" s="1291">
        <v>8</v>
      </c>
      <c r="I115" s="1291">
        <v>16</v>
      </c>
      <c r="J115" s="1291">
        <v>28</v>
      </c>
      <c r="K115" s="1291">
        <v>1</v>
      </c>
      <c r="L115" s="2220" t="str">
        <f t="shared" si="7"/>
        <v>Habilidad De Esquiva+100</v>
      </c>
      <c r="M115" s="242"/>
      <c r="Z115" s="242"/>
    </row>
    <row r="116" spans="1:26" ht="12" customHeight="1" x14ac:dyDescent="0.2">
      <c r="A116" s="5889"/>
      <c r="B116" s="5887"/>
      <c r="C116" s="45" t="s">
        <v>9281</v>
      </c>
      <c r="D116" s="87" t="s">
        <v>9133</v>
      </c>
      <c r="E116" s="1291">
        <v>18</v>
      </c>
      <c r="F116" s="1292">
        <v>22</v>
      </c>
      <c r="G116" s="1291">
        <v>35</v>
      </c>
      <c r="H116" s="1291">
        <v>10</v>
      </c>
      <c r="I116" s="1291">
        <v>20</v>
      </c>
      <c r="J116" s="1291">
        <v>35</v>
      </c>
      <c r="K116" s="1291">
        <v>2</v>
      </c>
      <c r="L116" s="2220" t="str">
        <f t="shared" si="7"/>
        <v>Habilidad De Esquiva+125</v>
      </c>
      <c r="M116" s="242"/>
      <c r="Z116" s="242"/>
    </row>
    <row r="117" spans="1:26" ht="12" customHeight="1" x14ac:dyDescent="0.2">
      <c r="A117" s="5889"/>
      <c r="B117" s="5887"/>
      <c r="C117" s="45" t="s">
        <v>9281</v>
      </c>
      <c r="D117" s="87" t="s">
        <v>9135</v>
      </c>
      <c r="E117" s="1291">
        <v>22</v>
      </c>
      <c r="F117" s="1292">
        <v>26</v>
      </c>
      <c r="G117" s="1291">
        <v>40</v>
      </c>
      <c r="H117" s="1291">
        <v>12</v>
      </c>
      <c r="I117" s="1291">
        <v>24</v>
      </c>
      <c r="J117" s="1291">
        <v>42</v>
      </c>
      <c r="K117" s="1291">
        <v>2</v>
      </c>
      <c r="L117" s="2220" t="str">
        <f t="shared" si="7"/>
        <v>Habilidad De Esquiva+150</v>
      </c>
      <c r="M117" s="242"/>
      <c r="Z117" s="242"/>
    </row>
    <row r="118" spans="1:26" ht="12" customHeight="1" x14ac:dyDescent="0.2">
      <c r="A118" s="5889"/>
      <c r="B118" s="5887"/>
      <c r="C118" s="45" t="s">
        <v>9281</v>
      </c>
      <c r="D118" s="87" t="s">
        <v>9138</v>
      </c>
      <c r="E118" s="1291">
        <v>26</v>
      </c>
      <c r="F118" s="1292">
        <v>32</v>
      </c>
      <c r="G118" s="1291">
        <v>45</v>
      </c>
      <c r="H118" s="1291">
        <v>14</v>
      </c>
      <c r="I118" s="1291">
        <v>28</v>
      </c>
      <c r="J118" s="1291">
        <v>49</v>
      </c>
      <c r="K118" s="1291">
        <v>3</v>
      </c>
      <c r="L118" s="2220" t="str">
        <f t="shared" si="7"/>
        <v>Habilidad De Esquiva+175</v>
      </c>
      <c r="M118" s="242"/>
      <c r="Z118" s="242"/>
    </row>
    <row r="119" spans="1:26" ht="12" customHeight="1" x14ac:dyDescent="0.2">
      <c r="A119" s="5889"/>
      <c r="B119" s="5887"/>
      <c r="C119" s="45" t="s">
        <v>9281</v>
      </c>
      <c r="D119" s="87" t="s">
        <v>9140</v>
      </c>
      <c r="E119" s="1291">
        <v>30</v>
      </c>
      <c r="F119" s="1292">
        <v>36</v>
      </c>
      <c r="G119" s="1291">
        <v>50</v>
      </c>
      <c r="H119" s="1291">
        <v>16</v>
      </c>
      <c r="I119" s="1291">
        <v>32</v>
      </c>
      <c r="J119" s="1291">
        <v>56</v>
      </c>
      <c r="K119" s="1291">
        <v>3</v>
      </c>
      <c r="L119" s="2220" t="str">
        <f t="shared" si="7"/>
        <v>Habilidad De Esquiva+200</v>
      </c>
      <c r="M119" s="242"/>
      <c r="Z119" s="242"/>
    </row>
    <row r="120" spans="1:26" ht="12" customHeight="1" x14ac:dyDescent="0.2">
      <c r="A120" s="5889"/>
      <c r="B120" s="5887"/>
      <c r="C120" s="45" t="s">
        <v>9290</v>
      </c>
      <c r="D120" s="87"/>
      <c r="E120" s="1291"/>
      <c r="F120" s="1292"/>
      <c r="G120" s="1291"/>
      <c r="H120" s="1291"/>
      <c r="I120" s="1291"/>
      <c r="J120" s="1291"/>
      <c r="K120" s="1291"/>
      <c r="L120" s="2220" t="str">
        <f t="shared" si="7"/>
        <v>&gt; HABILIDAD DE ESQUIVA COMPLETA</v>
      </c>
      <c r="M120" s="242"/>
      <c r="Z120" s="242"/>
    </row>
    <row r="121" spans="1:26" ht="12" customHeight="1" x14ac:dyDescent="0.2">
      <c r="A121" s="5889"/>
      <c r="B121" s="5887"/>
      <c r="C121" s="45" t="s">
        <v>9292</v>
      </c>
      <c r="D121" s="87" t="s">
        <v>7748</v>
      </c>
      <c r="E121" s="1291">
        <v>4</v>
      </c>
      <c r="F121" s="1292">
        <v>6</v>
      </c>
      <c r="G121" s="1291">
        <v>10</v>
      </c>
      <c r="H121" s="1291">
        <v>2</v>
      </c>
      <c r="I121" s="1291">
        <v>4</v>
      </c>
      <c r="J121" s="1291">
        <v>7</v>
      </c>
      <c r="K121" s="1291">
        <v>1</v>
      </c>
      <c r="L121" s="2220" t="str">
        <f t="shared" si="7"/>
        <v>Habilidad De Esquiva Completa+10</v>
      </c>
      <c r="M121" s="242"/>
      <c r="Z121" s="242"/>
    </row>
    <row r="122" spans="1:26" ht="12" customHeight="1" x14ac:dyDescent="0.2">
      <c r="A122" s="5889"/>
      <c r="B122" s="5887"/>
      <c r="C122" s="45" t="s">
        <v>9292</v>
      </c>
      <c r="D122" s="87" t="s">
        <v>7892</v>
      </c>
      <c r="E122" s="1291">
        <v>6</v>
      </c>
      <c r="F122" s="1292">
        <v>9</v>
      </c>
      <c r="G122" s="1291">
        <v>15</v>
      </c>
      <c r="H122" s="1291">
        <v>4</v>
      </c>
      <c r="I122" s="1291">
        <v>8</v>
      </c>
      <c r="J122" s="1291">
        <v>14</v>
      </c>
      <c r="K122" s="1291">
        <v>1</v>
      </c>
      <c r="L122" s="2220" t="str">
        <f t="shared" si="7"/>
        <v>Habilidad De Esquiva Completa+25</v>
      </c>
      <c r="M122" s="242"/>
      <c r="Z122" s="242"/>
    </row>
    <row r="123" spans="1:26" ht="12" customHeight="1" x14ac:dyDescent="0.2">
      <c r="A123" s="5889"/>
      <c r="B123" s="5887"/>
      <c r="C123" s="45" t="s">
        <v>9292</v>
      </c>
      <c r="D123" s="87" t="s">
        <v>7750</v>
      </c>
      <c r="E123" s="1291">
        <v>9</v>
      </c>
      <c r="F123" s="1292">
        <v>12</v>
      </c>
      <c r="G123" s="1291">
        <v>20</v>
      </c>
      <c r="H123" s="1291">
        <v>6</v>
      </c>
      <c r="I123" s="1291">
        <v>12</v>
      </c>
      <c r="J123" s="1291">
        <v>21</v>
      </c>
      <c r="K123" s="1291">
        <v>1</v>
      </c>
      <c r="L123" s="2220" t="str">
        <f t="shared" si="7"/>
        <v>Habilidad De Esquiva Completa+40</v>
      </c>
      <c r="M123" s="242"/>
      <c r="Z123" s="242"/>
    </row>
    <row r="124" spans="1:26" ht="12" customHeight="1" x14ac:dyDescent="0.2">
      <c r="A124" s="5889"/>
      <c r="B124" s="5887"/>
      <c r="C124" s="45" t="s">
        <v>9292</v>
      </c>
      <c r="D124" s="87" t="s">
        <v>7751</v>
      </c>
      <c r="E124" s="1291">
        <v>12</v>
      </c>
      <c r="F124" s="1292">
        <v>15</v>
      </c>
      <c r="G124" s="1291">
        <v>35</v>
      </c>
      <c r="H124" s="1291">
        <v>9</v>
      </c>
      <c r="I124" s="1291">
        <v>18</v>
      </c>
      <c r="J124" s="1291">
        <v>32</v>
      </c>
      <c r="K124" s="1291">
        <v>2</v>
      </c>
      <c r="L124" s="2220" t="str">
        <f t="shared" si="7"/>
        <v>Habilidad De Esquiva Completa+50</v>
      </c>
      <c r="M124" s="242"/>
      <c r="Z124" s="242"/>
    </row>
    <row r="125" spans="1:26" ht="12" customHeight="1" x14ac:dyDescent="0.2">
      <c r="A125" s="5889"/>
      <c r="B125" s="5887"/>
      <c r="C125" s="45" t="s">
        <v>9292</v>
      </c>
      <c r="D125" s="87" t="s">
        <v>9125</v>
      </c>
      <c r="E125" s="1291">
        <v>18</v>
      </c>
      <c r="F125" s="1292">
        <v>22</v>
      </c>
      <c r="G125" s="1291">
        <v>50</v>
      </c>
      <c r="H125" s="1291">
        <v>12</v>
      </c>
      <c r="I125" s="1291">
        <v>24</v>
      </c>
      <c r="J125" s="1291">
        <v>42</v>
      </c>
      <c r="K125" s="1291">
        <v>2</v>
      </c>
      <c r="L125" s="2220" t="str">
        <f t="shared" si="7"/>
        <v>Habilidad De Esquiva Completa+75</v>
      </c>
      <c r="M125" s="242"/>
      <c r="Z125" s="242"/>
    </row>
    <row r="126" spans="1:26" ht="12" customHeight="1" x14ac:dyDescent="0.2">
      <c r="A126" s="5889"/>
      <c r="B126" s="5887"/>
      <c r="C126" s="45" t="s">
        <v>9292</v>
      </c>
      <c r="D126" s="87" t="s">
        <v>9129</v>
      </c>
      <c r="E126" s="1291">
        <v>26</v>
      </c>
      <c r="F126" s="1292">
        <v>32</v>
      </c>
      <c r="G126" s="1291">
        <v>65</v>
      </c>
      <c r="H126" s="1291">
        <v>15</v>
      </c>
      <c r="I126" s="1291">
        <v>30</v>
      </c>
      <c r="J126" s="1291">
        <v>53</v>
      </c>
      <c r="K126" s="1291">
        <v>3</v>
      </c>
      <c r="L126" s="2220" t="str">
        <f t="shared" si="7"/>
        <v>Habilidad De Esquiva Completa+90</v>
      </c>
      <c r="M126" s="242"/>
      <c r="Z126" s="242"/>
    </row>
    <row r="127" spans="1:26" ht="12" customHeight="1" x14ac:dyDescent="0.2">
      <c r="A127" s="5889"/>
      <c r="B127" s="5887"/>
      <c r="C127" s="45" t="s">
        <v>9292</v>
      </c>
      <c r="D127" s="87" t="s">
        <v>9132</v>
      </c>
      <c r="E127" s="1291">
        <v>30</v>
      </c>
      <c r="F127" s="1292">
        <v>36</v>
      </c>
      <c r="G127" s="1291">
        <v>75</v>
      </c>
      <c r="H127" s="1291">
        <v>18</v>
      </c>
      <c r="I127" s="1291">
        <v>36</v>
      </c>
      <c r="J127" s="1291">
        <v>63</v>
      </c>
      <c r="K127" s="1291">
        <v>3</v>
      </c>
      <c r="L127" s="2220" t="str">
        <f t="shared" si="7"/>
        <v>Habilidad De Esquiva Completa+100</v>
      </c>
      <c r="M127" s="242"/>
      <c r="Z127" s="242"/>
    </row>
    <row r="128" spans="1:26" ht="12" customHeight="1" x14ac:dyDescent="0.2">
      <c r="A128" s="5889"/>
      <c r="B128" s="5887"/>
      <c r="C128" s="45" t="s">
        <v>9299</v>
      </c>
      <c r="D128" s="87"/>
      <c r="E128" s="1291"/>
      <c r="F128" s="1292"/>
      <c r="G128" s="1291"/>
      <c r="H128" s="1291"/>
      <c r="I128" s="1291"/>
      <c r="J128" s="1291"/>
      <c r="K128" s="1291"/>
      <c r="L128" s="2220" t="str">
        <f t="shared" si="7"/>
        <v>&gt; HABILIDAD DE ESQUIVA LIMITADA</v>
      </c>
      <c r="M128" s="242"/>
      <c r="Z128" s="242"/>
    </row>
    <row r="129" spans="1:26" ht="12" customHeight="1" x14ac:dyDescent="0.2">
      <c r="A129" s="5889"/>
      <c r="B129" s="5887"/>
      <c r="C129" s="45" t="s">
        <v>9301</v>
      </c>
      <c r="D129" s="87" t="s">
        <v>7748</v>
      </c>
      <c r="E129" s="1291">
        <v>1</v>
      </c>
      <c r="F129" s="1292">
        <v>2</v>
      </c>
      <c r="G129" s="1291">
        <v>5</v>
      </c>
      <c r="H129" s="1291">
        <v>1</v>
      </c>
      <c r="I129" s="1291">
        <v>2</v>
      </c>
      <c r="J129" s="1291">
        <v>4</v>
      </c>
      <c r="K129" s="1291">
        <v>1</v>
      </c>
      <c r="L129" s="2220" t="str">
        <f t="shared" si="7"/>
        <v>Habilidad De Esquiva Limitada+10</v>
      </c>
      <c r="M129" s="242"/>
      <c r="Z129" s="242"/>
    </row>
    <row r="130" spans="1:26" ht="12" customHeight="1" x14ac:dyDescent="0.2">
      <c r="A130" s="5889"/>
      <c r="B130" s="5887"/>
      <c r="C130" s="45" t="s">
        <v>9301</v>
      </c>
      <c r="D130" s="87" t="s">
        <v>7892</v>
      </c>
      <c r="E130" s="1291">
        <v>2</v>
      </c>
      <c r="F130" s="1292">
        <v>4</v>
      </c>
      <c r="G130" s="1291">
        <v>5</v>
      </c>
      <c r="H130" s="1291">
        <v>1</v>
      </c>
      <c r="I130" s="1291">
        <v>2</v>
      </c>
      <c r="J130" s="1291">
        <v>4</v>
      </c>
      <c r="K130" s="1291">
        <v>1</v>
      </c>
      <c r="L130" s="2220" t="str">
        <f t="shared" si="7"/>
        <v>Habilidad De Esquiva Limitada+25</v>
      </c>
      <c r="M130" s="242"/>
      <c r="Z130" s="242"/>
    </row>
    <row r="131" spans="1:26" ht="12" customHeight="1" x14ac:dyDescent="0.2">
      <c r="A131" s="5889"/>
      <c r="B131" s="5887"/>
      <c r="C131" s="45" t="s">
        <v>9301</v>
      </c>
      <c r="D131" s="87" t="s">
        <v>7750</v>
      </c>
      <c r="E131" s="1291">
        <v>3</v>
      </c>
      <c r="F131" s="1292">
        <v>5</v>
      </c>
      <c r="G131" s="1291">
        <v>10</v>
      </c>
      <c r="H131" s="1291">
        <v>1</v>
      </c>
      <c r="I131" s="1291">
        <v>2</v>
      </c>
      <c r="J131" s="1291">
        <v>4</v>
      </c>
      <c r="K131" s="1291">
        <v>1</v>
      </c>
      <c r="L131" s="2220" t="str">
        <f t="shared" si="7"/>
        <v>Habilidad De Esquiva Limitada+40</v>
      </c>
      <c r="M131" s="242"/>
      <c r="Z131" s="242"/>
    </row>
    <row r="132" spans="1:26" ht="12" customHeight="1" x14ac:dyDescent="0.2">
      <c r="A132" s="5889"/>
      <c r="B132" s="5887"/>
      <c r="C132" s="45" t="s">
        <v>9301</v>
      </c>
      <c r="D132" s="87" t="s">
        <v>7751</v>
      </c>
      <c r="E132" s="1291">
        <v>4</v>
      </c>
      <c r="F132" s="1292">
        <v>6</v>
      </c>
      <c r="G132" s="1291">
        <v>10</v>
      </c>
      <c r="H132" s="1291">
        <v>2</v>
      </c>
      <c r="I132" s="1291">
        <v>4</v>
      </c>
      <c r="J132" s="1291">
        <v>7</v>
      </c>
      <c r="K132" s="1291">
        <v>1</v>
      </c>
      <c r="L132" s="2220" t="str">
        <f t="shared" si="7"/>
        <v>Habilidad De Esquiva Limitada+50</v>
      </c>
      <c r="M132" s="242"/>
      <c r="Z132" s="242"/>
    </row>
    <row r="133" spans="1:26" ht="12" customHeight="1" x14ac:dyDescent="0.2">
      <c r="A133" s="5889"/>
      <c r="B133" s="5887"/>
      <c r="C133" s="45" t="s">
        <v>9301</v>
      </c>
      <c r="D133" s="87" t="s">
        <v>9125</v>
      </c>
      <c r="E133" s="1291">
        <v>6</v>
      </c>
      <c r="F133" s="1292">
        <v>9</v>
      </c>
      <c r="G133" s="1291">
        <v>15</v>
      </c>
      <c r="H133" s="1291">
        <v>3</v>
      </c>
      <c r="I133" s="1291">
        <v>6</v>
      </c>
      <c r="J133" s="1291">
        <v>11</v>
      </c>
      <c r="K133" s="1291">
        <v>1</v>
      </c>
      <c r="L133" s="2220" t="str">
        <f t="shared" si="7"/>
        <v>Habilidad De Esquiva Limitada+75</v>
      </c>
      <c r="M133" s="242"/>
      <c r="Z133" s="242"/>
    </row>
    <row r="134" spans="1:26" ht="12" customHeight="1" x14ac:dyDescent="0.2">
      <c r="A134" s="5889"/>
      <c r="B134" s="5887"/>
      <c r="C134" s="45" t="s">
        <v>9301</v>
      </c>
      <c r="D134" s="87" t="s">
        <v>9129</v>
      </c>
      <c r="E134" s="1291">
        <v>8</v>
      </c>
      <c r="F134" s="1292">
        <v>11</v>
      </c>
      <c r="G134" s="1291">
        <v>20</v>
      </c>
      <c r="H134" s="1291">
        <v>4</v>
      </c>
      <c r="I134" s="1291">
        <v>8</v>
      </c>
      <c r="J134" s="1291">
        <v>14</v>
      </c>
      <c r="K134" s="1291">
        <v>1</v>
      </c>
      <c r="L134" s="2220" t="str">
        <f t="shared" si="7"/>
        <v>Habilidad De Esquiva Limitada+90</v>
      </c>
      <c r="M134" s="242"/>
      <c r="Z134" s="242"/>
    </row>
    <row r="135" spans="1:26" ht="12" customHeight="1" x14ac:dyDescent="0.2">
      <c r="A135" s="5889"/>
      <c r="B135" s="5887"/>
      <c r="C135" s="45" t="s">
        <v>9301</v>
      </c>
      <c r="D135" s="87" t="s">
        <v>9132</v>
      </c>
      <c r="E135" s="1291">
        <v>10</v>
      </c>
      <c r="F135" s="1292">
        <v>13</v>
      </c>
      <c r="G135" s="1291">
        <v>25</v>
      </c>
      <c r="H135" s="1291">
        <v>6</v>
      </c>
      <c r="I135" s="1291">
        <v>12</v>
      </c>
      <c r="J135" s="1291">
        <v>21</v>
      </c>
      <c r="K135" s="1291">
        <v>1</v>
      </c>
      <c r="L135" s="2220" t="str">
        <f t="shared" si="7"/>
        <v>Habilidad De Esquiva Limitada+100</v>
      </c>
      <c r="M135" s="242"/>
      <c r="Z135" s="242"/>
    </row>
    <row r="136" spans="1:26" ht="12" customHeight="1" x14ac:dyDescent="0.2">
      <c r="A136" s="5889"/>
      <c r="B136" s="5887"/>
      <c r="C136" s="45" t="s">
        <v>9301</v>
      </c>
      <c r="D136" s="87" t="s">
        <v>9133</v>
      </c>
      <c r="E136" s="1291">
        <v>12</v>
      </c>
      <c r="F136" s="1292">
        <v>15</v>
      </c>
      <c r="G136" s="1291">
        <v>30</v>
      </c>
      <c r="H136" s="1291">
        <v>8</v>
      </c>
      <c r="I136" s="1291">
        <v>16</v>
      </c>
      <c r="J136" s="1291">
        <v>28</v>
      </c>
      <c r="K136" s="1291">
        <v>2</v>
      </c>
      <c r="L136" s="2220" t="str">
        <f t="shared" si="7"/>
        <v>Habilidad De Esquiva Limitada+125</v>
      </c>
      <c r="M136" s="242"/>
      <c r="Z136" s="242"/>
    </row>
    <row r="137" spans="1:26" ht="12" customHeight="1" x14ac:dyDescent="0.2">
      <c r="A137" s="5889"/>
      <c r="B137" s="5887"/>
      <c r="C137" s="45" t="s">
        <v>9301</v>
      </c>
      <c r="D137" s="87" t="s">
        <v>9135</v>
      </c>
      <c r="E137" s="1291">
        <v>16</v>
      </c>
      <c r="F137" s="1292">
        <v>20</v>
      </c>
      <c r="G137" s="1291">
        <v>35</v>
      </c>
      <c r="H137" s="1291">
        <v>10</v>
      </c>
      <c r="I137" s="1291">
        <v>20</v>
      </c>
      <c r="J137" s="1291">
        <v>35</v>
      </c>
      <c r="K137" s="1291">
        <v>2</v>
      </c>
      <c r="L137" s="2220" t="str">
        <f t="shared" si="7"/>
        <v>Habilidad De Esquiva Limitada+150</v>
      </c>
      <c r="M137" s="242"/>
      <c r="Z137" s="242"/>
    </row>
    <row r="138" spans="1:26" ht="12" customHeight="1" x14ac:dyDescent="0.2">
      <c r="A138" s="5889"/>
      <c r="B138" s="5887"/>
      <c r="C138" s="45" t="s">
        <v>9301</v>
      </c>
      <c r="D138" s="87" t="s">
        <v>9138</v>
      </c>
      <c r="E138" s="1291">
        <v>20</v>
      </c>
      <c r="F138" s="1292">
        <v>24</v>
      </c>
      <c r="G138" s="1291">
        <v>40</v>
      </c>
      <c r="H138" s="1291">
        <v>12</v>
      </c>
      <c r="I138" s="1291">
        <v>24</v>
      </c>
      <c r="J138" s="1291">
        <v>42</v>
      </c>
      <c r="K138" s="1291">
        <v>3</v>
      </c>
      <c r="L138" s="2220" t="str">
        <f t="shared" si="7"/>
        <v>Habilidad De Esquiva Limitada+175</v>
      </c>
      <c r="M138" s="242"/>
      <c r="Z138" s="242"/>
    </row>
    <row r="139" spans="1:26" ht="12" customHeight="1" x14ac:dyDescent="0.2">
      <c r="A139" s="5889"/>
      <c r="B139" s="5887"/>
      <c r="C139" s="45" t="s">
        <v>9301</v>
      </c>
      <c r="D139" s="87" t="s">
        <v>9140</v>
      </c>
      <c r="E139" s="1291">
        <v>24</v>
      </c>
      <c r="F139" s="1292">
        <v>29</v>
      </c>
      <c r="G139" s="1291">
        <v>45</v>
      </c>
      <c r="H139" s="1291">
        <v>14</v>
      </c>
      <c r="I139" s="1291">
        <v>28</v>
      </c>
      <c r="J139" s="1291">
        <v>49</v>
      </c>
      <c r="K139" s="1291">
        <v>3</v>
      </c>
      <c r="L139" s="2220" t="str">
        <f t="shared" ref="L139:L202" si="10">C139&amp;D139</f>
        <v>Habilidad De Esquiva Limitada+200</v>
      </c>
      <c r="M139" s="242"/>
      <c r="Z139" s="242"/>
    </row>
    <row r="140" spans="1:26" ht="12" customHeight="1" x14ac:dyDescent="0.2">
      <c r="A140" s="5889"/>
      <c r="B140" s="5887"/>
      <c r="C140" s="45" t="s">
        <v>9311</v>
      </c>
      <c r="D140" s="87"/>
      <c r="E140" s="1291"/>
      <c r="F140" s="1292"/>
      <c r="G140" s="1291"/>
      <c r="H140" s="1291"/>
      <c r="I140" s="1291"/>
      <c r="J140" s="1291"/>
      <c r="K140" s="1291"/>
      <c r="L140" s="2220" t="str">
        <f t="shared" si="10"/>
        <v>&gt; DEFENSA PREDETERMINADA</v>
      </c>
      <c r="M140" s="242"/>
      <c r="Z140" s="242"/>
    </row>
    <row r="141" spans="1:26" ht="12" customHeight="1" x14ac:dyDescent="0.2">
      <c r="A141" s="5889"/>
      <c r="B141" s="5887"/>
      <c r="C141" s="45" t="s">
        <v>9148</v>
      </c>
      <c r="D141" s="87" t="s">
        <v>9160</v>
      </c>
      <c r="E141" s="1291">
        <v>2</v>
      </c>
      <c r="F141" s="1292">
        <v>4</v>
      </c>
      <c r="G141" s="1291">
        <v>5</v>
      </c>
      <c r="H141" s="1291">
        <v>1</v>
      </c>
      <c r="I141" s="1291">
        <v>2</v>
      </c>
      <c r="J141" s="1291">
        <v>4</v>
      </c>
      <c r="K141" s="1291">
        <v>1</v>
      </c>
      <c r="L141" s="2220" t="str">
        <f t="shared" si="10"/>
        <v>Defensa PredeterminadaMedia (80)</v>
      </c>
      <c r="M141" s="242"/>
      <c r="Z141" s="242"/>
    </row>
    <row r="142" spans="1:26" ht="12" customHeight="1" x14ac:dyDescent="0.2">
      <c r="A142" s="5889"/>
      <c r="B142" s="5887"/>
      <c r="C142" s="45" t="s">
        <v>9148</v>
      </c>
      <c r="D142" s="87" t="s">
        <v>9161</v>
      </c>
      <c r="E142" s="1291">
        <v>4</v>
      </c>
      <c r="F142" s="1292">
        <v>6</v>
      </c>
      <c r="G142" s="1291">
        <v>5</v>
      </c>
      <c r="H142" s="1291">
        <v>2</v>
      </c>
      <c r="I142" s="1291">
        <v>4</v>
      </c>
      <c r="J142" s="1291">
        <v>7</v>
      </c>
      <c r="K142" s="1291">
        <v>1</v>
      </c>
      <c r="L142" s="2220" t="str">
        <f t="shared" si="10"/>
        <v>Defensa PredeterminadaDifícil (120)</v>
      </c>
      <c r="M142" s="242"/>
      <c r="Z142" s="242"/>
    </row>
    <row r="143" spans="1:26" ht="12" customHeight="1" x14ac:dyDescent="0.2">
      <c r="A143" s="5889"/>
      <c r="B143" s="5887"/>
      <c r="C143" s="45" t="s">
        <v>9148</v>
      </c>
      <c r="D143" s="87" t="s">
        <v>9164</v>
      </c>
      <c r="E143" s="1291">
        <v>6</v>
      </c>
      <c r="F143" s="1292">
        <v>9</v>
      </c>
      <c r="G143" s="1291">
        <v>5</v>
      </c>
      <c r="H143" s="1291">
        <v>3</v>
      </c>
      <c r="I143" s="1291">
        <v>6</v>
      </c>
      <c r="J143" s="1291">
        <v>11</v>
      </c>
      <c r="K143" s="1291">
        <v>1</v>
      </c>
      <c r="L143" s="2220" t="str">
        <f t="shared" si="10"/>
        <v>Defensa PredeterminadaMuy Difícil (140)</v>
      </c>
      <c r="M143" s="242"/>
      <c r="Z143" s="242"/>
    </row>
    <row r="144" spans="1:26" ht="12" customHeight="1" x14ac:dyDescent="0.2">
      <c r="A144" s="5889"/>
      <c r="B144" s="5887"/>
      <c r="C144" s="45" t="s">
        <v>9148</v>
      </c>
      <c r="D144" s="87" t="s">
        <v>9166</v>
      </c>
      <c r="E144" s="1291">
        <v>8</v>
      </c>
      <c r="F144" s="1292">
        <v>11</v>
      </c>
      <c r="G144" s="1291">
        <v>10</v>
      </c>
      <c r="H144" s="1291">
        <v>4</v>
      </c>
      <c r="I144" s="1291">
        <v>8</v>
      </c>
      <c r="J144" s="1291">
        <v>14</v>
      </c>
      <c r="K144" s="1291">
        <v>1</v>
      </c>
      <c r="L144" s="2220" t="str">
        <f t="shared" si="10"/>
        <v>Defensa PredeterminadaAbsurdo (180)</v>
      </c>
      <c r="M144" s="242"/>
      <c r="Z144" s="242"/>
    </row>
    <row r="145" spans="1:26" ht="12" customHeight="1" x14ac:dyDescent="0.2">
      <c r="A145" s="5889"/>
      <c r="B145" s="5887"/>
      <c r="C145" s="45" t="s">
        <v>9148</v>
      </c>
      <c r="D145" s="87" t="s">
        <v>9169</v>
      </c>
      <c r="E145" s="1291">
        <v>12</v>
      </c>
      <c r="F145" s="1292">
        <v>15</v>
      </c>
      <c r="G145" s="1291">
        <v>15</v>
      </c>
      <c r="H145" s="1291">
        <v>6</v>
      </c>
      <c r="I145" s="1291">
        <v>12</v>
      </c>
      <c r="J145" s="1291">
        <v>21</v>
      </c>
      <c r="K145" s="1291">
        <v>1</v>
      </c>
      <c r="L145" s="2220" t="str">
        <f t="shared" si="10"/>
        <v>Defensa PredeterminadaCasi Imposible (240)</v>
      </c>
      <c r="M145" s="242"/>
      <c r="Z145" s="242"/>
    </row>
    <row r="146" spans="1:26" ht="12" customHeight="1" x14ac:dyDescent="0.2">
      <c r="A146" s="5889"/>
      <c r="B146" s="5887"/>
      <c r="C146" s="45" t="s">
        <v>9148</v>
      </c>
      <c r="D146" s="87" t="s">
        <v>9172</v>
      </c>
      <c r="E146" s="1291">
        <v>16</v>
      </c>
      <c r="F146" s="1292">
        <v>20</v>
      </c>
      <c r="G146" s="1291">
        <v>25</v>
      </c>
      <c r="H146" s="1291">
        <v>8</v>
      </c>
      <c r="I146" s="1291">
        <v>16</v>
      </c>
      <c r="J146" s="1291">
        <v>28</v>
      </c>
      <c r="K146" s="1291">
        <v>2</v>
      </c>
      <c r="L146" s="2220" t="str">
        <f t="shared" si="10"/>
        <v>Defensa PredeterminadaImposible (280)</v>
      </c>
      <c r="M146" s="242"/>
      <c r="Z146" s="242"/>
    </row>
    <row r="147" spans="1:26" ht="12" customHeight="1" x14ac:dyDescent="0.2">
      <c r="A147" s="5889"/>
      <c r="B147" s="5887"/>
      <c r="C147" s="45" t="s">
        <v>9148</v>
      </c>
      <c r="D147" s="87" t="s">
        <v>9173</v>
      </c>
      <c r="E147" s="1291">
        <v>20</v>
      </c>
      <c r="F147" s="1292">
        <v>24</v>
      </c>
      <c r="G147" s="1291">
        <v>35</v>
      </c>
      <c r="H147" s="1291">
        <v>10</v>
      </c>
      <c r="I147" s="1291">
        <v>20</v>
      </c>
      <c r="J147" s="1291">
        <v>35</v>
      </c>
      <c r="K147" s="1291">
        <v>2</v>
      </c>
      <c r="L147" s="2220" t="str">
        <f t="shared" si="10"/>
        <v>Defensa PredeterminadaInhumano (320)</v>
      </c>
      <c r="M147" s="242"/>
      <c r="Z147" s="242"/>
    </row>
    <row r="148" spans="1:26" ht="12" customHeight="1" x14ac:dyDescent="0.2">
      <c r="A148" s="5889"/>
      <c r="B148" s="5887"/>
      <c r="C148" s="45" t="s">
        <v>9148</v>
      </c>
      <c r="D148" s="87" t="s">
        <v>9175</v>
      </c>
      <c r="E148" s="1291">
        <v>26</v>
      </c>
      <c r="F148" s="1292">
        <v>32</v>
      </c>
      <c r="G148" s="1291">
        <v>45</v>
      </c>
      <c r="H148" s="1291">
        <v>12</v>
      </c>
      <c r="I148" s="1291">
        <v>24</v>
      </c>
      <c r="J148" s="1291">
        <v>42</v>
      </c>
      <c r="K148" s="1291">
        <v>3</v>
      </c>
      <c r="L148" s="2220" t="str">
        <f t="shared" si="10"/>
        <v>Defensa PredeterminadaZen (440)</v>
      </c>
      <c r="M148" s="242"/>
      <c r="Z148" s="242"/>
    </row>
    <row r="149" spans="1:26" ht="12" customHeight="1" x14ac:dyDescent="0.2">
      <c r="A149" s="5889"/>
      <c r="B149" s="5887"/>
      <c r="C149" s="45" t="s">
        <v>9320</v>
      </c>
      <c r="D149" s="87"/>
      <c r="E149" s="1291"/>
      <c r="F149" s="1292"/>
      <c r="G149" s="1291"/>
      <c r="H149" s="1291"/>
      <c r="I149" s="1291"/>
      <c r="J149" s="1291"/>
      <c r="K149" s="1291"/>
      <c r="L149" s="2220" t="str">
        <f t="shared" si="10"/>
        <v>&gt;&gt;EFECTOS DESTRUCTIVOS</v>
      </c>
      <c r="M149" s="242"/>
      <c r="Z149" s="242"/>
    </row>
    <row r="150" spans="1:26" ht="12" customHeight="1" x14ac:dyDescent="0.2">
      <c r="A150" s="5889"/>
      <c r="B150" s="5887"/>
      <c r="C150" s="45" t="s">
        <v>9322</v>
      </c>
      <c r="D150" s="87"/>
      <c r="E150" s="1291"/>
      <c r="F150" s="1292"/>
      <c r="G150" s="1291"/>
      <c r="H150" s="1291"/>
      <c r="I150" s="1291"/>
      <c r="J150" s="1291"/>
      <c r="K150" s="1291"/>
      <c r="L150" s="2220" t="str">
        <f t="shared" si="10"/>
        <v>&gt; AUMENTO DE DAÑO</v>
      </c>
      <c r="M150" s="242"/>
      <c r="Z150" s="242"/>
    </row>
    <row r="151" spans="1:26" ht="12" customHeight="1" x14ac:dyDescent="0.2">
      <c r="A151" s="5889"/>
      <c r="B151" s="5887"/>
      <c r="C151" s="45" t="s">
        <v>9323</v>
      </c>
      <c r="D151" s="87" t="s">
        <v>7748</v>
      </c>
      <c r="E151" s="1291">
        <v>1</v>
      </c>
      <c r="F151" s="1292">
        <v>2</v>
      </c>
      <c r="G151" s="1291">
        <v>5</v>
      </c>
      <c r="H151" s="1291">
        <v>1</v>
      </c>
      <c r="I151" s="1291">
        <v>2</v>
      </c>
      <c r="J151" s="1291">
        <v>4</v>
      </c>
      <c r="K151" s="1291">
        <v>1</v>
      </c>
      <c r="L151" s="2220" t="str">
        <f t="shared" si="10"/>
        <v>Aumento De Daño+10</v>
      </c>
      <c r="M151" s="242"/>
      <c r="Z151" s="242"/>
    </row>
    <row r="152" spans="1:26" ht="12" customHeight="1" x14ac:dyDescent="0.2">
      <c r="A152" s="5889"/>
      <c r="B152" s="5887"/>
      <c r="C152" s="45" t="s">
        <v>9323</v>
      </c>
      <c r="D152" s="87" t="s">
        <v>7892</v>
      </c>
      <c r="E152" s="1291">
        <v>2</v>
      </c>
      <c r="F152" s="1292">
        <v>4</v>
      </c>
      <c r="G152" s="1291">
        <v>5</v>
      </c>
      <c r="H152" s="1291">
        <v>1</v>
      </c>
      <c r="I152" s="1291">
        <v>2</v>
      </c>
      <c r="J152" s="1291">
        <v>4</v>
      </c>
      <c r="K152" s="1291">
        <v>1</v>
      </c>
      <c r="L152" s="2220" t="str">
        <f t="shared" si="10"/>
        <v>Aumento De Daño+25</v>
      </c>
      <c r="M152" s="242"/>
      <c r="Z152" s="242"/>
    </row>
    <row r="153" spans="1:26" ht="12" customHeight="1" x14ac:dyDescent="0.2">
      <c r="A153" s="5889"/>
      <c r="B153" s="5887"/>
      <c r="C153" s="45" t="s">
        <v>9323</v>
      </c>
      <c r="D153" s="87" t="s">
        <v>7750</v>
      </c>
      <c r="E153" s="1291">
        <v>3</v>
      </c>
      <c r="F153" s="1292">
        <v>5</v>
      </c>
      <c r="G153" s="1291">
        <v>10</v>
      </c>
      <c r="H153" s="1291">
        <v>1</v>
      </c>
      <c r="I153" s="1291">
        <v>2</v>
      </c>
      <c r="J153" s="1291">
        <v>4</v>
      </c>
      <c r="K153" s="1291">
        <v>1</v>
      </c>
      <c r="L153" s="2220" t="str">
        <f t="shared" si="10"/>
        <v>Aumento De Daño+40</v>
      </c>
      <c r="M153" s="242"/>
      <c r="Z153" s="242"/>
    </row>
    <row r="154" spans="1:26" ht="12" customHeight="1" x14ac:dyDescent="0.2">
      <c r="A154" s="5889"/>
      <c r="B154" s="5887"/>
      <c r="C154" s="45" t="s">
        <v>9323</v>
      </c>
      <c r="D154" s="87" t="s">
        <v>7751</v>
      </c>
      <c r="E154" s="1291">
        <v>4</v>
      </c>
      <c r="F154" s="1292">
        <v>6</v>
      </c>
      <c r="G154" s="1291">
        <v>15</v>
      </c>
      <c r="H154" s="1291">
        <v>2</v>
      </c>
      <c r="I154" s="1291">
        <v>4</v>
      </c>
      <c r="J154" s="1291">
        <v>7</v>
      </c>
      <c r="K154" s="1291">
        <v>1</v>
      </c>
      <c r="L154" s="2220" t="str">
        <f t="shared" si="10"/>
        <v>Aumento De Daño+50</v>
      </c>
      <c r="M154" s="242"/>
      <c r="Z154" s="242"/>
    </row>
    <row r="155" spans="1:26" ht="12" customHeight="1" x14ac:dyDescent="0.2">
      <c r="A155" s="5889"/>
      <c r="B155" s="5887"/>
      <c r="C155" s="45" t="s">
        <v>9323</v>
      </c>
      <c r="D155" s="87" t="s">
        <v>9125</v>
      </c>
      <c r="E155" s="1291">
        <v>6</v>
      </c>
      <c r="F155" s="1292">
        <v>9</v>
      </c>
      <c r="G155" s="1291">
        <v>20</v>
      </c>
      <c r="H155" s="1291">
        <v>3</v>
      </c>
      <c r="I155" s="1291">
        <v>6</v>
      </c>
      <c r="J155" s="1291">
        <v>11</v>
      </c>
      <c r="K155" s="1291">
        <v>1</v>
      </c>
      <c r="L155" s="2220" t="str">
        <f t="shared" si="10"/>
        <v>Aumento De Daño+75</v>
      </c>
      <c r="M155" s="242"/>
      <c r="Z155" s="242"/>
    </row>
    <row r="156" spans="1:26" ht="12" customHeight="1" x14ac:dyDescent="0.2">
      <c r="A156" s="5889"/>
      <c r="B156" s="5887"/>
      <c r="C156" s="45" t="s">
        <v>9323</v>
      </c>
      <c r="D156" s="87" t="s">
        <v>9129</v>
      </c>
      <c r="E156" s="1291">
        <v>8</v>
      </c>
      <c r="F156" s="1292">
        <v>11</v>
      </c>
      <c r="G156" s="1291">
        <v>25</v>
      </c>
      <c r="H156" s="1291">
        <v>4</v>
      </c>
      <c r="I156" s="1291">
        <v>8</v>
      </c>
      <c r="J156" s="1291">
        <v>14</v>
      </c>
      <c r="K156" s="1291">
        <v>1</v>
      </c>
      <c r="L156" s="2220" t="str">
        <f t="shared" si="10"/>
        <v>Aumento De Daño+90</v>
      </c>
      <c r="M156" s="242"/>
      <c r="Z156" s="242"/>
    </row>
    <row r="157" spans="1:26" ht="12" customHeight="1" x14ac:dyDescent="0.2">
      <c r="A157" s="5889"/>
      <c r="B157" s="5887"/>
      <c r="C157" s="45" t="s">
        <v>9323</v>
      </c>
      <c r="D157" s="87" t="s">
        <v>9132</v>
      </c>
      <c r="E157" s="1291">
        <v>10</v>
      </c>
      <c r="F157" s="1292">
        <v>13</v>
      </c>
      <c r="G157" s="1291">
        <v>30</v>
      </c>
      <c r="H157" s="1291">
        <v>5</v>
      </c>
      <c r="I157" s="1291">
        <v>10</v>
      </c>
      <c r="J157" s="1291">
        <v>18</v>
      </c>
      <c r="K157" s="1291">
        <v>1</v>
      </c>
      <c r="L157" s="2220" t="str">
        <f t="shared" si="10"/>
        <v>Aumento De Daño+100</v>
      </c>
      <c r="M157" s="242"/>
      <c r="Z157" s="242"/>
    </row>
    <row r="158" spans="1:26" ht="12" customHeight="1" x14ac:dyDescent="0.2">
      <c r="A158" s="5889"/>
      <c r="B158" s="5887"/>
      <c r="C158" s="45" t="s">
        <v>9323</v>
      </c>
      <c r="D158" s="87" t="s">
        <v>9133</v>
      </c>
      <c r="E158" s="1291">
        <v>14</v>
      </c>
      <c r="F158" s="1292">
        <v>18</v>
      </c>
      <c r="G158" s="1291">
        <v>35</v>
      </c>
      <c r="H158" s="1291">
        <v>6</v>
      </c>
      <c r="I158" s="1291">
        <v>12</v>
      </c>
      <c r="J158" s="1291">
        <v>21</v>
      </c>
      <c r="K158" s="1291">
        <v>2</v>
      </c>
      <c r="L158" s="2220" t="str">
        <f t="shared" si="10"/>
        <v>Aumento De Daño+125</v>
      </c>
      <c r="M158" s="242"/>
      <c r="Z158" s="242"/>
    </row>
    <row r="159" spans="1:26" ht="12" customHeight="1" x14ac:dyDescent="0.2">
      <c r="A159" s="5889"/>
      <c r="B159" s="5887"/>
      <c r="C159" s="45" t="s">
        <v>9323</v>
      </c>
      <c r="D159" s="87" t="s">
        <v>9135</v>
      </c>
      <c r="E159" s="1291">
        <v>16</v>
      </c>
      <c r="F159" s="1292">
        <v>20</v>
      </c>
      <c r="G159" s="1291">
        <v>40</v>
      </c>
      <c r="H159" s="1291">
        <v>8</v>
      </c>
      <c r="I159" s="1291">
        <v>16</v>
      </c>
      <c r="J159" s="1291">
        <v>28</v>
      </c>
      <c r="K159" s="1291">
        <v>2</v>
      </c>
      <c r="L159" s="2220" t="str">
        <f t="shared" si="10"/>
        <v>Aumento De Daño+150</v>
      </c>
      <c r="M159" s="242"/>
      <c r="Z159" s="242"/>
    </row>
    <row r="160" spans="1:26" ht="12" customHeight="1" x14ac:dyDescent="0.2">
      <c r="A160" s="5889"/>
      <c r="B160" s="5887"/>
      <c r="C160" s="45" t="s">
        <v>9323</v>
      </c>
      <c r="D160" s="87" t="s">
        <v>9138</v>
      </c>
      <c r="E160" s="1291">
        <v>18</v>
      </c>
      <c r="F160" s="1292">
        <v>22</v>
      </c>
      <c r="G160" s="1291">
        <v>45</v>
      </c>
      <c r="H160" s="1291">
        <v>10</v>
      </c>
      <c r="I160" s="1291">
        <v>20</v>
      </c>
      <c r="J160" s="1291">
        <v>35</v>
      </c>
      <c r="K160" s="1291">
        <v>3</v>
      </c>
      <c r="L160" s="2220" t="str">
        <f t="shared" si="10"/>
        <v>Aumento De Daño+175</v>
      </c>
      <c r="M160" s="242"/>
      <c r="Z160" s="242"/>
    </row>
    <row r="161" spans="1:26" ht="12" customHeight="1" x14ac:dyDescent="0.2">
      <c r="A161" s="5889"/>
      <c r="B161" s="5887"/>
      <c r="C161" s="45" t="s">
        <v>9323</v>
      </c>
      <c r="D161" s="87" t="s">
        <v>9140</v>
      </c>
      <c r="E161" s="1291">
        <v>20</v>
      </c>
      <c r="F161" s="1292">
        <v>24</v>
      </c>
      <c r="G161" s="1291">
        <v>50</v>
      </c>
      <c r="H161" s="1291">
        <v>12</v>
      </c>
      <c r="I161" s="1291">
        <v>24</v>
      </c>
      <c r="J161" s="1291">
        <v>42</v>
      </c>
      <c r="K161" s="1291">
        <v>3</v>
      </c>
      <c r="L161" s="2220" t="str">
        <f t="shared" si="10"/>
        <v>Aumento De Daño+200</v>
      </c>
      <c r="M161" s="242"/>
      <c r="Z161" s="242"/>
    </row>
    <row r="162" spans="1:26" ht="12" customHeight="1" x14ac:dyDescent="0.2">
      <c r="A162" s="5889"/>
      <c r="B162" s="5887"/>
      <c r="C162" s="45" t="s">
        <v>9323</v>
      </c>
      <c r="D162" s="87" t="s">
        <v>3204</v>
      </c>
      <c r="E162" s="1291">
        <v>4</v>
      </c>
      <c r="F162" s="1292">
        <v>4</v>
      </c>
      <c r="G162" s="1291">
        <v>15</v>
      </c>
      <c r="H162" s="1291">
        <v>3</v>
      </c>
      <c r="I162" s="1291">
        <v>6</v>
      </c>
      <c r="J162" s="1291">
        <v>11</v>
      </c>
      <c r="K162" s="1291"/>
      <c r="L162" s="2220" t="str">
        <f t="shared" si="10"/>
        <v>Aumento De DañoSacrificio Vital</v>
      </c>
      <c r="M162" s="242"/>
      <c r="Z162" s="242"/>
    </row>
    <row r="163" spans="1:26" ht="12" customHeight="1" x14ac:dyDescent="0.2">
      <c r="A163" s="5889"/>
      <c r="B163" s="5887"/>
      <c r="C163" s="45" t="s">
        <v>9323</v>
      </c>
      <c r="D163" s="87" t="s">
        <v>3207</v>
      </c>
      <c r="E163" s="1291">
        <v>10</v>
      </c>
      <c r="F163" s="1292">
        <v>10</v>
      </c>
      <c r="G163" s="1291">
        <v>50</v>
      </c>
      <c r="H163" s="1291">
        <v>4</v>
      </c>
      <c r="I163" s="1291">
        <v>8</v>
      </c>
      <c r="J163" s="1291">
        <v>14</v>
      </c>
      <c r="K163" s="1291"/>
      <c r="L163" s="2220" t="str">
        <f t="shared" si="10"/>
        <v>Aumento De DañoSacrificio Vital Doble</v>
      </c>
      <c r="M163" s="242"/>
      <c r="Z163" s="242"/>
    </row>
    <row r="164" spans="1:26" ht="12" customHeight="1" x14ac:dyDescent="0.2">
      <c r="A164" s="5889"/>
      <c r="B164" s="5887"/>
      <c r="C164" s="45" t="s">
        <v>9323</v>
      </c>
      <c r="D164" s="87" t="s">
        <v>3210</v>
      </c>
      <c r="E164" s="1291">
        <v>2</v>
      </c>
      <c r="F164" s="1292">
        <v>2</v>
      </c>
      <c r="G164" s="1291">
        <v>10</v>
      </c>
      <c r="H164" s="1291">
        <v>2</v>
      </c>
      <c r="I164" s="1291">
        <v>4</v>
      </c>
      <c r="J164" s="1291">
        <v>7</v>
      </c>
      <c r="K164" s="1291"/>
      <c r="L164" s="2220" t="str">
        <f t="shared" si="10"/>
        <v>Aumento De DañoSacrificio de Salud</v>
      </c>
      <c r="M164" s="242"/>
      <c r="Z164" s="242"/>
    </row>
    <row r="165" spans="1:26" ht="12" customHeight="1" x14ac:dyDescent="0.2">
      <c r="A165" s="5889"/>
      <c r="B165" s="5887"/>
      <c r="C165" s="45" t="s">
        <v>9323</v>
      </c>
      <c r="D165" s="87" t="s">
        <v>3213</v>
      </c>
      <c r="E165" s="1291">
        <v>2</v>
      </c>
      <c r="F165" s="1292">
        <v>2</v>
      </c>
      <c r="G165" s="1291">
        <v>10</v>
      </c>
      <c r="H165" s="1291">
        <v>2</v>
      </c>
      <c r="I165" s="1291">
        <v>4</v>
      </c>
      <c r="J165" s="1291">
        <v>7</v>
      </c>
      <c r="K165" s="1291"/>
      <c r="L165" s="2220" t="str">
        <f t="shared" si="10"/>
        <v>Aumento De DañoSacrificio de Características</v>
      </c>
      <c r="M165" s="242"/>
      <c r="Z165" s="242"/>
    </row>
    <row r="166" spans="1:26" ht="12" customHeight="1" x14ac:dyDescent="0.2">
      <c r="A166" s="5889"/>
      <c r="B166" s="5887"/>
      <c r="C166" s="45" t="s">
        <v>9323</v>
      </c>
      <c r="D166" s="87" t="s">
        <v>3218</v>
      </c>
      <c r="E166" s="1291">
        <v>12</v>
      </c>
      <c r="F166" s="1292">
        <v>12</v>
      </c>
      <c r="G166" s="1291">
        <v>30</v>
      </c>
      <c r="H166" s="1291">
        <v>4</v>
      </c>
      <c r="I166" s="1291">
        <v>8</v>
      </c>
      <c r="J166" s="1291">
        <v>14</v>
      </c>
      <c r="K166" s="1291"/>
      <c r="L166" s="2220" t="str">
        <f t="shared" si="10"/>
        <v>Aumento De DañoDaño Límite</v>
      </c>
      <c r="M166" s="242"/>
      <c r="Z166" s="242"/>
    </row>
    <row r="167" spans="1:26" ht="12" customHeight="1" x14ac:dyDescent="0.2">
      <c r="A167" s="5889"/>
      <c r="B167" s="5887"/>
      <c r="C167" s="45" t="s">
        <v>9334</v>
      </c>
      <c r="D167" s="87"/>
      <c r="E167" s="1291"/>
      <c r="F167" s="1292"/>
      <c r="G167" s="1291"/>
      <c r="H167" s="1291"/>
      <c r="I167" s="1291"/>
      <c r="J167" s="1291"/>
      <c r="K167" s="1291"/>
      <c r="L167" s="2220" t="str">
        <f t="shared" si="10"/>
        <v>&gt; AUMENTO DE DAÑO REAL</v>
      </c>
      <c r="M167" s="242"/>
      <c r="Z167" s="242"/>
    </row>
    <row r="168" spans="1:26" ht="12" customHeight="1" x14ac:dyDescent="0.2">
      <c r="A168" s="5889"/>
      <c r="B168" s="5887"/>
      <c r="C168" s="45" t="s">
        <v>9336</v>
      </c>
      <c r="D168" s="87" t="s">
        <v>7748</v>
      </c>
      <c r="E168" s="1291">
        <v>2</v>
      </c>
      <c r="F168" s="1292">
        <v>4</v>
      </c>
      <c r="G168" s="1291">
        <v>10</v>
      </c>
      <c r="H168" s="1291">
        <v>1</v>
      </c>
      <c r="I168" s="1291">
        <v>2</v>
      </c>
      <c r="J168" s="1291">
        <v>4</v>
      </c>
      <c r="K168" s="1291">
        <v>1</v>
      </c>
      <c r="L168" s="2220" t="str">
        <f t="shared" si="10"/>
        <v>Aumento De Daño Real+10</v>
      </c>
      <c r="M168" s="242"/>
      <c r="Z168" s="242"/>
    </row>
    <row r="169" spans="1:26" ht="12" customHeight="1" x14ac:dyDescent="0.2">
      <c r="A169" s="5889"/>
      <c r="B169" s="5887"/>
      <c r="C169" s="45" t="s">
        <v>9336</v>
      </c>
      <c r="D169" s="87" t="s">
        <v>7892</v>
      </c>
      <c r="E169" s="1291">
        <v>3</v>
      </c>
      <c r="F169" s="1292">
        <v>5</v>
      </c>
      <c r="G169" s="1291">
        <v>15</v>
      </c>
      <c r="H169" s="1291">
        <v>2</v>
      </c>
      <c r="I169" s="1291">
        <v>4</v>
      </c>
      <c r="J169" s="1291">
        <v>7</v>
      </c>
      <c r="K169" s="1291">
        <v>1</v>
      </c>
      <c r="L169" s="2220" t="str">
        <f t="shared" si="10"/>
        <v>Aumento De Daño Real+25</v>
      </c>
      <c r="M169" s="242"/>
      <c r="Z169" s="242"/>
    </row>
    <row r="170" spans="1:26" ht="12" customHeight="1" x14ac:dyDescent="0.2">
      <c r="A170" s="5889"/>
      <c r="B170" s="5887"/>
      <c r="C170" s="45" t="s">
        <v>9336</v>
      </c>
      <c r="D170" s="87" t="s">
        <v>7750</v>
      </c>
      <c r="E170" s="1291">
        <v>5</v>
      </c>
      <c r="F170" s="1292">
        <v>8</v>
      </c>
      <c r="G170" s="1291">
        <v>20</v>
      </c>
      <c r="H170" s="1291">
        <v>3</v>
      </c>
      <c r="I170" s="1291">
        <v>6</v>
      </c>
      <c r="J170" s="1291">
        <v>11</v>
      </c>
      <c r="K170" s="1291">
        <v>1</v>
      </c>
      <c r="L170" s="2220" t="str">
        <f t="shared" si="10"/>
        <v>Aumento De Daño Real+40</v>
      </c>
      <c r="M170" s="242"/>
      <c r="Z170" s="242"/>
    </row>
    <row r="171" spans="1:26" ht="12" customHeight="1" x14ac:dyDescent="0.2">
      <c r="A171" s="5889"/>
      <c r="B171" s="5887"/>
      <c r="C171" s="45" t="s">
        <v>9336</v>
      </c>
      <c r="D171" s="87" t="s">
        <v>7751</v>
      </c>
      <c r="E171" s="1291">
        <v>7</v>
      </c>
      <c r="F171" s="1292">
        <v>10</v>
      </c>
      <c r="G171" s="1291">
        <v>25</v>
      </c>
      <c r="H171" s="1291">
        <v>4</v>
      </c>
      <c r="I171" s="1291">
        <v>8</v>
      </c>
      <c r="J171" s="1291">
        <v>14</v>
      </c>
      <c r="K171" s="1291">
        <v>2</v>
      </c>
      <c r="L171" s="2220" t="str">
        <f t="shared" si="10"/>
        <v>Aumento De Daño Real+50</v>
      </c>
      <c r="M171" s="242"/>
      <c r="Z171" s="242"/>
    </row>
    <row r="172" spans="1:26" ht="12" customHeight="1" x14ac:dyDescent="0.2">
      <c r="A172" s="5889"/>
      <c r="B172" s="5887"/>
      <c r="C172" s="45" t="s">
        <v>9336</v>
      </c>
      <c r="D172" s="87" t="s">
        <v>9125</v>
      </c>
      <c r="E172" s="1291">
        <v>10</v>
      </c>
      <c r="F172" s="1292">
        <v>13</v>
      </c>
      <c r="G172" s="1291">
        <v>35</v>
      </c>
      <c r="H172" s="1291">
        <v>6</v>
      </c>
      <c r="I172" s="1291">
        <v>12</v>
      </c>
      <c r="J172" s="1291">
        <v>21</v>
      </c>
      <c r="K172" s="1291">
        <v>2</v>
      </c>
      <c r="L172" s="2220" t="str">
        <f t="shared" si="10"/>
        <v>Aumento De Daño Real+75</v>
      </c>
      <c r="M172" s="242"/>
      <c r="Z172" s="242"/>
    </row>
    <row r="173" spans="1:26" ht="12" customHeight="1" x14ac:dyDescent="0.2">
      <c r="A173" s="5889"/>
      <c r="B173" s="5887"/>
      <c r="C173" s="45" t="s">
        <v>9336</v>
      </c>
      <c r="D173" s="87" t="s">
        <v>9129</v>
      </c>
      <c r="E173" s="1291">
        <v>12</v>
      </c>
      <c r="F173" s="1292">
        <v>15</v>
      </c>
      <c r="G173" s="1291">
        <v>40</v>
      </c>
      <c r="H173" s="1291">
        <v>8</v>
      </c>
      <c r="I173" s="1291">
        <v>16</v>
      </c>
      <c r="J173" s="1291">
        <v>28</v>
      </c>
      <c r="K173" s="1291">
        <v>3</v>
      </c>
      <c r="L173" s="2220" t="str">
        <f t="shared" si="10"/>
        <v>Aumento De Daño Real+90</v>
      </c>
      <c r="M173" s="242"/>
      <c r="Z173" s="242"/>
    </row>
    <row r="174" spans="1:26" ht="12" customHeight="1" x14ac:dyDescent="0.2">
      <c r="A174" s="5889"/>
      <c r="B174" s="5887"/>
      <c r="C174" s="45" t="s">
        <v>9336</v>
      </c>
      <c r="D174" s="87" t="s">
        <v>9132</v>
      </c>
      <c r="E174" s="1291">
        <v>14</v>
      </c>
      <c r="F174" s="1292">
        <v>18</v>
      </c>
      <c r="G174" s="1291">
        <v>50</v>
      </c>
      <c r="H174" s="1291">
        <v>10</v>
      </c>
      <c r="I174" s="1291">
        <v>20</v>
      </c>
      <c r="J174" s="1291">
        <v>35</v>
      </c>
      <c r="K174" s="1291">
        <v>3</v>
      </c>
      <c r="L174" s="2220" t="str">
        <f t="shared" si="10"/>
        <v>Aumento De Daño Real+100</v>
      </c>
      <c r="M174" s="242"/>
      <c r="Z174" s="242"/>
    </row>
    <row r="175" spans="1:26" ht="12" customHeight="1" x14ac:dyDescent="0.2">
      <c r="A175" s="5889"/>
      <c r="B175" s="5887"/>
      <c r="C175" s="45" t="s">
        <v>9340</v>
      </c>
      <c r="D175" s="87"/>
      <c r="E175" s="1291"/>
      <c r="F175" s="1292"/>
      <c r="G175" s="1291"/>
      <c r="H175" s="1291"/>
      <c r="I175" s="1291"/>
      <c r="J175" s="1291"/>
      <c r="K175" s="1291"/>
      <c r="L175" s="2220" t="str">
        <f t="shared" si="10"/>
        <v>&gt; MULTIPLICADOR AL DAÑO</v>
      </c>
      <c r="M175" s="242"/>
      <c r="Z175" s="242"/>
    </row>
    <row r="176" spans="1:26" ht="12" customHeight="1" x14ac:dyDescent="0.2">
      <c r="A176" s="5889"/>
      <c r="B176" s="5887"/>
      <c r="C176" s="45" t="s">
        <v>9342</v>
      </c>
      <c r="D176" s="87" t="s">
        <v>9343</v>
      </c>
      <c r="E176" s="1291">
        <v>10</v>
      </c>
      <c r="F176" s="1292">
        <v>15</v>
      </c>
      <c r="G176" s="1291">
        <v>25</v>
      </c>
      <c r="H176" s="1291">
        <v>4</v>
      </c>
      <c r="I176" s="1291">
        <v>8</v>
      </c>
      <c r="J176" s="1291">
        <v>14</v>
      </c>
      <c r="K176" s="1291">
        <v>1</v>
      </c>
      <c r="L176" s="2220" t="str">
        <f t="shared" si="10"/>
        <v>Multiplicador Al Dañox2</v>
      </c>
      <c r="M176" s="242"/>
      <c r="Z176" s="242"/>
    </row>
    <row r="177" spans="1:26" ht="12" customHeight="1" x14ac:dyDescent="0.2">
      <c r="A177" s="5889"/>
      <c r="B177" s="5887"/>
      <c r="C177" s="45" t="s">
        <v>9342</v>
      </c>
      <c r="D177" s="87" t="s">
        <v>9345</v>
      </c>
      <c r="E177" s="1291">
        <v>15</v>
      </c>
      <c r="F177" s="1292">
        <v>20</v>
      </c>
      <c r="G177" s="1291">
        <v>40</v>
      </c>
      <c r="H177" s="1291">
        <v>8</v>
      </c>
      <c r="I177" s="1291">
        <v>16</v>
      </c>
      <c r="J177" s="1291">
        <v>28</v>
      </c>
      <c r="K177" s="1291">
        <v>2</v>
      </c>
      <c r="L177" s="2220" t="str">
        <f t="shared" si="10"/>
        <v>Multiplicador Al Dañox3</v>
      </c>
      <c r="M177" s="242"/>
      <c r="Z177" s="242"/>
    </row>
    <row r="178" spans="1:26" ht="12" customHeight="1" x14ac:dyDescent="0.2">
      <c r="A178" s="5889"/>
      <c r="B178" s="5887"/>
      <c r="C178" s="45" t="s">
        <v>9342</v>
      </c>
      <c r="D178" s="87" t="s">
        <v>9347</v>
      </c>
      <c r="E178" s="1291">
        <v>20</v>
      </c>
      <c r="F178" s="1292">
        <v>30</v>
      </c>
      <c r="G178" s="1291">
        <v>80</v>
      </c>
      <c r="H178" s="1291">
        <v>12</v>
      </c>
      <c r="I178" s="1291">
        <v>24</v>
      </c>
      <c r="J178" s="1291">
        <v>42</v>
      </c>
      <c r="K178" s="1291">
        <v>3</v>
      </c>
      <c r="L178" s="2220" t="str">
        <f t="shared" si="10"/>
        <v>Multiplicador Al Dañox4</v>
      </c>
      <c r="M178" s="242"/>
      <c r="Z178" s="242"/>
    </row>
    <row r="179" spans="1:26" ht="12" customHeight="1" x14ac:dyDescent="0.2">
      <c r="A179" s="5889"/>
      <c r="B179" s="5887"/>
      <c r="C179" s="45" t="s">
        <v>9349</v>
      </c>
      <c r="D179" s="87"/>
      <c r="E179" s="1291"/>
      <c r="F179" s="1292"/>
      <c r="G179" s="1291"/>
      <c r="H179" s="1291"/>
      <c r="I179" s="1291"/>
      <c r="J179" s="1291"/>
      <c r="K179" s="1291"/>
      <c r="L179" s="2220" t="str">
        <f t="shared" si="10"/>
        <v>&gt; MULTIPLICADOR AL DAÑO REAL</v>
      </c>
      <c r="M179" s="242"/>
      <c r="Z179" s="242"/>
    </row>
    <row r="180" spans="1:26" ht="12" customHeight="1" x14ac:dyDescent="0.2">
      <c r="A180" s="5889"/>
      <c r="B180" s="5887"/>
      <c r="C180" s="45" t="s">
        <v>9351</v>
      </c>
      <c r="D180" s="87" t="s">
        <v>9343</v>
      </c>
      <c r="E180" s="1291">
        <v>20</v>
      </c>
      <c r="F180" s="1292">
        <v>30</v>
      </c>
      <c r="G180" s="1291">
        <v>40</v>
      </c>
      <c r="H180" s="1291">
        <v>8</v>
      </c>
      <c r="I180" s="1291">
        <v>16</v>
      </c>
      <c r="J180" s="1291">
        <v>28</v>
      </c>
      <c r="K180" s="1291">
        <v>1</v>
      </c>
      <c r="L180" s="2220" t="str">
        <f t="shared" si="10"/>
        <v>Multiplicador Al Daño Realx2</v>
      </c>
      <c r="M180" s="242"/>
      <c r="Z180" s="242"/>
    </row>
    <row r="181" spans="1:26" ht="12" customHeight="1" x14ac:dyDescent="0.2">
      <c r="A181" s="5889"/>
      <c r="B181" s="5887"/>
      <c r="C181" s="45" t="s">
        <v>9351</v>
      </c>
      <c r="D181" s="87" t="s">
        <v>9345</v>
      </c>
      <c r="E181" s="1291">
        <v>30</v>
      </c>
      <c r="F181" s="1292">
        <v>36</v>
      </c>
      <c r="G181" s="1291">
        <v>70</v>
      </c>
      <c r="H181" s="1291">
        <v>16</v>
      </c>
      <c r="I181" s="1291">
        <v>32</v>
      </c>
      <c r="J181" s="1291">
        <v>56</v>
      </c>
      <c r="K181" s="1291">
        <v>2</v>
      </c>
      <c r="L181" s="2220" t="str">
        <f t="shared" si="10"/>
        <v>Multiplicador Al Daño Realx3</v>
      </c>
      <c r="M181" s="242"/>
      <c r="Z181" s="242"/>
    </row>
    <row r="182" spans="1:26" ht="12" customHeight="1" x14ac:dyDescent="0.2">
      <c r="A182" s="5889"/>
      <c r="B182" s="5887"/>
      <c r="C182" s="45" t="s">
        <v>9351</v>
      </c>
      <c r="D182" s="87" t="s">
        <v>9347</v>
      </c>
      <c r="E182" s="1291">
        <v>40</v>
      </c>
      <c r="F182" s="1292">
        <v>48</v>
      </c>
      <c r="G182" s="1291">
        <v>100</v>
      </c>
      <c r="H182" s="1291">
        <v>22</v>
      </c>
      <c r="I182" s="1291">
        <v>44</v>
      </c>
      <c r="J182" s="1291">
        <v>77</v>
      </c>
      <c r="K182" s="1291">
        <v>3</v>
      </c>
      <c r="L182" s="2220" t="str">
        <f t="shared" si="10"/>
        <v>Multiplicador Al Daño Realx4</v>
      </c>
      <c r="M182" s="242"/>
      <c r="Z182" s="242"/>
    </row>
    <row r="183" spans="1:26" ht="12" customHeight="1" x14ac:dyDescent="0.2">
      <c r="A183" s="5889"/>
      <c r="B183" s="5887"/>
      <c r="C183" s="45" t="s">
        <v>9354</v>
      </c>
      <c r="D183" s="87"/>
      <c r="E183" s="1291"/>
      <c r="F183" s="1292"/>
      <c r="G183" s="1291"/>
      <c r="H183" s="1291"/>
      <c r="I183" s="1291"/>
      <c r="J183" s="1291"/>
      <c r="K183" s="1291"/>
      <c r="L183" s="2220" t="str">
        <f t="shared" si="10"/>
        <v>&gt; SUSTITUCIÓN DE DAÑO</v>
      </c>
      <c r="M183" s="242"/>
      <c r="Z183" s="242"/>
    </row>
    <row r="184" spans="1:26" ht="12" customHeight="1" x14ac:dyDescent="0.2">
      <c r="A184" s="5889"/>
      <c r="B184" s="5887"/>
      <c r="C184" s="45" t="s">
        <v>9356</v>
      </c>
      <c r="D184" s="87" t="s">
        <v>9357</v>
      </c>
      <c r="E184" s="1291">
        <v>1</v>
      </c>
      <c r="F184" s="1292">
        <v>2</v>
      </c>
      <c r="G184" s="1291">
        <v>5</v>
      </c>
      <c r="H184" s="1291">
        <v>1</v>
      </c>
      <c r="I184" s="1291">
        <v>2</v>
      </c>
      <c r="J184" s="1291">
        <v>4</v>
      </c>
      <c r="K184" s="1291">
        <v>1</v>
      </c>
      <c r="L184" s="2220" t="str">
        <f t="shared" si="10"/>
        <v>Sustitución De Daño50</v>
      </c>
      <c r="M184" s="242"/>
      <c r="Z184" s="242"/>
    </row>
    <row r="185" spans="1:26" ht="12" customHeight="1" x14ac:dyDescent="0.2">
      <c r="A185" s="5889"/>
      <c r="B185" s="5887"/>
      <c r="C185" s="45" t="s">
        <v>9356</v>
      </c>
      <c r="D185" s="87" t="s">
        <v>7797</v>
      </c>
      <c r="E185" s="1291">
        <v>3</v>
      </c>
      <c r="F185" s="1292">
        <v>5</v>
      </c>
      <c r="G185" s="1291">
        <v>10</v>
      </c>
      <c r="H185" s="1291">
        <v>2</v>
      </c>
      <c r="I185" s="1291">
        <v>4</v>
      </c>
      <c r="J185" s="1291">
        <v>7</v>
      </c>
      <c r="K185" s="1291">
        <v>1</v>
      </c>
      <c r="L185" s="2220" t="str">
        <f t="shared" si="10"/>
        <v>Sustitución De Daño100</v>
      </c>
      <c r="M185" s="242"/>
      <c r="Z185" s="242"/>
    </row>
    <row r="186" spans="1:26" ht="12" customHeight="1" x14ac:dyDescent="0.2">
      <c r="A186" s="5889"/>
      <c r="B186" s="5887"/>
      <c r="C186" s="45" t="s">
        <v>9356</v>
      </c>
      <c r="D186" s="87" t="s">
        <v>7798</v>
      </c>
      <c r="E186" s="1291">
        <v>5</v>
      </c>
      <c r="F186" s="1292">
        <v>8</v>
      </c>
      <c r="G186" s="1291">
        <v>15</v>
      </c>
      <c r="H186" s="1291">
        <v>3</v>
      </c>
      <c r="I186" s="1291">
        <v>6</v>
      </c>
      <c r="J186" s="1291">
        <v>11</v>
      </c>
      <c r="K186" s="1291">
        <v>1</v>
      </c>
      <c r="L186" s="2220" t="str">
        <f t="shared" si="10"/>
        <v>Sustitución De Daño120</v>
      </c>
      <c r="M186" s="242"/>
      <c r="Z186" s="242"/>
    </row>
    <row r="187" spans="1:26" ht="12" customHeight="1" x14ac:dyDescent="0.2">
      <c r="A187" s="5889"/>
      <c r="B187" s="5887"/>
      <c r="C187" s="45" t="s">
        <v>9356</v>
      </c>
      <c r="D187" s="87" t="s">
        <v>9359</v>
      </c>
      <c r="E187" s="1291">
        <v>7</v>
      </c>
      <c r="F187" s="1292">
        <v>10</v>
      </c>
      <c r="G187" s="1291">
        <v>20</v>
      </c>
      <c r="H187" s="1291">
        <v>5</v>
      </c>
      <c r="I187" s="1291">
        <v>10</v>
      </c>
      <c r="J187" s="1291">
        <v>18</v>
      </c>
      <c r="K187" s="1291">
        <v>2</v>
      </c>
      <c r="L187" s="2220" t="str">
        <f t="shared" si="10"/>
        <v>Sustitución De Daño150</v>
      </c>
      <c r="M187" s="242"/>
      <c r="Z187" s="242"/>
    </row>
    <row r="188" spans="1:26" ht="12" customHeight="1" x14ac:dyDescent="0.2">
      <c r="A188" s="5889"/>
      <c r="B188" s="5887"/>
      <c r="C188" s="45" t="s">
        <v>9356</v>
      </c>
      <c r="D188" s="87" t="s">
        <v>9361</v>
      </c>
      <c r="E188" s="1291">
        <v>9</v>
      </c>
      <c r="F188" s="1292">
        <v>12</v>
      </c>
      <c r="G188" s="1291">
        <v>25</v>
      </c>
      <c r="H188" s="1291">
        <v>7</v>
      </c>
      <c r="I188" s="1291">
        <v>14</v>
      </c>
      <c r="J188" s="1291">
        <v>25</v>
      </c>
      <c r="K188" s="1291">
        <v>2</v>
      </c>
      <c r="L188" s="2220" t="str">
        <f t="shared" si="10"/>
        <v>Sustitución De Daño180</v>
      </c>
      <c r="M188" s="242"/>
      <c r="Z188" s="242"/>
    </row>
    <row r="189" spans="1:26" ht="12" customHeight="1" x14ac:dyDescent="0.2">
      <c r="A189" s="5889"/>
      <c r="B189" s="5887"/>
      <c r="C189" s="45" t="s">
        <v>9356</v>
      </c>
      <c r="D189" s="87" t="s">
        <v>9363</v>
      </c>
      <c r="E189" s="1291">
        <v>12</v>
      </c>
      <c r="F189" s="1292">
        <v>15</v>
      </c>
      <c r="G189" s="1291">
        <v>30</v>
      </c>
      <c r="H189" s="1291">
        <v>9</v>
      </c>
      <c r="I189" s="1291">
        <v>18</v>
      </c>
      <c r="J189" s="1291">
        <v>32</v>
      </c>
      <c r="K189" s="1291">
        <v>3</v>
      </c>
      <c r="L189" s="2220" t="str">
        <f t="shared" si="10"/>
        <v>Sustitución De Daño200</v>
      </c>
      <c r="M189" s="242"/>
      <c r="Z189" s="242"/>
    </row>
    <row r="190" spans="1:26" ht="12" customHeight="1" x14ac:dyDescent="0.2">
      <c r="A190" s="5889"/>
      <c r="B190" s="5887"/>
      <c r="C190" s="45" t="s">
        <v>9356</v>
      </c>
      <c r="D190" s="87" t="s">
        <v>9365</v>
      </c>
      <c r="E190" s="1291">
        <v>15</v>
      </c>
      <c r="F190" s="1292">
        <v>19</v>
      </c>
      <c r="G190" s="1291">
        <v>35</v>
      </c>
      <c r="H190" s="1291">
        <v>12</v>
      </c>
      <c r="I190" s="1291">
        <v>24</v>
      </c>
      <c r="J190" s="1291">
        <v>42</v>
      </c>
      <c r="K190" s="1291">
        <v>3</v>
      </c>
      <c r="L190" s="2220" t="str">
        <f t="shared" si="10"/>
        <v>Sustitución De Daño250</v>
      </c>
      <c r="M190" s="242"/>
      <c r="Z190" s="242"/>
    </row>
    <row r="191" spans="1:26" ht="12" customHeight="1" x14ac:dyDescent="0.2">
      <c r="A191" s="5889"/>
      <c r="B191" s="5887"/>
      <c r="C191" s="45" t="s">
        <v>9367</v>
      </c>
      <c r="D191" s="87"/>
      <c r="E191" s="1291"/>
      <c r="F191" s="1292"/>
      <c r="G191" s="1291"/>
      <c r="H191" s="1291"/>
      <c r="I191" s="1291"/>
      <c r="J191" s="1291"/>
      <c r="K191" s="1291"/>
      <c r="L191" s="2220" t="str">
        <f t="shared" si="10"/>
        <v>&gt; SUSTITUCIÓN DE DAÑO REAL</v>
      </c>
      <c r="M191" s="242"/>
      <c r="Z191" s="242"/>
    </row>
    <row r="192" spans="1:26" ht="12" customHeight="1" x14ac:dyDescent="0.2">
      <c r="A192" s="5889"/>
      <c r="B192" s="5887"/>
      <c r="C192" s="45" t="s">
        <v>9369</v>
      </c>
      <c r="D192" s="87" t="s">
        <v>9357</v>
      </c>
      <c r="E192" s="1291">
        <v>3</v>
      </c>
      <c r="F192" s="1292">
        <v>5</v>
      </c>
      <c r="G192" s="1291">
        <v>10</v>
      </c>
      <c r="H192" s="1291">
        <v>2</v>
      </c>
      <c r="I192" s="1291">
        <v>4</v>
      </c>
      <c r="J192" s="1291">
        <v>7</v>
      </c>
      <c r="K192" s="1291">
        <v>1</v>
      </c>
      <c r="L192" s="2220" t="str">
        <f t="shared" si="10"/>
        <v>Sustitución De Daño Real50</v>
      </c>
      <c r="M192" s="242"/>
      <c r="Z192" s="242"/>
    </row>
    <row r="193" spans="1:26" ht="12" customHeight="1" x14ac:dyDescent="0.2">
      <c r="A193" s="5889"/>
      <c r="B193" s="5887"/>
      <c r="C193" s="45" t="s">
        <v>9369</v>
      </c>
      <c r="D193" s="87" t="s">
        <v>7797</v>
      </c>
      <c r="E193" s="1291">
        <v>5</v>
      </c>
      <c r="F193" s="1292">
        <v>8</v>
      </c>
      <c r="G193" s="1291">
        <v>15</v>
      </c>
      <c r="H193" s="1291">
        <v>5</v>
      </c>
      <c r="I193" s="1291">
        <v>10</v>
      </c>
      <c r="J193" s="1291">
        <v>18</v>
      </c>
      <c r="K193" s="1291">
        <v>1</v>
      </c>
      <c r="L193" s="2220" t="str">
        <f t="shared" si="10"/>
        <v>Sustitución De Daño Real100</v>
      </c>
      <c r="M193" s="242"/>
      <c r="Z193" s="242"/>
    </row>
    <row r="194" spans="1:26" ht="12" customHeight="1" x14ac:dyDescent="0.2">
      <c r="A194" s="5889"/>
      <c r="B194" s="5887"/>
      <c r="C194" s="45" t="s">
        <v>9369</v>
      </c>
      <c r="D194" s="87" t="s">
        <v>7798</v>
      </c>
      <c r="E194" s="1291">
        <v>8</v>
      </c>
      <c r="F194" s="1292">
        <v>11</v>
      </c>
      <c r="G194" s="1291">
        <v>20</v>
      </c>
      <c r="H194" s="1291">
        <v>6</v>
      </c>
      <c r="I194" s="1291">
        <v>12</v>
      </c>
      <c r="J194" s="1291">
        <v>21</v>
      </c>
      <c r="K194" s="1291">
        <v>1</v>
      </c>
      <c r="L194" s="2220" t="str">
        <f t="shared" si="10"/>
        <v>Sustitución De Daño Real120</v>
      </c>
      <c r="M194" s="242"/>
      <c r="Z194" s="242"/>
    </row>
    <row r="195" spans="1:26" ht="12" customHeight="1" thickBot="1" x14ac:dyDescent="0.25">
      <c r="A195" s="5889"/>
      <c r="B195" s="5887"/>
      <c r="C195" s="45" t="s">
        <v>9369</v>
      </c>
      <c r="D195" s="87" t="s">
        <v>9359</v>
      </c>
      <c r="E195" s="1291">
        <v>12</v>
      </c>
      <c r="F195" s="1292">
        <v>15</v>
      </c>
      <c r="G195" s="1291">
        <v>30</v>
      </c>
      <c r="H195" s="1291">
        <v>8</v>
      </c>
      <c r="I195" s="1291">
        <v>16</v>
      </c>
      <c r="J195" s="1291">
        <v>28</v>
      </c>
      <c r="K195" s="1291">
        <v>2</v>
      </c>
      <c r="L195" s="2220" t="str">
        <f t="shared" si="10"/>
        <v>Sustitución De Daño Real150</v>
      </c>
      <c r="M195" s="242"/>
      <c r="Z195" s="242"/>
    </row>
    <row r="196" spans="1:26" ht="12" customHeight="1" x14ac:dyDescent="0.2">
      <c r="A196" s="5889"/>
      <c r="B196" s="5887"/>
      <c r="C196" s="45" t="s">
        <v>9369</v>
      </c>
      <c r="D196" s="87" t="s">
        <v>9361</v>
      </c>
      <c r="E196" s="1291">
        <v>15</v>
      </c>
      <c r="F196" s="1292">
        <v>19</v>
      </c>
      <c r="G196" s="1291">
        <v>40</v>
      </c>
      <c r="H196" s="1291">
        <v>10</v>
      </c>
      <c r="I196" s="1291">
        <v>20</v>
      </c>
      <c r="J196" s="1291">
        <v>35</v>
      </c>
      <c r="K196" s="1291">
        <v>2</v>
      </c>
      <c r="L196" s="2220" t="str">
        <f t="shared" si="10"/>
        <v>Sustitución De Daño Real180</v>
      </c>
      <c r="M196" s="242"/>
      <c r="N196" s="5893"/>
      <c r="O196" s="5870" t="s">
        <v>9282</v>
      </c>
      <c r="P196" s="5867"/>
      <c r="Q196" s="5867"/>
      <c r="R196" s="5867"/>
      <c r="S196" s="5868"/>
      <c r="T196" s="242"/>
      <c r="U196" s="5890"/>
      <c r="V196" s="5867" t="s">
        <v>9260</v>
      </c>
      <c r="W196" s="5867"/>
      <c r="X196" s="5868"/>
      <c r="Z196" s="242"/>
    </row>
    <row r="197" spans="1:26" ht="12" customHeight="1" x14ac:dyDescent="0.2">
      <c r="A197" s="5889"/>
      <c r="B197" s="5887"/>
      <c r="C197" s="45" t="s">
        <v>9369</v>
      </c>
      <c r="D197" s="87" t="s">
        <v>9363</v>
      </c>
      <c r="E197" s="1291">
        <v>18</v>
      </c>
      <c r="F197" s="1292">
        <v>22</v>
      </c>
      <c r="G197" s="1291">
        <v>50</v>
      </c>
      <c r="H197" s="1291">
        <v>12</v>
      </c>
      <c r="I197" s="1291">
        <v>24</v>
      </c>
      <c r="J197" s="1291">
        <v>42</v>
      </c>
      <c r="K197" s="1291">
        <v>3</v>
      </c>
      <c r="L197" s="2220" t="str">
        <f t="shared" si="10"/>
        <v>Sustitución De Daño Real200</v>
      </c>
      <c r="M197" s="242"/>
      <c r="N197" s="5894"/>
      <c r="O197" s="5871"/>
      <c r="P197" s="4569"/>
      <c r="Q197" s="4569"/>
      <c r="R197" s="4569"/>
      <c r="S197" s="5869"/>
      <c r="T197" s="242"/>
      <c r="U197" s="5891"/>
      <c r="V197" s="4569"/>
      <c r="W197" s="4569"/>
      <c r="X197" s="5869"/>
      <c r="Z197" s="242"/>
    </row>
    <row r="198" spans="1:26" ht="12" customHeight="1" x14ac:dyDescent="0.2">
      <c r="A198" s="5889"/>
      <c r="B198" s="5887"/>
      <c r="C198" s="45" t="s">
        <v>2933</v>
      </c>
      <c r="D198" s="87"/>
      <c r="E198" s="1291"/>
      <c r="F198" s="1292"/>
      <c r="G198" s="1291"/>
      <c r="H198" s="1291"/>
      <c r="I198" s="1291"/>
      <c r="J198" s="1291"/>
      <c r="K198" s="1291"/>
      <c r="L198" s="2220" t="str">
        <f t="shared" si="10"/>
        <v>&gt;&gt;EFECTOS DE ACCION</v>
      </c>
      <c r="M198" s="242"/>
      <c r="N198" s="5894"/>
      <c r="O198" s="2318" t="s">
        <v>9283</v>
      </c>
      <c r="P198" s="2317" t="s">
        <v>2913</v>
      </c>
      <c r="Q198" s="2318" t="s">
        <v>1508</v>
      </c>
      <c r="R198" s="2318" t="s">
        <v>1411</v>
      </c>
      <c r="S198" s="2217" t="s">
        <v>8736</v>
      </c>
      <c r="T198" s="242"/>
      <c r="U198" s="5891"/>
      <c r="V198" s="2317" t="s">
        <v>9105</v>
      </c>
      <c r="W198" s="2317" t="s">
        <v>9106</v>
      </c>
      <c r="X198" s="2217" t="s">
        <v>1378</v>
      </c>
      <c r="Z198" s="242"/>
    </row>
    <row r="199" spans="1:26" ht="12" customHeight="1" x14ac:dyDescent="0.2">
      <c r="A199" s="5889"/>
      <c r="B199" s="5887"/>
      <c r="C199" s="45" t="s">
        <v>9377</v>
      </c>
      <c r="D199" s="87"/>
      <c r="E199" s="1291"/>
      <c r="F199" s="1292"/>
      <c r="G199" s="1291"/>
      <c r="H199" s="1291"/>
      <c r="I199" s="1291"/>
      <c r="J199" s="1291"/>
      <c r="K199" s="1291"/>
      <c r="L199" s="2220" t="str">
        <f t="shared" si="10"/>
        <v>&gt; ATAQUE ADICIONAL</v>
      </c>
      <c r="M199" s="242"/>
      <c r="N199" s="5894"/>
      <c r="O199" s="2318">
        <v>1</v>
      </c>
      <c r="P199" s="2317">
        <v>2</v>
      </c>
      <c r="Q199" s="2318">
        <v>3</v>
      </c>
      <c r="R199" s="2318">
        <v>4</v>
      </c>
      <c r="S199" s="2217">
        <v>5</v>
      </c>
      <c r="T199" s="242"/>
      <c r="U199" s="5891"/>
      <c r="V199" s="87" t="s">
        <v>9261</v>
      </c>
      <c r="W199" s="87" t="str">
        <f t="shared" ref="W199:W221" si="11">IF(ISNUMBER(FIND("&gt;&gt;",V199)),"","'Tablas Técnicas'!"&amp;ADDRESS(ROW($P$199)+MATCH(V199,$O$200:$O$299,0),COLUMN($P$199))&amp;":"&amp;ADDRESS(ROW($P$199)+MATCH(V199,$O$200:$O$299,0)+COUNTIF($O$200:$O$299,V199)-1,COLUMN($P$199)))</f>
        <v>'Tablas Técnicas'!$P$201:$P$203</v>
      </c>
      <c r="X199" s="2218" t="s">
        <v>3265</v>
      </c>
      <c r="Z199" s="242"/>
    </row>
    <row r="200" spans="1:26" ht="12" customHeight="1" x14ac:dyDescent="0.2">
      <c r="A200" s="5889"/>
      <c r="B200" s="5887"/>
      <c r="C200" s="45" t="s">
        <v>9162</v>
      </c>
      <c r="D200" s="87" t="s">
        <v>2956</v>
      </c>
      <c r="E200" s="1291">
        <v>6</v>
      </c>
      <c r="F200" s="1292">
        <v>9</v>
      </c>
      <c r="G200" s="1291">
        <v>20</v>
      </c>
      <c r="H200" s="1291">
        <v>3</v>
      </c>
      <c r="I200" s="1291">
        <v>6</v>
      </c>
      <c r="J200" s="1291">
        <v>11</v>
      </c>
      <c r="K200" s="1291">
        <v>1</v>
      </c>
      <c r="L200" s="2220" t="str">
        <f t="shared" si="10"/>
        <v>Ataque Adicional+1</v>
      </c>
      <c r="M200" s="242"/>
      <c r="N200" s="5894"/>
      <c r="O200" s="87" t="s">
        <v>9284</v>
      </c>
      <c r="P200" s="87"/>
      <c r="Q200" s="81"/>
      <c r="R200" s="81"/>
      <c r="S200" s="2220" t="str">
        <f>O200&amp;P200</f>
        <v>&gt; AGOTAMIENTO</v>
      </c>
      <c r="T200" s="242"/>
      <c r="U200" s="5891"/>
      <c r="V200" s="87" t="s">
        <v>9090</v>
      </c>
      <c r="W200" s="87" t="str">
        <f t="shared" si="11"/>
        <v>'Tablas Técnicas'!$P$205:$P$206</v>
      </c>
      <c r="X200" s="2218" t="s">
        <v>3265</v>
      </c>
      <c r="Z200" s="242"/>
    </row>
    <row r="201" spans="1:26" ht="12" customHeight="1" x14ac:dyDescent="0.2">
      <c r="A201" s="5889"/>
      <c r="B201" s="5887"/>
      <c r="C201" s="45" t="s">
        <v>9162</v>
      </c>
      <c r="D201" s="87" t="s">
        <v>2917</v>
      </c>
      <c r="E201" s="1291">
        <v>12</v>
      </c>
      <c r="F201" s="1292">
        <v>15</v>
      </c>
      <c r="G201" s="1291">
        <v>30</v>
      </c>
      <c r="H201" s="1291">
        <v>6</v>
      </c>
      <c r="I201" s="1291">
        <v>12</v>
      </c>
      <c r="J201" s="1291">
        <v>21</v>
      </c>
      <c r="K201" s="1291">
        <v>1</v>
      </c>
      <c r="L201" s="2220" t="str">
        <f t="shared" si="10"/>
        <v>Ataque Adicional+2</v>
      </c>
      <c r="M201" s="242"/>
      <c r="N201" s="5894"/>
      <c r="O201" s="87" t="s">
        <v>9261</v>
      </c>
      <c r="P201" s="87" t="s">
        <v>9285</v>
      </c>
      <c r="Q201" s="81">
        <v>-5</v>
      </c>
      <c r="R201" s="81">
        <v>1</v>
      </c>
      <c r="S201" s="2220" t="str">
        <f t="shared" ref="S201:S264" si="12">O201&amp;P201</f>
        <v>Agotamiento-2 Cansancio</v>
      </c>
      <c r="T201" s="242"/>
      <c r="U201" s="5891"/>
      <c r="V201" s="87" t="s">
        <v>9262</v>
      </c>
      <c r="W201" s="87" t="str">
        <f t="shared" si="11"/>
        <v>'Tablas Técnicas'!$P$208:$P$210</v>
      </c>
      <c r="X201" s="2218" t="s">
        <v>1240</v>
      </c>
      <c r="Z201" s="242"/>
    </row>
    <row r="202" spans="1:26" ht="12" customHeight="1" x14ac:dyDescent="0.2">
      <c r="A202" s="5889"/>
      <c r="B202" s="5887"/>
      <c r="C202" s="45" t="s">
        <v>9162</v>
      </c>
      <c r="D202" s="87" t="s">
        <v>2918</v>
      </c>
      <c r="E202" s="1291">
        <v>18</v>
      </c>
      <c r="F202" s="1292">
        <v>22</v>
      </c>
      <c r="G202" s="1291">
        <v>40</v>
      </c>
      <c r="H202" s="1291">
        <v>9</v>
      </c>
      <c r="I202" s="1291">
        <v>18</v>
      </c>
      <c r="J202" s="1291">
        <v>32</v>
      </c>
      <c r="K202" s="1291">
        <v>1</v>
      </c>
      <c r="L202" s="2220" t="str">
        <f t="shared" si="10"/>
        <v>Ataque Adicional+3</v>
      </c>
      <c r="M202" s="242"/>
      <c r="N202" s="5894"/>
      <c r="O202" s="87" t="s">
        <v>9261</v>
      </c>
      <c r="P202" s="87" t="s">
        <v>9286</v>
      </c>
      <c r="Q202" s="81">
        <v>-10</v>
      </c>
      <c r="R202" s="81">
        <v>1</v>
      </c>
      <c r="S202" s="2220" t="str">
        <f t="shared" si="12"/>
        <v>Agotamiento-4 Cansancio</v>
      </c>
      <c r="T202" s="242"/>
      <c r="U202" s="5891"/>
      <c r="V202" s="87" t="s">
        <v>9264</v>
      </c>
      <c r="W202" s="87" t="str">
        <f t="shared" si="11"/>
        <v>'Tablas Técnicas'!$P$212:$P$213</v>
      </c>
      <c r="X202" s="2218" t="s">
        <v>3265</v>
      </c>
      <c r="Z202" s="242"/>
    </row>
    <row r="203" spans="1:26" ht="12" customHeight="1" x14ac:dyDescent="0.2">
      <c r="A203" s="5889"/>
      <c r="B203" s="5887"/>
      <c r="C203" s="45" t="s">
        <v>9162</v>
      </c>
      <c r="D203" s="87" t="s">
        <v>3223</v>
      </c>
      <c r="E203" s="1291">
        <v>24</v>
      </c>
      <c r="F203" s="1292">
        <v>29</v>
      </c>
      <c r="G203" s="1291">
        <v>50</v>
      </c>
      <c r="H203" s="1291">
        <v>12</v>
      </c>
      <c r="I203" s="1291">
        <v>24</v>
      </c>
      <c r="J203" s="1291">
        <v>42</v>
      </c>
      <c r="K203" s="1291">
        <v>2</v>
      </c>
      <c r="L203" s="2220" t="str">
        <f t="shared" ref="L203:L266" si="13">C203&amp;D203</f>
        <v>Ataque Adicional+4</v>
      </c>
      <c r="M203" s="242"/>
      <c r="N203" s="5894"/>
      <c r="O203" s="87" t="s">
        <v>9261</v>
      </c>
      <c r="P203" s="87" t="s">
        <v>9287</v>
      </c>
      <c r="Q203" s="81">
        <v>-15</v>
      </c>
      <c r="R203" s="81">
        <v>2</v>
      </c>
      <c r="S203" s="2220" t="str">
        <f t="shared" si="12"/>
        <v>Agotamiento-6 Cansancio</v>
      </c>
      <c r="T203" s="242"/>
      <c r="U203" s="5891"/>
      <c r="V203" s="87" t="s">
        <v>9266</v>
      </c>
      <c r="W203" s="87" t="str">
        <f t="shared" si="11"/>
        <v>'Tablas Técnicas'!$P$215:$P$218</v>
      </c>
      <c r="X203" s="2218" t="s">
        <v>3265</v>
      </c>
      <c r="Z203" s="242"/>
    </row>
    <row r="204" spans="1:26" ht="12" customHeight="1" x14ac:dyDescent="0.2">
      <c r="A204" s="5889"/>
      <c r="B204" s="5887"/>
      <c r="C204" s="45" t="s">
        <v>9162</v>
      </c>
      <c r="D204" s="87" t="s">
        <v>7125</v>
      </c>
      <c r="E204" s="1291">
        <v>30</v>
      </c>
      <c r="F204" s="1292">
        <v>36</v>
      </c>
      <c r="G204" s="1291">
        <v>60</v>
      </c>
      <c r="H204" s="1291">
        <v>15</v>
      </c>
      <c r="I204" s="1291">
        <v>30</v>
      </c>
      <c r="J204" s="1291">
        <v>53</v>
      </c>
      <c r="K204" s="1291">
        <v>3</v>
      </c>
      <c r="L204" s="2220" t="str">
        <f t="shared" si="13"/>
        <v>Ataque Adicional+5</v>
      </c>
      <c r="M204" s="242"/>
      <c r="N204" s="5894"/>
      <c r="O204" s="87" t="s">
        <v>9288</v>
      </c>
      <c r="P204" s="87"/>
      <c r="Q204" s="81"/>
      <c r="R204" s="81"/>
      <c r="S204" s="2220" t="str">
        <f t="shared" si="12"/>
        <v>&gt; ATADURA ELEMENTAL</v>
      </c>
      <c r="T204" s="242"/>
      <c r="U204" s="5891"/>
      <c r="V204" s="87" t="s">
        <v>9267</v>
      </c>
      <c r="W204" s="87" t="str">
        <f t="shared" si="11"/>
        <v>'Tablas Técnicas'!$P$220:$P$220</v>
      </c>
      <c r="X204" s="2218" t="s">
        <v>1240</v>
      </c>
      <c r="Z204" s="242"/>
    </row>
    <row r="205" spans="1:26" ht="12" customHeight="1" x14ac:dyDescent="0.2">
      <c r="A205" s="5889"/>
      <c r="B205" s="5887"/>
      <c r="C205" s="45" t="s">
        <v>9162</v>
      </c>
      <c r="D205" s="87" t="s">
        <v>9624</v>
      </c>
      <c r="E205" s="1291">
        <v>10</v>
      </c>
      <c r="F205" s="1292">
        <v>10</v>
      </c>
      <c r="G205" s="1291">
        <v>30</v>
      </c>
      <c r="H205" s="1291">
        <v>5</v>
      </c>
      <c r="I205" s="1291">
        <v>10</v>
      </c>
      <c r="J205" s="1291">
        <v>18</v>
      </c>
      <c r="K205" s="1291"/>
      <c r="L205" s="2220" t="str">
        <f t="shared" si="13"/>
        <v>Ataque AdicionalAtaque Continuo</v>
      </c>
      <c r="M205" s="242"/>
      <c r="N205" s="5894"/>
      <c r="O205" s="87" t="s">
        <v>9090</v>
      </c>
      <c r="P205" s="87" t="s">
        <v>9289</v>
      </c>
      <c r="Q205" s="81">
        <v>-15</v>
      </c>
      <c r="R205" s="81">
        <v>1</v>
      </c>
      <c r="S205" s="2220" t="str">
        <f t="shared" si="12"/>
        <v>Atadura ElementalA Un Elemento</v>
      </c>
      <c r="T205" s="242"/>
      <c r="U205" s="5891"/>
      <c r="V205" s="87" t="s">
        <v>2191</v>
      </c>
      <c r="W205" s="87" t="str">
        <f t="shared" si="11"/>
        <v>'Tablas Técnicas'!$P$222:$P$222</v>
      </c>
      <c r="X205" s="2218" t="s">
        <v>3265</v>
      </c>
      <c r="Z205" s="242"/>
    </row>
    <row r="206" spans="1:26" ht="12" customHeight="1" x14ac:dyDescent="0.2">
      <c r="A206" s="5889"/>
      <c r="B206" s="5887"/>
      <c r="C206" s="45" t="s">
        <v>9162</v>
      </c>
      <c r="D206" s="87" t="s">
        <v>3220</v>
      </c>
      <c r="E206" s="1291">
        <v>6</v>
      </c>
      <c r="F206" s="1292">
        <v>6</v>
      </c>
      <c r="G206" s="1291">
        <v>20</v>
      </c>
      <c r="H206" s="1291">
        <v>2</v>
      </c>
      <c r="I206" s="1291">
        <v>4</v>
      </c>
      <c r="J206" s="1291">
        <v>7</v>
      </c>
      <c r="K206" s="1291"/>
      <c r="L206" s="2220" t="str">
        <f t="shared" si="13"/>
        <v>Ataque AdicionalBono de Cansancio Añadido</v>
      </c>
      <c r="M206" s="242"/>
      <c r="N206" s="5894"/>
      <c r="O206" s="87" t="s">
        <v>9090</v>
      </c>
      <c r="P206" s="87" t="s">
        <v>9091</v>
      </c>
      <c r="Q206" s="81">
        <v>-10</v>
      </c>
      <c r="R206" s="81">
        <v>1</v>
      </c>
      <c r="S206" s="2220" t="str">
        <f t="shared" si="12"/>
        <v>Atadura ElementalA Dos Elementos</v>
      </c>
      <c r="T206" s="242"/>
      <c r="U206" s="5891"/>
      <c r="V206" s="87" t="s">
        <v>7786</v>
      </c>
      <c r="W206" s="87" t="str">
        <f t="shared" si="11"/>
        <v>'Tablas Técnicas'!$P$224:$P$231</v>
      </c>
      <c r="X206" s="2218" t="s">
        <v>3265</v>
      </c>
      <c r="Z206" s="242"/>
    </row>
    <row r="207" spans="1:26" ht="12" customHeight="1" x14ac:dyDescent="0.2">
      <c r="A207" s="5889"/>
      <c r="B207" s="5887"/>
      <c r="C207" s="45" t="s">
        <v>9162</v>
      </c>
      <c r="D207" s="87" t="s">
        <v>9629</v>
      </c>
      <c r="E207" s="1291">
        <v>-3</v>
      </c>
      <c r="F207" s="1292">
        <v>-3</v>
      </c>
      <c r="G207" s="1291">
        <v>-10</v>
      </c>
      <c r="H207" s="1291"/>
      <c r="I207" s="1291"/>
      <c r="J207" s="1291"/>
      <c r="K207" s="1291"/>
      <c r="L207" s="2220" t="str">
        <f t="shared" si="13"/>
        <v>Ataque AdicionalCombo: Hasta 2</v>
      </c>
      <c r="M207" s="242"/>
      <c r="N207" s="5894"/>
      <c r="O207" s="87" t="s">
        <v>9291</v>
      </c>
      <c r="P207" s="87"/>
      <c r="Q207" s="81"/>
      <c r="R207" s="81"/>
      <c r="S207" s="2220" t="str">
        <f t="shared" si="12"/>
        <v>&gt; ATAQUE ESPECIALIZADO</v>
      </c>
      <c r="T207" s="242"/>
      <c r="U207" s="5891"/>
      <c r="V207" s="87" t="s">
        <v>9092</v>
      </c>
      <c r="W207" s="87" t="str">
        <f t="shared" si="11"/>
        <v>'Tablas Técnicas'!$P$233:$P$234</v>
      </c>
      <c r="X207" s="2218" t="s">
        <v>1240</v>
      </c>
      <c r="Z207" s="242"/>
    </row>
    <row r="208" spans="1:26" ht="12" customHeight="1" x14ac:dyDescent="0.2">
      <c r="A208" s="5889"/>
      <c r="B208" s="5887"/>
      <c r="C208" s="45" t="s">
        <v>9162</v>
      </c>
      <c r="D208" s="87" t="s">
        <v>9630</v>
      </c>
      <c r="E208" s="1291">
        <v>-6</v>
      </c>
      <c r="F208" s="1292">
        <v>-6</v>
      </c>
      <c r="G208" s="1291">
        <v>-20</v>
      </c>
      <c r="H208" s="1291"/>
      <c r="I208" s="1291"/>
      <c r="J208" s="1291"/>
      <c r="K208" s="1291"/>
      <c r="L208" s="2220" t="str">
        <f t="shared" si="13"/>
        <v xml:space="preserve">Ataque AdicionalCombo: 3+ </v>
      </c>
      <c r="M208" s="242"/>
      <c r="N208" s="5894"/>
      <c r="O208" s="87" t="s">
        <v>9262</v>
      </c>
      <c r="P208" s="87" t="s">
        <v>9293</v>
      </c>
      <c r="Q208" s="81">
        <v>-10</v>
      </c>
      <c r="R208" s="81">
        <v>1</v>
      </c>
      <c r="S208" s="2220" t="str">
        <f t="shared" si="12"/>
        <v>Ataque EspecializadoParada</v>
      </c>
      <c r="T208" s="242"/>
      <c r="U208" s="5891"/>
      <c r="V208" s="87" t="s">
        <v>9268</v>
      </c>
      <c r="W208" s="87" t="str">
        <f t="shared" si="11"/>
        <v>'Tablas Técnicas'!$P$236:$P$240</v>
      </c>
      <c r="X208" s="2218" t="s">
        <v>1574</v>
      </c>
      <c r="Z208" s="242"/>
    </row>
    <row r="209" spans="1:26" ht="12" customHeight="1" x14ac:dyDescent="0.2">
      <c r="A209" s="5889"/>
      <c r="B209" s="5887"/>
      <c r="C209" s="45" t="s">
        <v>9379</v>
      </c>
      <c r="D209" s="87"/>
      <c r="E209" s="1291"/>
      <c r="F209" s="1292"/>
      <c r="G209" s="1291"/>
      <c r="H209" s="1291"/>
      <c r="I209" s="1291"/>
      <c r="J209" s="1291"/>
      <c r="K209" s="1291"/>
      <c r="L209" s="2220" t="str">
        <f t="shared" si="13"/>
        <v>&gt; ATAQUE ADICIONAL LIMITADO</v>
      </c>
      <c r="M209" s="242"/>
      <c r="N209" s="5894"/>
      <c r="O209" s="87" t="s">
        <v>9262</v>
      </c>
      <c r="P209" s="87" t="s">
        <v>9294</v>
      </c>
      <c r="Q209" s="81">
        <v>-10</v>
      </c>
      <c r="R209" s="81">
        <v>1</v>
      </c>
      <c r="S209" s="2220" t="str">
        <f t="shared" si="12"/>
        <v>Ataque EspecializadoEsquiva</v>
      </c>
      <c r="T209" s="242"/>
      <c r="U209" s="5891"/>
      <c r="V209" s="87" t="s">
        <v>7361</v>
      </c>
      <c r="W209" s="87" t="str">
        <f t="shared" si="11"/>
        <v>'Tablas Técnicas'!$P$242:$P$244</v>
      </c>
      <c r="X209" s="2218" t="s">
        <v>1240</v>
      </c>
      <c r="Z209" s="242"/>
    </row>
    <row r="210" spans="1:26" ht="12" customHeight="1" x14ac:dyDescent="0.2">
      <c r="A210" s="5889"/>
      <c r="B210" s="5887"/>
      <c r="C210" s="45" t="s">
        <v>9165</v>
      </c>
      <c r="D210" s="87" t="s">
        <v>2956</v>
      </c>
      <c r="E210" s="1291">
        <v>3</v>
      </c>
      <c r="F210" s="1292">
        <v>5</v>
      </c>
      <c r="G210" s="1291">
        <v>5</v>
      </c>
      <c r="H210" s="1291">
        <v>1</v>
      </c>
      <c r="I210" s="1291">
        <v>2</v>
      </c>
      <c r="J210" s="1291">
        <v>4</v>
      </c>
      <c r="K210" s="1291">
        <v>1</v>
      </c>
      <c r="L210" s="2220" t="str">
        <f t="shared" si="13"/>
        <v>Ataque Adicional Limitado+1</v>
      </c>
      <c r="M210" s="242"/>
      <c r="N210" s="5894"/>
      <c r="O210" s="87" t="s">
        <v>9262</v>
      </c>
      <c r="P210" s="87" t="s">
        <v>1695</v>
      </c>
      <c r="Q210" s="81">
        <v>-10</v>
      </c>
      <c r="R210" s="81">
        <v>1</v>
      </c>
      <c r="S210" s="2220" t="str">
        <f t="shared" si="12"/>
        <v>Ataque EspecializadoAcumulación</v>
      </c>
      <c r="T210" s="242"/>
      <c r="U210" s="5891"/>
      <c r="V210" s="87" t="s">
        <v>9270</v>
      </c>
      <c r="W210" s="87" t="str">
        <f t="shared" si="11"/>
        <v>'Tablas Técnicas'!$P$246:$P$246</v>
      </c>
      <c r="X210" s="2218" t="s">
        <v>3265</v>
      </c>
      <c r="Z210" s="242"/>
    </row>
    <row r="211" spans="1:26" ht="12" customHeight="1" x14ac:dyDescent="0.2">
      <c r="A211" s="5889"/>
      <c r="B211" s="5887"/>
      <c r="C211" s="45" t="s">
        <v>9165</v>
      </c>
      <c r="D211" s="87" t="s">
        <v>2917</v>
      </c>
      <c r="E211" s="1291">
        <v>6</v>
      </c>
      <c r="F211" s="1292">
        <v>9</v>
      </c>
      <c r="G211" s="1291">
        <v>10</v>
      </c>
      <c r="H211" s="1291">
        <v>2</v>
      </c>
      <c r="I211" s="1291">
        <v>4</v>
      </c>
      <c r="J211" s="1291">
        <v>7</v>
      </c>
      <c r="K211" s="1291">
        <v>1</v>
      </c>
      <c r="L211" s="2220" t="str">
        <f t="shared" si="13"/>
        <v>Ataque Adicional Limitado+2</v>
      </c>
      <c r="M211" s="242"/>
      <c r="N211" s="5894"/>
      <c r="O211" s="87" t="s">
        <v>9295</v>
      </c>
      <c r="P211" s="87"/>
      <c r="Q211" s="81"/>
      <c r="R211" s="81"/>
      <c r="S211" s="2220" t="str">
        <f t="shared" si="12"/>
        <v>&gt; ATADA A UN ARMA</v>
      </c>
      <c r="T211" s="242"/>
      <c r="U211" s="5891"/>
      <c r="V211" s="87" t="s">
        <v>9272</v>
      </c>
      <c r="W211" s="87" t="str">
        <f t="shared" si="11"/>
        <v>'Tablas Técnicas'!$P$248:$P$248</v>
      </c>
      <c r="X211" s="2218" t="s">
        <v>3265</v>
      </c>
      <c r="Z211" s="242"/>
    </row>
    <row r="212" spans="1:26" ht="12" customHeight="1" x14ac:dyDescent="0.2">
      <c r="A212" s="5889"/>
      <c r="B212" s="5887"/>
      <c r="C212" s="45" t="s">
        <v>9165</v>
      </c>
      <c r="D212" s="87" t="s">
        <v>2918</v>
      </c>
      <c r="E212" s="1291">
        <v>9</v>
      </c>
      <c r="F212" s="1292">
        <v>12</v>
      </c>
      <c r="G212" s="1291">
        <v>15</v>
      </c>
      <c r="H212" s="1291">
        <v>3</v>
      </c>
      <c r="I212" s="1291">
        <v>6</v>
      </c>
      <c r="J212" s="1291">
        <v>11</v>
      </c>
      <c r="K212" s="1291">
        <v>1</v>
      </c>
      <c r="L212" s="2220" t="str">
        <f t="shared" si="13"/>
        <v>Ataque Adicional Limitado+3</v>
      </c>
      <c r="M212" s="242"/>
      <c r="N212" s="5894"/>
      <c r="O212" s="87" t="s">
        <v>9264</v>
      </c>
      <c r="P212" s="87" t="s">
        <v>9296</v>
      </c>
      <c r="Q212" s="81">
        <v>-5</v>
      </c>
      <c r="R212" s="81">
        <v>1</v>
      </c>
      <c r="S212" s="2220" t="str">
        <f t="shared" si="12"/>
        <v>Atada A Un ArmaGenérica</v>
      </c>
      <c r="T212" s="242"/>
      <c r="U212" s="5891"/>
      <c r="V212" s="87" t="s">
        <v>9273</v>
      </c>
      <c r="W212" s="87" t="str">
        <f t="shared" si="11"/>
        <v>'Tablas Técnicas'!$P$250:$P$254</v>
      </c>
      <c r="X212" s="2218" t="s">
        <v>3265</v>
      </c>
      <c r="Z212" s="242"/>
    </row>
    <row r="213" spans="1:26" ht="12" customHeight="1" x14ac:dyDescent="0.2">
      <c r="A213" s="5889"/>
      <c r="B213" s="5887"/>
      <c r="C213" s="45" t="s">
        <v>9165</v>
      </c>
      <c r="D213" s="87" t="s">
        <v>3223</v>
      </c>
      <c r="E213" s="1291">
        <v>12</v>
      </c>
      <c r="F213" s="1292">
        <v>15</v>
      </c>
      <c r="G213" s="1291">
        <v>20</v>
      </c>
      <c r="H213" s="1291">
        <v>4</v>
      </c>
      <c r="I213" s="1291">
        <v>8</v>
      </c>
      <c r="J213" s="1291">
        <v>14</v>
      </c>
      <c r="K213" s="1291">
        <v>1</v>
      </c>
      <c r="L213" s="2220" t="str">
        <f t="shared" si="13"/>
        <v>Ataque Adicional Limitado+4</v>
      </c>
      <c r="M213" s="242"/>
      <c r="N213" s="5894"/>
      <c r="O213" s="87" t="s">
        <v>9264</v>
      </c>
      <c r="P213" s="87" t="s">
        <v>9297</v>
      </c>
      <c r="Q213" s="81">
        <v>-10</v>
      </c>
      <c r="R213" s="81">
        <v>1</v>
      </c>
      <c r="S213" s="2220" t="str">
        <f t="shared" si="12"/>
        <v>Atada A Un ArmaÚnica</v>
      </c>
      <c r="T213" s="242"/>
      <c r="U213" s="5891"/>
      <c r="V213" s="87" t="s">
        <v>3266</v>
      </c>
      <c r="W213" s="87" t="str">
        <f t="shared" si="11"/>
        <v>'Tablas Técnicas'!$P$256:$P$256</v>
      </c>
      <c r="X213" s="2218" t="s">
        <v>3265</v>
      </c>
      <c r="Z213" s="242"/>
    </row>
    <row r="214" spans="1:26" ht="12" customHeight="1" x14ac:dyDescent="0.2">
      <c r="A214" s="5889"/>
      <c r="B214" s="5887"/>
      <c r="C214" s="45" t="s">
        <v>9165</v>
      </c>
      <c r="D214" s="87" t="s">
        <v>7125</v>
      </c>
      <c r="E214" s="1291">
        <v>15</v>
      </c>
      <c r="F214" s="1292">
        <v>19</v>
      </c>
      <c r="G214" s="1291">
        <v>30</v>
      </c>
      <c r="H214" s="1291">
        <v>6</v>
      </c>
      <c r="I214" s="1291">
        <v>12</v>
      </c>
      <c r="J214" s="1291">
        <v>21</v>
      </c>
      <c r="K214" s="1291">
        <v>1</v>
      </c>
      <c r="L214" s="2220" t="str">
        <f t="shared" si="13"/>
        <v>Ataque Adicional Limitado+5</v>
      </c>
      <c r="M214" s="242"/>
      <c r="N214" s="5894"/>
      <c r="O214" s="87" t="s">
        <v>9298</v>
      </c>
      <c r="P214" s="87"/>
      <c r="Q214" s="81"/>
      <c r="R214" s="81"/>
      <c r="S214" s="2220" t="str">
        <f t="shared" si="12"/>
        <v>&gt; CIRCUNSTANCIA LÍMITE</v>
      </c>
      <c r="T214" s="242"/>
      <c r="U214" s="5891"/>
      <c r="V214" s="87" t="s">
        <v>9274</v>
      </c>
      <c r="W214" s="87" t="str">
        <f t="shared" si="11"/>
        <v>'Tablas Técnicas'!$P$258:$P$260</v>
      </c>
      <c r="X214" s="2218" t="s">
        <v>3265</v>
      </c>
      <c r="Z214" s="242"/>
    </row>
    <row r="215" spans="1:26" ht="12" customHeight="1" x14ac:dyDescent="0.2">
      <c r="A215" s="5889"/>
      <c r="B215" s="5887"/>
      <c r="C215" s="45" t="s">
        <v>9165</v>
      </c>
      <c r="D215" s="87" t="s">
        <v>9380</v>
      </c>
      <c r="E215" s="1291">
        <v>18</v>
      </c>
      <c r="F215" s="1292">
        <v>22</v>
      </c>
      <c r="G215" s="1291">
        <v>40</v>
      </c>
      <c r="H215" s="1291">
        <v>8</v>
      </c>
      <c r="I215" s="1291">
        <v>16</v>
      </c>
      <c r="J215" s="1291">
        <v>28</v>
      </c>
      <c r="K215" s="1291">
        <v>2</v>
      </c>
      <c r="L215" s="2220" t="str">
        <f t="shared" si="13"/>
        <v>Ataque Adicional Limitado+6</v>
      </c>
      <c r="M215" s="242"/>
      <c r="N215" s="5894"/>
      <c r="O215" s="87" t="s">
        <v>9266</v>
      </c>
      <c r="P215" s="87" t="s">
        <v>9300</v>
      </c>
      <c r="Q215" s="81">
        <v>-10</v>
      </c>
      <c r="R215" s="81">
        <v>1</v>
      </c>
      <c r="S215" s="2220" t="str">
        <f t="shared" si="12"/>
        <v>Circunstancia LímiteMitad de PV</v>
      </c>
      <c r="T215" s="242"/>
      <c r="U215" s="5891"/>
      <c r="V215" s="87" t="s">
        <v>9275</v>
      </c>
      <c r="W215" s="87" t="str">
        <f t="shared" si="11"/>
        <v>'Tablas Técnicas'!$P$262:$P$263</v>
      </c>
      <c r="X215" s="2218" t="s">
        <v>3265</v>
      </c>
      <c r="Z215" s="242"/>
    </row>
    <row r="216" spans="1:26" ht="12" customHeight="1" x14ac:dyDescent="0.2">
      <c r="A216" s="5889"/>
      <c r="B216" s="5887"/>
      <c r="C216" s="45" t="s">
        <v>9165</v>
      </c>
      <c r="D216" s="87" t="s">
        <v>7140</v>
      </c>
      <c r="E216" s="1291">
        <v>22</v>
      </c>
      <c r="F216" s="1292">
        <v>26</v>
      </c>
      <c r="G216" s="1291">
        <v>50</v>
      </c>
      <c r="H216" s="1291">
        <v>10</v>
      </c>
      <c r="I216" s="1291">
        <v>20</v>
      </c>
      <c r="J216" s="1291">
        <v>35</v>
      </c>
      <c r="K216" s="1291">
        <v>2</v>
      </c>
      <c r="L216" s="2220" t="str">
        <f t="shared" si="13"/>
        <v>Ataque Adicional Limitado+8</v>
      </c>
      <c r="M216" s="242"/>
      <c r="N216" s="5894"/>
      <c r="O216" s="87" t="s">
        <v>9266</v>
      </c>
      <c r="P216" s="87" t="s">
        <v>9302</v>
      </c>
      <c r="Q216" s="81">
        <v>-15</v>
      </c>
      <c r="R216" s="81">
        <v>1</v>
      </c>
      <c r="S216" s="2220" t="str">
        <f t="shared" si="12"/>
        <v>Circunstancia LímiteUna 1/4 de PV</v>
      </c>
      <c r="T216" s="242"/>
      <c r="U216" s="5891"/>
      <c r="V216" s="87" t="s">
        <v>9276</v>
      </c>
      <c r="W216" s="87" t="str">
        <f t="shared" si="11"/>
        <v>'Tablas Técnicas'!$P$265:$P$269</v>
      </c>
      <c r="X216" s="2218" t="s">
        <v>3265</v>
      </c>
      <c r="Z216" s="242"/>
    </row>
    <row r="217" spans="1:26" ht="12" customHeight="1" x14ac:dyDescent="0.2">
      <c r="A217" s="5889"/>
      <c r="B217" s="5887"/>
      <c r="C217" s="45" t="s">
        <v>9165</v>
      </c>
      <c r="D217" s="87" t="s">
        <v>7748</v>
      </c>
      <c r="E217" s="1291">
        <v>26</v>
      </c>
      <c r="F217" s="1292">
        <v>32</v>
      </c>
      <c r="G217" s="1291">
        <v>60</v>
      </c>
      <c r="H217" s="1291">
        <v>12</v>
      </c>
      <c r="I217" s="1291">
        <v>24</v>
      </c>
      <c r="J217" s="1291">
        <v>42</v>
      </c>
      <c r="K217" s="1291">
        <v>3</v>
      </c>
      <c r="L217" s="2220" t="str">
        <f t="shared" si="13"/>
        <v>Ataque Adicional Limitado+10</v>
      </c>
      <c r="M217" s="242"/>
      <c r="N217" s="5894"/>
      <c r="O217" s="87" t="s">
        <v>9266</v>
      </c>
      <c r="P217" s="87" t="s">
        <v>9303</v>
      </c>
      <c r="Q217" s="81">
        <v>-25</v>
      </c>
      <c r="R217" s="81">
        <v>2</v>
      </c>
      <c r="S217" s="2220" t="str">
        <f t="shared" si="12"/>
        <v>Circunstancia LímitePV Negativos</v>
      </c>
      <c r="T217" s="242"/>
      <c r="U217" s="5891"/>
      <c r="V217" s="87" t="s">
        <v>9277</v>
      </c>
      <c r="W217" s="87" t="str">
        <f t="shared" si="11"/>
        <v>'Tablas Técnicas'!$P$271:$P$278</v>
      </c>
      <c r="X217" s="2218" t="s">
        <v>3265</v>
      </c>
      <c r="Z217" s="242"/>
    </row>
    <row r="218" spans="1:26" ht="12" customHeight="1" x14ac:dyDescent="0.2">
      <c r="A218" s="5889"/>
      <c r="B218" s="5887"/>
      <c r="C218" s="45" t="s">
        <v>9165</v>
      </c>
      <c r="D218" s="87" t="s">
        <v>3219</v>
      </c>
      <c r="E218" s="1291">
        <v>10</v>
      </c>
      <c r="F218" s="1292">
        <v>10</v>
      </c>
      <c r="G218" s="1291">
        <v>30</v>
      </c>
      <c r="H218" s="1291">
        <v>5</v>
      </c>
      <c r="I218" s="1291">
        <v>10</v>
      </c>
      <c r="J218" s="1291">
        <v>18</v>
      </c>
      <c r="K218" s="1291"/>
      <c r="L218" s="2220" t="str">
        <f t="shared" si="13"/>
        <v>Ataque Adicional LimitadoAtaque Contínuo</v>
      </c>
      <c r="M218" s="242"/>
      <c r="N218" s="5894"/>
      <c r="O218" s="87" t="s">
        <v>9266</v>
      </c>
      <c r="P218" s="87" t="s">
        <v>9304</v>
      </c>
      <c r="Q218" s="81">
        <v>-10</v>
      </c>
      <c r="R218" s="81">
        <v>1</v>
      </c>
      <c r="S218" s="2220" t="str">
        <f t="shared" si="12"/>
        <v>Circunstancia LímiteRecibir Daño</v>
      </c>
      <c r="T218" s="242"/>
      <c r="U218" s="5891"/>
      <c r="V218" s="87" t="s">
        <v>3267</v>
      </c>
      <c r="W218" s="87" t="str">
        <f t="shared" si="11"/>
        <v>'Tablas Técnicas'!$P$280:$P$280</v>
      </c>
      <c r="X218" s="2218" t="s">
        <v>1240</v>
      </c>
      <c r="Z218" s="242"/>
    </row>
    <row r="219" spans="1:26" ht="12" customHeight="1" x14ac:dyDescent="0.2">
      <c r="A219" s="5889"/>
      <c r="B219" s="5887"/>
      <c r="C219" s="45" t="s">
        <v>9381</v>
      </c>
      <c r="D219" s="87"/>
      <c r="E219" s="1291"/>
      <c r="F219" s="1292"/>
      <c r="G219" s="1291"/>
      <c r="H219" s="1291"/>
      <c r="I219" s="1291"/>
      <c r="J219" s="1291"/>
      <c r="K219" s="1291"/>
      <c r="L219" s="2220" t="str">
        <f t="shared" si="13"/>
        <v>&gt; DEFENSAS ADICIONALES</v>
      </c>
      <c r="M219" s="242"/>
      <c r="N219" s="5894"/>
      <c r="O219" s="87" t="s">
        <v>9305</v>
      </c>
      <c r="P219" s="87"/>
      <c r="Q219" s="81"/>
      <c r="R219" s="81"/>
      <c r="S219" s="2220" t="str">
        <f t="shared" si="12"/>
        <v>&gt; CIRCUNSTANCIA DE COMBATE</v>
      </c>
      <c r="T219" s="242"/>
      <c r="U219" s="5891"/>
      <c r="V219" s="87" t="s">
        <v>3268</v>
      </c>
      <c r="W219" s="87" t="str">
        <f t="shared" si="11"/>
        <v>'Tablas Técnicas'!$P$282:$P$283</v>
      </c>
      <c r="X219" s="2218" t="s">
        <v>3265</v>
      </c>
      <c r="Z219" s="242"/>
    </row>
    <row r="220" spans="1:26" ht="12" customHeight="1" x14ac:dyDescent="0.2">
      <c r="A220" s="5889"/>
      <c r="B220" s="5887"/>
      <c r="C220" s="45" t="s">
        <v>9167</v>
      </c>
      <c r="D220" s="87" t="s">
        <v>2956</v>
      </c>
      <c r="E220" s="1291">
        <v>1</v>
      </c>
      <c r="F220" s="1292">
        <v>2</v>
      </c>
      <c r="G220" s="1291">
        <v>5</v>
      </c>
      <c r="H220" s="1291">
        <v>1</v>
      </c>
      <c r="I220" s="1291">
        <v>2</v>
      </c>
      <c r="J220" s="1291">
        <v>4</v>
      </c>
      <c r="K220" s="1291">
        <v>1</v>
      </c>
      <c r="L220" s="2220" t="str">
        <f t="shared" si="13"/>
        <v>Defensas Adicionales+1</v>
      </c>
      <c r="M220" s="242"/>
      <c r="N220" s="5894"/>
      <c r="O220" s="87" t="s">
        <v>9267</v>
      </c>
      <c r="P220" s="87"/>
      <c r="Q220" s="81">
        <v>-5</v>
      </c>
      <c r="R220" s="81">
        <v>1</v>
      </c>
      <c r="S220" s="2220" t="str">
        <f t="shared" si="12"/>
        <v>Circunstancia De Combate</v>
      </c>
      <c r="T220" s="242"/>
      <c r="U220" s="5891"/>
      <c r="V220" s="87" t="s">
        <v>9278</v>
      </c>
      <c r="W220" s="87" t="str">
        <f t="shared" si="11"/>
        <v>'Tablas Técnicas'!$P$285:$P$287</v>
      </c>
      <c r="X220" s="2218" t="s">
        <v>3265</v>
      </c>
      <c r="Z220" s="242"/>
    </row>
    <row r="221" spans="1:26" ht="12" customHeight="1" x14ac:dyDescent="0.2">
      <c r="A221" s="5889"/>
      <c r="B221" s="5887"/>
      <c r="C221" s="45" t="s">
        <v>9167</v>
      </c>
      <c r="D221" s="87" t="s">
        <v>2917</v>
      </c>
      <c r="E221" s="1291">
        <v>2</v>
      </c>
      <c r="F221" s="1292">
        <v>4</v>
      </c>
      <c r="G221" s="1291">
        <v>5</v>
      </c>
      <c r="H221" s="1291">
        <v>2</v>
      </c>
      <c r="I221" s="1291">
        <v>4</v>
      </c>
      <c r="J221" s="1291">
        <v>7</v>
      </c>
      <c r="K221" s="1291">
        <v>1</v>
      </c>
      <c r="L221" s="2220" t="str">
        <f t="shared" si="13"/>
        <v>Defensas Adicionales+2</v>
      </c>
      <c r="M221" s="242"/>
      <c r="N221" s="5894"/>
      <c r="O221" s="87" t="s">
        <v>9306</v>
      </c>
      <c r="P221" s="87"/>
      <c r="Q221" s="81"/>
      <c r="R221" s="81"/>
      <c r="S221" s="2220" t="str">
        <f t="shared" si="12"/>
        <v>&gt; COMPLEJA</v>
      </c>
      <c r="T221" s="242"/>
      <c r="U221" s="5891"/>
      <c r="V221" s="87" t="s">
        <v>9279</v>
      </c>
      <c r="W221" s="87" t="str">
        <f t="shared" si="11"/>
        <v>'Tablas Técnicas'!$P$289:$P$293</v>
      </c>
      <c r="X221" s="2218" t="s">
        <v>3265</v>
      </c>
      <c r="Z221" s="242"/>
    </row>
    <row r="222" spans="1:26" ht="12" customHeight="1" x14ac:dyDescent="0.2">
      <c r="A222" s="5889"/>
      <c r="B222" s="5887"/>
      <c r="C222" s="45" t="s">
        <v>9167</v>
      </c>
      <c r="D222" s="87" t="s">
        <v>2918</v>
      </c>
      <c r="E222" s="1291">
        <v>3</v>
      </c>
      <c r="F222" s="1292">
        <v>5</v>
      </c>
      <c r="G222" s="1291">
        <v>10</v>
      </c>
      <c r="H222" s="1291">
        <v>3</v>
      </c>
      <c r="I222" s="1291">
        <v>6</v>
      </c>
      <c r="J222" s="1291">
        <v>11</v>
      </c>
      <c r="K222" s="1291">
        <v>1</v>
      </c>
      <c r="L222" s="2220" t="str">
        <f t="shared" si="13"/>
        <v>Defensas Adicionales+3</v>
      </c>
      <c r="M222" s="242"/>
      <c r="N222" s="5894"/>
      <c r="O222" s="87" t="s">
        <v>2191</v>
      </c>
      <c r="P222" s="87"/>
      <c r="Q222" s="81">
        <v>-5</v>
      </c>
      <c r="R222" s="81">
        <v>2</v>
      </c>
      <c r="S222" s="2220" t="str">
        <f t="shared" si="12"/>
        <v>Compleja</v>
      </c>
      <c r="T222" s="242"/>
      <c r="U222" s="5891"/>
      <c r="V222" s="87" t="s">
        <v>9078</v>
      </c>
      <c r="W222" s="87"/>
      <c r="X222" s="2218"/>
      <c r="Z222" s="242"/>
    </row>
    <row r="223" spans="1:26" ht="12" customHeight="1" x14ac:dyDescent="0.2">
      <c r="A223" s="5889"/>
      <c r="B223" s="5887"/>
      <c r="C223" s="45" t="s">
        <v>9167</v>
      </c>
      <c r="D223" s="87" t="s">
        <v>3223</v>
      </c>
      <c r="E223" s="1291">
        <v>4</v>
      </c>
      <c r="F223" s="1292">
        <v>6</v>
      </c>
      <c r="G223" s="1291">
        <v>15</v>
      </c>
      <c r="H223" s="1291">
        <v>4</v>
      </c>
      <c r="I223" s="1291">
        <v>8</v>
      </c>
      <c r="J223" s="1291">
        <v>14</v>
      </c>
      <c r="K223" s="1291">
        <v>1</v>
      </c>
      <c r="L223" s="2220" t="str">
        <f t="shared" si="13"/>
        <v>Defensas Adicionales+4</v>
      </c>
      <c r="M223" s="242"/>
      <c r="N223" s="5894"/>
      <c r="O223" s="87" t="s">
        <v>9307</v>
      </c>
      <c r="P223" s="87"/>
      <c r="Q223" s="81"/>
      <c r="R223" s="81"/>
      <c r="S223" s="2220" t="str">
        <f t="shared" si="12"/>
        <v>&gt; CONDICIONES</v>
      </c>
      <c r="T223" s="242"/>
      <c r="U223" s="5891"/>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8" t="str">
        <f>IF(Personalización!O69="","",Personalización!O69)</f>
        <v/>
      </c>
      <c r="Z223" s="242"/>
    </row>
    <row r="224" spans="1:26" ht="12" customHeight="1" x14ac:dyDescent="0.2">
      <c r="A224" s="5889"/>
      <c r="B224" s="5887"/>
      <c r="C224" s="45" t="s">
        <v>9167</v>
      </c>
      <c r="D224" s="87" t="s">
        <v>9380</v>
      </c>
      <c r="E224" s="1291">
        <v>5</v>
      </c>
      <c r="F224" s="1292">
        <v>8</v>
      </c>
      <c r="G224" s="1291">
        <v>20</v>
      </c>
      <c r="H224" s="1291">
        <v>6</v>
      </c>
      <c r="I224" s="1291">
        <v>12</v>
      </c>
      <c r="J224" s="1291">
        <v>21</v>
      </c>
      <c r="K224" s="1291">
        <v>1</v>
      </c>
      <c r="L224" s="2220" t="str">
        <f t="shared" si="13"/>
        <v>Defensas Adicionales+6</v>
      </c>
      <c r="M224" s="242"/>
      <c r="N224" s="5894"/>
      <c r="O224" s="87" t="s">
        <v>7786</v>
      </c>
      <c r="P224" s="87" t="s">
        <v>9308</v>
      </c>
      <c r="Q224" s="81">
        <v>-5</v>
      </c>
      <c r="R224" s="81">
        <v>1</v>
      </c>
      <c r="S224" s="2220" t="str">
        <f t="shared" si="12"/>
        <v>CondiciónDesenvainar</v>
      </c>
      <c r="T224" s="242"/>
      <c r="U224" s="5891"/>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8" t="str">
        <f>IF(Personalización!O70="","",Personalización!O70)</f>
        <v/>
      </c>
      <c r="Z224" s="242"/>
    </row>
    <row r="225" spans="1:26" ht="12" customHeight="1" thickBot="1" x14ac:dyDescent="0.25">
      <c r="A225" s="5889"/>
      <c r="B225" s="5887"/>
      <c r="C225" s="45" t="s">
        <v>9167</v>
      </c>
      <c r="D225" s="87" t="s">
        <v>7140</v>
      </c>
      <c r="E225" s="1291">
        <v>6</v>
      </c>
      <c r="F225" s="1292">
        <v>9</v>
      </c>
      <c r="G225" s="1291">
        <v>25</v>
      </c>
      <c r="H225" s="1291">
        <v>8</v>
      </c>
      <c r="I225" s="1291">
        <v>16</v>
      </c>
      <c r="J225" s="1291">
        <v>28</v>
      </c>
      <c r="K225" s="1291">
        <v>1</v>
      </c>
      <c r="L225" s="2220" t="str">
        <f t="shared" si="13"/>
        <v>Defensas Adicionales+8</v>
      </c>
      <c r="M225" s="242"/>
      <c r="N225" s="5894"/>
      <c r="O225" s="87" t="s">
        <v>7786</v>
      </c>
      <c r="P225" s="87" t="s">
        <v>9309</v>
      </c>
      <c r="Q225" s="81">
        <v>-5</v>
      </c>
      <c r="R225" s="81">
        <v>1</v>
      </c>
      <c r="S225" s="2220" t="str">
        <f t="shared" si="12"/>
        <v>CondiciónEn Vuelo</v>
      </c>
      <c r="T225" s="242"/>
      <c r="U225" s="5892"/>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3" t="str">
        <f>IF(Personalización!O71="","",Personalización!O71)</f>
        <v/>
      </c>
      <c r="Z225" s="242"/>
    </row>
    <row r="226" spans="1:26" ht="12" customHeight="1" x14ac:dyDescent="0.2">
      <c r="A226" s="5889"/>
      <c r="B226" s="5887"/>
      <c r="C226" s="45" t="s">
        <v>9167</v>
      </c>
      <c r="D226" s="87" t="s">
        <v>7748</v>
      </c>
      <c r="E226" s="1291">
        <v>7</v>
      </c>
      <c r="F226" s="1292">
        <v>10</v>
      </c>
      <c r="G226" s="1291">
        <v>30</v>
      </c>
      <c r="H226" s="1291">
        <v>10</v>
      </c>
      <c r="I226" s="1291">
        <v>20</v>
      </c>
      <c r="J226" s="1291">
        <v>35</v>
      </c>
      <c r="K226" s="1291">
        <v>2</v>
      </c>
      <c r="L226" s="2220" t="str">
        <f t="shared" si="13"/>
        <v>Defensas Adicionales+10</v>
      </c>
      <c r="M226" s="242"/>
      <c r="N226" s="5894"/>
      <c r="O226" s="87" t="s">
        <v>7786</v>
      </c>
      <c r="P226" s="87" t="s">
        <v>9310</v>
      </c>
      <c r="Q226" s="81">
        <v>-5</v>
      </c>
      <c r="R226" s="81">
        <v>1</v>
      </c>
      <c r="S226" s="2220" t="str">
        <f t="shared" si="12"/>
        <v>CondiciónEn Carga</v>
      </c>
      <c r="T226" s="242"/>
      <c r="U226" s="242"/>
      <c r="Z226" s="242"/>
    </row>
    <row r="227" spans="1:26" ht="12" customHeight="1" x14ac:dyDescent="0.2">
      <c r="A227" s="5889"/>
      <c r="B227" s="5887"/>
      <c r="C227" s="45" t="s">
        <v>9167</v>
      </c>
      <c r="D227" s="87" t="s">
        <v>9382</v>
      </c>
      <c r="E227" s="1291">
        <v>8</v>
      </c>
      <c r="F227" s="1292">
        <v>11</v>
      </c>
      <c r="G227" s="1291">
        <v>35</v>
      </c>
      <c r="H227" s="1291">
        <v>12</v>
      </c>
      <c r="I227" s="1291">
        <v>24</v>
      </c>
      <c r="J227" s="1291">
        <v>42</v>
      </c>
      <c r="K227" s="1291">
        <v>3</v>
      </c>
      <c r="L227" s="2220" t="str">
        <f t="shared" si="13"/>
        <v>Defensas AdicionalesIlimitadas</v>
      </c>
      <c r="M227" s="242"/>
      <c r="N227" s="5894"/>
      <c r="O227" s="87" t="s">
        <v>7786</v>
      </c>
      <c r="P227" s="87" t="s">
        <v>9312</v>
      </c>
      <c r="Q227" s="81">
        <v>-5</v>
      </c>
      <c r="R227" s="81">
        <v>1</v>
      </c>
      <c r="S227" s="2220" t="str">
        <f t="shared" si="12"/>
        <v>CondiciónMontado</v>
      </c>
      <c r="T227" s="242"/>
      <c r="U227" s="242"/>
      <c r="Z227" s="242"/>
    </row>
    <row r="228" spans="1:26" ht="12" customHeight="1" x14ac:dyDescent="0.2">
      <c r="A228" s="5889"/>
      <c r="B228" s="5887"/>
      <c r="C228" s="45" t="s">
        <v>9167</v>
      </c>
      <c r="D228" s="87" t="s">
        <v>3220</v>
      </c>
      <c r="E228" s="1291">
        <v>6</v>
      </c>
      <c r="F228" s="1292">
        <v>6</v>
      </c>
      <c r="G228" s="1291">
        <v>20</v>
      </c>
      <c r="H228" s="1291">
        <v>2</v>
      </c>
      <c r="I228" s="1291">
        <v>4</v>
      </c>
      <c r="J228" s="1291">
        <v>7</v>
      </c>
      <c r="K228" s="1291"/>
      <c r="L228" s="2220" t="str">
        <f t="shared" si="13"/>
        <v>Defensas AdicionalesBono de Cansancio Añadido</v>
      </c>
      <c r="M228" s="242"/>
      <c r="N228" s="5894"/>
      <c r="O228" s="87" t="s">
        <v>7786</v>
      </c>
      <c r="P228" s="87" t="s">
        <v>9313</v>
      </c>
      <c r="Q228" s="81">
        <v>-10</v>
      </c>
      <c r="R228" s="81">
        <v>1</v>
      </c>
      <c r="S228" s="2220" t="str">
        <f t="shared" si="12"/>
        <v>CondiciónDiurno</v>
      </c>
      <c r="T228" s="242"/>
      <c r="U228" s="242"/>
      <c r="Z228" s="242"/>
    </row>
    <row r="229" spans="1:26" ht="12" customHeight="1" x14ac:dyDescent="0.2">
      <c r="A229" s="5889"/>
      <c r="B229" s="5887"/>
      <c r="C229" s="45" t="s">
        <v>9383</v>
      </c>
      <c r="D229" s="87"/>
      <c r="E229" s="1291"/>
      <c r="F229" s="1292"/>
      <c r="G229" s="1291"/>
      <c r="H229" s="1291"/>
      <c r="I229" s="1291"/>
      <c r="J229" s="1291"/>
      <c r="K229" s="1291"/>
      <c r="L229" s="2220" t="str">
        <f t="shared" si="13"/>
        <v>&gt; ACCIONES ADICIONALES</v>
      </c>
      <c r="M229" s="242"/>
      <c r="N229" s="5894"/>
      <c r="O229" s="87" t="s">
        <v>7786</v>
      </c>
      <c r="P229" s="87" t="s">
        <v>9314</v>
      </c>
      <c r="Q229" s="81">
        <v>-10</v>
      </c>
      <c r="R229" s="81">
        <v>1</v>
      </c>
      <c r="S229" s="2220" t="str">
        <f t="shared" si="12"/>
        <v>CondiciónNocturno</v>
      </c>
      <c r="T229" s="242"/>
      <c r="U229" s="242"/>
      <c r="Z229" s="242"/>
    </row>
    <row r="230" spans="1:26" ht="12" customHeight="1" x14ac:dyDescent="0.2">
      <c r="A230" s="5889"/>
      <c r="B230" s="5887"/>
      <c r="C230" s="45" t="s">
        <v>9170</v>
      </c>
      <c r="D230" s="87" t="s">
        <v>2956</v>
      </c>
      <c r="E230" s="1291">
        <v>1</v>
      </c>
      <c r="F230" s="1292">
        <v>2</v>
      </c>
      <c r="G230" s="1291">
        <v>5</v>
      </c>
      <c r="H230" s="1291">
        <v>1</v>
      </c>
      <c r="I230" s="1291">
        <v>2</v>
      </c>
      <c r="J230" s="1291">
        <v>4</v>
      </c>
      <c r="K230" s="1291">
        <v>1</v>
      </c>
      <c r="L230" s="2220" t="str">
        <f t="shared" si="13"/>
        <v>Acciones Adicionales+1</v>
      </c>
      <c r="M230" s="242"/>
      <c r="N230" s="5894"/>
      <c r="O230" s="87" t="s">
        <v>7786</v>
      </c>
      <c r="P230" s="87" t="s">
        <v>9315</v>
      </c>
      <c r="Q230" s="81">
        <v>-10</v>
      </c>
      <c r="R230" s="81">
        <v>1</v>
      </c>
      <c r="S230" s="2220" t="str">
        <f t="shared" si="12"/>
        <v>CondiciónTerreno Determinado</v>
      </c>
      <c r="T230" s="242"/>
      <c r="U230" s="242"/>
      <c r="Z230" s="242"/>
    </row>
    <row r="231" spans="1:26" ht="12" customHeight="1" x14ac:dyDescent="0.2">
      <c r="A231" s="5889"/>
      <c r="B231" s="5887"/>
      <c r="C231" s="45" t="s">
        <v>9170</v>
      </c>
      <c r="D231" s="87" t="s">
        <v>2917</v>
      </c>
      <c r="E231" s="1291">
        <v>2</v>
      </c>
      <c r="F231" s="1292">
        <v>4</v>
      </c>
      <c r="G231" s="1291">
        <v>5</v>
      </c>
      <c r="H231" s="1291">
        <v>2</v>
      </c>
      <c r="I231" s="1291">
        <v>4</v>
      </c>
      <c r="J231" s="1291">
        <v>7</v>
      </c>
      <c r="K231" s="1291">
        <v>1</v>
      </c>
      <c r="L231" s="2220" t="str">
        <f t="shared" si="13"/>
        <v>Acciones Adicionales+2</v>
      </c>
      <c r="M231" s="242"/>
      <c r="N231" s="5894"/>
      <c r="O231" s="87" t="s">
        <v>7786</v>
      </c>
      <c r="P231" s="87" t="s">
        <v>9316</v>
      </c>
      <c r="Q231" s="81">
        <v>-20</v>
      </c>
      <c r="R231" s="81">
        <v>2</v>
      </c>
      <c r="S231" s="2220" t="str">
        <f t="shared" si="12"/>
        <v>CondiciónUn Momento Concreto</v>
      </c>
      <c r="T231" s="242"/>
      <c r="U231" s="242"/>
      <c r="Z231" s="242"/>
    </row>
    <row r="232" spans="1:26" ht="12" customHeight="1" x14ac:dyDescent="0.2">
      <c r="A232" s="5889"/>
      <c r="B232" s="5887"/>
      <c r="C232" s="45" t="s">
        <v>9170</v>
      </c>
      <c r="D232" s="87" t="s">
        <v>2918</v>
      </c>
      <c r="E232" s="1291">
        <v>3</v>
      </c>
      <c r="F232" s="1292">
        <v>5</v>
      </c>
      <c r="G232" s="1291">
        <v>10</v>
      </c>
      <c r="H232" s="1291">
        <v>3</v>
      </c>
      <c r="I232" s="1291">
        <v>6</v>
      </c>
      <c r="J232" s="1291">
        <v>11</v>
      </c>
      <c r="K232" s="1291">
        <v>1</v>
      </c>
      <c r="L232" s="2220" t="str">
        <f t="shared" si="13"/>
        <v>Acciones Adicionales+3</v>
      </c>
      <c r="M232" s="242"/>
      <c r="N232" s="5894"/>
      <c r="O232" s="87" t="s">
        <v>9317</v>
      </c>
      <c r="P232" s="87"/>
      <c r="Q232" s="81"/>
      <c r="R232" s="81"/>
      <c r="S232" s="2220" t="str">
        <f t="shared" si="12"/>
        <v>&gt; DAÑO REDUCIDO</v>
      </c>
      <c r="T232" s="242"/>
      <c r="U232" s="242"/>
      <c r="Z232" s="242"/>
    </row>
    <row r="233" spans="1:26" ht="12" customHeight="1" x14ac:dyDescent="0.2">
      <c r="A233" s="5889"/>
      <c r="B233" s="5887"/>
      <c r="C233" s="45" t="s">
        <v>9170</v>
      </c>
      <c r="D233" s="87" t="s">
        <v>3223</v>
      </c>
      <c r="E233" s="1291">
        <v>4</v>
      </c>
      <c r="F233" s="1292">
        <v>6</v>
      </c>
      <c r="G233" s="1291">
        <v>15</v>
      </c>
      <c r="H233" s="1291">
        <v>4</v>
      </c>
      <c r="I233" s="1291">
        <v>8</v>
      </c>
      <c r="J233" s="1291">
        <v>14</v>
      </c>
      <c r="K233" s="1291">
        <v>1</v>
      </c>
      <c r="L233" s="2220" t="str">
        <f t="shared" si="13"/>
        <v>Acciones Adicionales+4</v>
      </c>
      <c r="M233" s="242"/>
      <c r="N233" s="5894"/>
      <c r="O233" s="87" t="s">
        <v>9092</v>
      </c>
      <c r="P233" s="87" t="s">
        <v>9093</v>
      </c>
      <c r="Q233" s="81">
        <v>-20</v>
      </c>
      <c r="R233" s="81">
        <v>1</v>
      </c>
      <c r="S233" s="2220" t="str">
        <f t="shared" si="12"/>
        <v>Daño ReducidoNingún Daño</v>
      </c>
      <c r="T233" s="242"/>
      <c r="U233" s="242"/>
      <c r="Z233" s="242"/>
    </row>
    <row r="234" spans="1:26" ht="12" customHeight="1" x14ac:dyDescent="0.2">
      <c r="A234" s="5889"/>
      <c r="B234" s="5887"/>
      <c r="C234" s="45" t="s">
        <v>9170</v>
      </c>
      <c r="D234" s="87" t="s">
        <v>7125</v>
      </c>
      <c r="E234" s="1291">
        <v>5</v>
      </c>
      <c r="F234" s="1292">
        <v>8</v>
      </c>
      <c r="G234" s="1291">
        <v>20</v>
      </c>
      <c r="H234" s="1291">
        <v>6</v>
      </c>
      <c r="I234" s="1291">
        <v>12</v>
      </c>
      <c r="J234" s="1291">
        <v>21</v>
      </c>
      <c r="K234" s="1291">
        <v>1</v>
      </c>
      <c r="L234" s="2220" t="str">
        <f t="shared" si="13"/>
        <v>Acciones Adicionales+5</v>
      </c>
      <c r="M234" s="242"/>
      <c r="N234" s="5894"/>
      <c r="O234" s="87" t="s">
        <v>9092</v>
      </c>
      <c r="P234" s="87" t="s">
        <v>9318</v>
      </c>
      <c r="Q234" s="81">
        <v>-10</v>
      </c>
      <c r="R234" s="81">
        <v>1</v>
      </c>
      <c r="S234" s="2220" t="str">
        <f t="shared" si="12"/>
        <v>Daño ReducidoMitad de Daño</v>
      </c>
      <c r="T234" s="242"/>
      <c r="U234" s="242"/>
      <c r="Z234" s="242"/>
    </row>
    <row r="235" spans="1:26" ht="12" customHeight="1" x14ac:dyDescent="0.2">
      <c r="A235" s="5889"/>
      <c r="B235" s="5887"/>
      <c r="C235" s="45" t="s">
        <v>9170</v>
      </c>
      <c r="D235" s="87" t="s">
        <v>9380</v>
      </c>
      <c r="E235" s="1291">
        <v>6</v>
      </c>
      <c r="F235" s="1292">
        <v>9</v>
      </c>
      <c r="G235" s="1291">
        <v>25</v>
      </c>
      <c r="H235" s="1291">
        <v>8</v>
      </c>
      <c r="I235" s="1291">
        <v>16</v>
      </c>
      <c r="J235" s="1291">
        <v>28</v>
      </c>
      <c r="K235" s="1291">
        <v>1</v>
      </c>
      <c r="L235" s="2220" t="str">
        <f t="shared" si="13"/>
        <v>Acciones Adicionales+6</v>
      </c>
      <c r="M235" s="242"/>
      <c r="N235" s="5894"/>
      <c r="O235" s="87" t="s">
        <v>9319</v>
      </c>
      <c r="P235" s="87"/>
      <c r="Q235" s="81"/>
      <c r="R235" s="81"/>
      <c r="S235" s="2220" t="str">
        <f t="shared" si="12"/>
        <v>&gt; DEFENSA ESPECIALIZADA</v>
      </c>
      <c r="T235" s="242"/>
      <c r="U235" s="242"/>
      <c r="Z235" s="242"/>
    </row>
    <row r="236" spans="1:26" ht="12" customHeight="1" x14ac:dyDescent="0.2">
      <c r="A236" s="5889"/>
      <c r="B236" s="5887"/>
      <c r="C236" s="45" t="s">
        <v>9170</v>
      </c>
      <c r="D236" s="87" t="s">
        <v>7140</v>
      </c>
      <c r="E236" s="1291">
        <v>7</v>
      </c>
      <c r="F236" s="1292">
        <v>10</v>
      </c>
      <c r="G236" s="1291">
        <v>30</v>
      </c>
      <c r="H236" s="1291">
        <v>10</v>
      </c>
      <c r="I236" s="1291">
        <v>20</v>
      </c>
      <c r="J236" s="1291">
        <v>35</v>
      </c>
      <c r="K236" s="1291">
        <v>2</v>
      </c>
      <c r="L236" s="2220" t="str">
        <f t="shared" si="13"/>
        <v>Acciones Adicionales+8</v>
      </c>
      <c r="M236" s="242"/>
      <c r="N236" s="5894"/>
      <c r="O236" s="87" t="s">
        <v>9268</v>
      </c>
      <c r="P236" s="87" t="s">
        <v>9321</v>
      </c>
      <c r="Q236" s="81">
        <v>-5</v>
      </c>
      <c r="R236" s="81">
        <v>1</v>
      </c>
      <c r="S236" s="2220" t="str">
        <f t="shared" si="12"/>
        <v>Defensa EspecializadaFísicos</v>
      </c>
      <c r="T236" s="242"/>
      <c r="U236" s="242"/>
      <c r="Z236" s="242"/>
    </row>
    <row r="237" spans="1:26" ht="12" customHeight="1" x14ac:dyDescent="0.2">
      <c r="A237" s="5889"/>
      <c r="B237" s="5887"/>
      <c r="C237" s="45" t="s">
        <v>9170</v>
      </c>
      <c r="D237" s="87" t="s">
        <v>7748</v>
      </c>
      <c r="E237" s="1291">
        <v>8</v>
      </c>
      <c r="F237" s="1292">
        <v>11</v>
      </c>
      <c r="G237" s="1291">
        <v>35</v>
      </c>
      <c r="H237" s="1291">
        <v>12</v>
      </c>
      <c r="I237" s="1291">
        <v>24</v>
      </c>
      <c r="J237" s="1291">
        <v>42</v>
      </c>
      <c r="K237" s="1291">
        <v>3</v>
      </c>
      <c r="L237" s="2220" t="str">
        <f t="shared" si="13"/>
        <v>Acciones Adicionales+10</v>
      </c>
      <c r="M237" s="242"/>
      <c r="N237" s="5894"/>
      <c r="O237" s="87" t="s">
        <v>9268</v>
      </c>
      <c r="P237" s="87" t="s">
        <v>2233</v>
      </c>
      <c r="Q237" s="81">
        <v>-10</v>
      </c>
      <c r="R237" s="81">
        <v>1</v>
      </c>
      <c r="S237" s="2220" t="str">
        <f t="shared" si="12"/>
        <v>Defensa EspecializadaProyectiles</v>
      </c>
      <c r="T237" s="242"/>
      <c r="U237" s="242"/>
      <c r="Z237" s="242"/>
    </row>
    <row r="238" spans="1:26" ht="12" customHeight="1" x14ac:dyDescent="0.2">
      <c r="A238" s="5889"/>
      <c r="B238" s="5887"/>
      <c r="C238" s="45" t="s">
        <v>9170</v>
      </c>
      <c r="D238" s="87" t="s">
        <v>3220</v>
      </c>
      <c r="E238" s="1291">
        <v>6</v>
      </c>
      <c r="F238" s="1292">
        <v>6</v>
      </c>
      <c r="G238" s="1291">
        <v>20</v>
      </c>
      <c r="H238" s="1291">
        <v>1</v>
      </c>
      <c r="I238" s="1291">
        <v>2</v>
      </c>
      <c r="J238" s="1291">
        <v>4</v>
      </c>
      <c r="K238" s="1291"/>
      <c r="L238" s="2220" t="str">
        <f t="shared" si="13"/>
        <v>Acciones AdicionalesBono de Cansancio Añadido</v>
      </c>
      <c r="M238" s="242"/>
      <c r="N238" s="5894"/>
      <c r="O238" s="87" t="s">
        <v>9268</v>
      </c>
      <c r="P238" s="87" t="s">
        <v>9324</v>
      </c>
      <c r="Q238" s="81">
        <v>-10</v>
      </c>
      <c r="R238" s="81">
        <v>1</v>
      </c>
      <c r="S238" s="2220" t="str">
        <f t="shared" si="12"/>
        <v>Defensa EspecializadaTécnicas Ki</v>
      </c>
      <c r="T238" s="242"/>
      <c r="U238" s="242"/>
      <c r="Z238" s="242"/>
    </row>
    <row r="239" spans="1:26" ht="12" customHeight="1" x14ac:dyDescent="0.2">
      <c r="A239" s="5889"/>
      <c r="B239" s="5887"/>
      <c r="C239" s="45" t="s">
        <v>2943</v>
      </c>
      <c r="D239" s="87"/>
      <c r="E239" s="1291"/>
      <c r="F239" s="1292"/>
      <c r="G239" s="1291"/>
      <c r="H239" s="1291"/>
      <c r="I239" s="1291"/>
      <c r="J239" s="1291"/>
      <c r="K239" s="1291"/>
      <c r="L239" s="2220" t="str">
        <f t="shared" si="13"/>
        <v>&gt;&gt;EFECTOS DE REACCIÓN</v>
      </c>
      <c r="M239" s="242"/>
      <c r="N239" s="5894"/>
      <c r="O239" s="87" t="s">
        <v>9268</v>
      </c>
      <c r="P239" s="87" t="s">
        <v>254</v>
      </c>
      <c r="Q239" s="81">
        <v>-15</v>
      </c>
      <c r="R239" s="81">
        <v>1</v>
      </c>
      <c r="S239" s="2220" t="str">
        <f t="shared" si="12"/>
        <v>Defensa EspecializadaConjuros</v>
      </c>
      <c r="T239" s="242"/>
      <c r="U239" s="242"/>
      <c r="Z239" s="242"/>
    </row>
    <row r="240" spans="1:26" ht="12" customHeight="1" x14ac:dyDescent="0.2">
      <c r="A240" s="5889"/>
      <c r="B240" s="5887"/>
      <c r="C240" s="45" t="s">
        <v>9384</v>
      </c>
      <c r="D240" s="87"/>
      <c r="E240" s="1291"/>
      <c r="F240" s="1292"/>
      <c r="G240" s="1291"/>
      <c r="H240" s="1291"/>
      <c r="I240" s="1291"/>
      <c r="J240" s="1291"/>
      <c r="K240" s="1291"/>
      <c r="L240" s="2220" t="str">
        <f t="shared" si="13"/>
        <v>&gt; INCREMENTAR TURNO</v>
      </c>
      <c r="M240" s="242"/>
      <c r="N240" s="5894"/>
      <c r="O240" s="87" t="s">
        <v>9268</v>
      </c>
      <c r="P240" s="87" t="s">
        <v>9325</v>
      </c>
      <c r="Q240" s="81">
        <v>-15</v>
      </c>
      <c r="R240" s="81">
        <v>1</v>
      </c>
      <c r="S240" s="2220" t="str">
        <f t="shared" si="12"/>
        <v>Defensa EspecializadaPsíquica</v>
      </c>
      <c r="T240" s="242"/>
      <c r="U240" s="242"/>
      <c r="Z240" s="242"/>
    </row>
    <row r="241" spans="1:26" ht="12" customHeight="1" x14ac:dyDescent="0.2">
      <c r="A241" s="5889"/>
      <c r="B241" s="5887"/>
      <c r="C241" s="45" t="s">
        <v>9174</v>
      </c>
      <c r="D241" s="87" t="s">
        <v>7892</v>
      </c>
      <c r="E241" s="1291">
        <v>1</v>
      </c>
      <c r="F241" s="1292">
        <v>2</v>
      </c>
      <c r="G241" s="1291">
        <v>5</v>
      </c>
      <c r="H241" s="1291">
        <v>1</v>
      </c>
      <c r="I241" s="1291">
        <v>2</v>
      </c>
      <c r="J241" s="1291">
        <v>4</v>
      </c>
      <c r="K241" s="1291">
        <v>1</v>
      </c>
      <c r="L241" s="2220" t="str">
        <f t="shared" si="13"/>
        <v>Incrementar Turno+25</v>
      </c>
      <c r="M241" s="242"/>
      <c r="N241" s="5894"/>
      <c r="O241" s="87" t="s">
        <v>9326</v>
      </c>
      <c r="P241" s="87"/>
      <c r="Q241" s="81"/>
      <c r="R241" s="81"/>
      <c r="S241" s="2220" t="str">
        <f t="shared" si="12"/>
        <v>&gt; EXTERMINADOR</v>
      </c>
      <c r="T241" s="242"/>
      <c r="U241" s="242"/>
      <c r="Z241" s="242"/>
    </row>
    <row r="242" spans="1:26" ht="12" customHeight="1" x14ac:dyDescent="0.2">
      <c r="A242" s="5889"/>
      <c r="B242" s="5887"/>
      <c r="C242" s="45" t="s">
        <v>9174</v>
      </c>
      <c r="D242" s="87" t="s">
        <v>7751</v>
      </c>
      <c r="E242" s="1291">
        <v>2</v>
      </c>
      <c r="F242" s="1292">
        <v>4</v>
      </c>
      <c r="G242" s="1291">
        <v>10</v>
      </c>
      <c r="H242" s="1291">
        <v>1</v>
      </c>
      <c r="I242" s="1291">
        <v>2</v>
      </c>
      <c r="J242" s="1291">
        <v>4</v>
      </c>
      <c r="K242" s="1291">
        <v>1</v>
      </c>
      <c r="L242" s="2220" t="str">
        <f t="shared" si="13"/>
        <v>Incrementar Turno+50</v>
      </c>
      <c r="M242" s="242"/>
      <c r="N242" s="5894"/>
      <c r="O242" s="87" t="s">
        <v>7361</v>
      </c>
      <c r="P242" s="87" t="s">
        <v>9327</v>
      </c>
      <c r="Q242" s="81">
        <v>-5</v>
      </c>
      <c r="R242" s="81">
        <v>1</v>
      </c>
      <c r="S242" s="2220" t="str">
        <f t="shared" si="12"/>
        <v>ExterminadorSeres Humanoides</v>
      </c>
      <c r="T242" s="242"/>
      <c r="U242" s="242"/>
      <c r="Z242" s="242"/>
    </row>
    <row r="243" spans="1:26" ht="12" customHeight="1" x14ac:dyDescent="0.2">
      <c r="A243" s="5889"/>
      <c r="B243" s="5887"/>
      <c r="C243" s="45" t="s">
        <v>9174</v>
      </c>
      <c r="D243" s="87" t="s">
        <v>9125</v>
      </c>
      <c r="E243" s="1291">
        <v>4</v>
      </c>
      <c r="F243" s="1292">
        <v>6</v>
      </c>
      <c r="G243" s="1291">
        <v>15</v>
      </c>
      <c r="H243" s="1291">
        <v>2</v>
      </c>
      <c r="I243" s="1291">
        <v>4</v>
      </c>
      <c r="J243" s="1291">
        <v>7</v>
      </c>
      <c r="K243" s="1291">
        <v>1</v>
      </c>
      <c r="L243" s="2220" t="str">
        <f t="shared" si="13"/>
        <v>Incrementar Turno+75</v>
      </c>
      <c r="M243" s="242"/>
      <c r="N243" s="5894"/>
      <c r="O243" s="87" t="s">
        <v>7361</v>
      </c>
      <c r="P243" s="87" t="s">
        <v>9328</v>
      </c>
      <c r="Q243" s="81">
        <v>-10</v>
      </c>
      <c r="R243" s="81">
        <v>1</v>
      </c>
      <c r="S243" s="2220" t="str">
        <f t="shared" si="12"/>
        <v>ExterminadorUna Clase de Ser</v>
      </c>
      <c r="T243" s="242"/>
      <c r="U243" s="242"/>
      <c r="Z243" s="242"/>
    </row>
    <row r="244" spans="1:26" ht="12" customHeight="1" x14ac:dyDescent="0.2">
      <c r="A244" s="5889"/>
      <c r="B244" s="5887"/>
      <c r="C244" s="45" t="s">
        <v>9174</v>
      </c>
      <c r="D244" s="87" t="s">
        <v>9132</v>
      </c>
      <c r="E244" s="1291">
        <v>6</v>
      </c>
      <c r="F244" s="1292">
        <v>9</v>
      </c>
      <c r="G244" s="1291">
        <v>20</v>
      </c>
      <c r="H244" s="1291">
        <v>3</v>
      </c>
      <c r="I244" s="1291">
        <v>6</v>
      </c>
      <c r="J244" s="1291">
        <v>11</v>
      </c>
      <c r="K244" s="1291">
        <v>1</v>
      </c>
      <c r="L244" s="2220" t="str">
        <f t="shared" si="13"/>
        <v>Incrementar Turno+100</v>
      </c>
      <c r="M244" s="242"/>
      <c r="N244" s="5894"/>
      <c r="O244" s="87" t="s">
        <v>7361</v>
      </c>
      <c r="P244" s="87" t="s">
        <v>9329</v>
      </c>
      <c r="Q244" s="81">
        <v>-30</v>
      </c>
      <c r="R244" s="81">
        <v>2</v>
      </c>
      <c r="S244" s="2220" t="str">
        <f t="shared" si="12"/>
        <v>ExterminadorUn Ser Determinado</v>
      </c>
      <c r="T244" s="242"/>
      <c r="U244" s="242"/>
      <c r="Z244" s="242"/>
    </row>
    <row r="245" spans="1:26" ht="12" customHeight="1" x14ac:dyDescent="0.2">
      <c r="A245" s="5889"/>
      <c r="B245" s="5887"/>
      <c r="C245" s="45" t="s">
        <v>9174</v>
      </c>
      <c r="D245" s="87" t="s">
        <v>9133</v>
      </c>
      <c r="E245" s="1291">
        <v>8</v>
      </c>
      <c r="F245" s="1292">
        <v>11</v>
      </c>
      <c r="G245" s="1291">
        <v>25</v>
      </c>
      <c r="H245" s="1291">
        <v>4</v>
      </c>
      <c r="I245" s="1291">
        <v>8</v>
      </c>
      <c r="J245" s="1291">
        <v>14</v>
      </c>
      <c r="K245" s="1291">
        <v>2</v>
      </c>
      <c r="L245" s="2220" t="str">
        <f t="shared" si="13"/>
        <v>Incrementar Turno+125</v>
      </c>
      <c r="M245" s="242"/>
      <c r="N245" s="5894"/>
      <c r="O245" s="87" t="s">
        <v>9330</v>
      </c>
      <c r="P245" s="87"/>
      <c r="Q245" s="81"/>
      <c r="R245" s="81"/>
      <c r="S245" s="2220" t="str">
        <f t="shared" si="12"/>
        <v>&gt; EXCESO DE ENERGÍA</v>
      </c>
      <c r="T245" s="242"/>
      <c r="U245" s="242"/>
      <c r="Z245" s="242"/>
    </row>
    <row r="246" spans="1:26" ht="12" customHeight="1" x14ac:dyDescent="0.2">
      <c r="A246" s="5889"/>
      <c r="B246" s="5887"/>
      <c r="C246" s="45" t="s">
        <v>9174</v>
      </c>
      <c r="D246" s="87" t="s">
        <v>9135</v>
      </c>
      <c r="E246" s="1291">
        <v>10</v>
      </c>
      <c r="F246" s="1292">
        <v>13</v>
      </c>
      <c r="G246" s="1291">
        <v>30</v>
      </c>
      <c r="H246" s="1291">
        <v>5</v>
      </c>
      <c r="I246" s="1291">
        <v>10</v>
      </c>
      <c r="J246" s="1291">
        <v>18</v>
      </c>
      <c r="K246" s="1291">
        <v>2</v>
      </c>
      <c r="L246" s="2220" t="str">
        <f t="shared" si="13"/>
        <v>Incrementar Turno+150</v>
      </c>
      <c r="M246" s="242"/>
      <c r="N246" s="5894"/>
      <c r="O246" s="87" t="s">
        <v>9270</v>
      </c>
      <c r="P246" s="87"/>
      <c r="Q246" s="81">
        <v>-15</v>
      </c>
      <c r="R246" s="81">
        <v>1</v>
      </c>
      <c r="S246" s="2220" t="str">
        <f t="shared" si="12"/>
        <v>Exceso De Energía</v>
      </c>
      <c r="T246" s="242"/>
      <c r="U246" s="242"/>
      <c r="Z246" s="242"/>
    </row>
    <row r="247" spans="1:26" ht="12" customHeight="1" x14ac:dyDescent="0.2">
      <c r="A247" s="5889"/>
      <c r="B247" s="5887"/>
      <c r="C247" s="45" t="s">
        <v>9174</v>
      </c>
      <c r="D247" s="87" t="s">
        <v>9138</v>
      </c>
      <c r="E247" s="1291">
        <v>12</v>
      </c>
      <c r="F247" s="1292">
        <v>15</v>
      </c>
      <c r="G247" s="1291">
        <v>35</v>
      </c>
      <c r="H247" s="1291">
        <v>6</v>
      </c>
      <c r="I247" s="1291">
        <v>12</v>
      </c>
      <c r="J247" s="1291">
        <v>21</v>
      </c>
      <c r="K247" s="1291">
        <v>3</v>
      </c>
      <c r="L247" s="2220" t="str">
        <f t="shared" si="13"/>
        <v>Incrementar Turno+175</v>
      </c>
      <c r="M247" s="242"/>
      <c r="N247" s="5894"/>
      <c r="O247" s="87" t="s">
        <v>9331</v>
      </c>
      <c r="P247" s="87"/>
      <c r="Q247" s="81"/>
      <c r="R247" s="81"/>
      <c r="S247" s="2220" t="str">
        <f t="shared" si="12"/>
        <v>&gt; PÉRDIDA DEL ARMA</v>
      </c>
      <c r="T247" s="242"/>
      <c r="U247" s="242"/>
      <c r="Z247" s="242"/>
    </row>
    <row r="248" spans="1:26" ht="12" customHeight="1" x14ac:dyDescent="0.2">
      <c r="A248" s="5889"/>
      <c r="B248" s="5887"/>
      <c r="C248" s="45" t="s">
        <v>9174</v>
      </c>
      <c r="D248" s="87" t="s">
        <v>9140</v>
      </c>
      <c r="E248" s="1291">
        <v>14</v>
      </c>
      <c r="F248" s="1292">
        <v>18</v>
      </c>
      <c r="G248" s="1291">
        <v>40</v>
      </c>
      <c r="H248" s="1291">
        <v>7</v>
      </c>
      <c r="I248" s="1291">
        <v>14</v>
      </c>
      <c r="J248" s="1291">
        <v>25</v>
      </c>
      <c r="K248" s="1291">
        <v>3</v>
      </c>
      <c r="L248" s="2220" t="str">
        <f t="shared" si="13"/>
        <v>Incrementar Turno+200</v>
      </c>
      <c r="M248" s="242"/>
      <c r="N248" s="5894"/>
      <c r="O248" s="87" t="s">
        <v>9272</v>
      </c>
      <c r="P248" s="87"/>
      <c r="Q248" s="81">
        <v>-10</v>
      </c>
      <c r="R248" s="81">
        <v>1</v>
      </c>
      <c r="S248" s="2220" t="str">
        <f t="shared" si="12"/>
        <v>Pérdida Del Arma</v>
      </c>
      <c r="T248" s="242"/>
      <c r="U248" s="242"/>
      <c r="Z248" s="242"/>
    </row>
    <row r="249" spans="1:26" ht="12" customHeight="1" x14ac:dyDescent="0.2">
      <c r="A249" s="5889"/>
      <c r="B249" s="5887"/>
      <c r="C249" s="45" t="s">
        <v>9385</v>
      </c>
      <c r="D249" s="87"/>
      <c r="E249" s="1291"/>
      <c r="F249" s="1292"/>
      <c r="G249" s="1291"/>
      <c r="H249" s="1291"/>
      <c r="I249" s="1291"/>
      <c r="J249" s="1291"/>
      <c r="K249" s="1291"/>
      <c r="L249" s="2220" t="str">
        <f t="shared" si="13"/>
        <v>&gt; RECUPERAR ACCIÓN</v>
      </c>
      <c r="M249" s="242"/>
      <c r="N249" s="5894"/>
      <c r="O249" s="87" t="s">
        <v>9332</v>
      </c>
      <c r="P249" s="87"/>
      <c r="Q249" s="81"/>
      <c r="R249" s="81"/>
      <c r="S249" s="2220" t="str">
        <f t="shared" si="12"/>
        <v>&gt; PENALIZADOR A TODA ACCIÓN</v>
      </c>
      <c r="T249" s="242"/>
      <c r="U249" s="242"/>
      <c r="Z249" s="242"/>
    </row>
    <row r="250" spans="1:26" ht="12" customHeight="1" x14ac:dyDescent="0.2">
      <c r="A250" s="5889"/>
      <c r="B250" s="5887"/>
      <c r="C250" s="45" t="s">
        <v>3222</v>
      </c>
      <c r="D250" s="87"/>
      <c r="E250" s="1291">
        <v>6</v>
      </c>
      <c r="F250" s="1292">
        <v>9</v>
      </c>
      <c r="G250" s="1291">
        <v>25</v>
      </c>
      <c r="H250" s="1291">
        <v>2</v>
      </c>
      <c r="I250" s="1291">
        <v>4</v>
      </c>
      <c r="J250" s="1291">
        <v>7</v>
      </c>
      <c r="K250" s="1291">
        <v>1</v>
      </c>
      <c r="L250" s="2220" t="str">
        <f t="shared" si="13"/>
        <v>Recuperar Acción</v>
      </c>
      <c r="M250" s="242"/>
      <c r="N250" s="5894"/>
      <c r="O250" s="87" t="s">
        <v>9273</v>
      </c>
      <c r="P250" s="87" t="s">
        <v>9209</v>
      </c>
      <c r="Q250" s="81">
        <v>-10</v>
      </c>
      <c r="R250" s="81">
        <v>1</v>
      </c>
      <c r="S250" s="2220" t="str">
        <f t="shared" si="12"/>
        <v>Penalizador A Toda Acción-50</v>
      </c>
      <c r="T250" s="242"/>
      <c r="U250" s="242"/>
      <c r="Z250" s="242"/>
    </row>
    <row r="251" spans="1:26" ht="12" customHeight="1" x14ac:dyDescent="0.2">
      <c r="A251" s="5889"/>
      <c r="B251" s="5887"/>
      <c r="C251" s="45" t="s">
        <v>9386</v>
      </c>
      <c r="D251" s="87"/>
      <c r="E251" s="1291"/>
      <c r="F251" s="1292"/>
      <c r="G251" s="1291"/>
      <c r="H251" s="1291"/>
      <c r="I251" s="1291"/>
      <c r="J251" s="1291"/>
      <c r="K251" s="1291"/>
      <c r="L251" s="2220" t="str">
        <f t="shared" si="13"/>
        <v>&gt; PREVISIÓN</v>
      </c>
      <c r="M251" s="242"/>
      <c r="N251" s="5894"/>
      <c r="O251" s="87" t="s">
        <v>9273</v>
      </c>
      <c r="P251" s="87" t="s">
        <v>9213</v>
      </c>
      <c r="Q251" s="81">
        <v>-15</v>
      </c>
      <c r="R251" s="81">
        <v>1</v>
      </c>
      <c r="S251" s="2220" t="str">
        <f t="shared" si="12"/>
        <v>Penalizador A Toda Acción-75</v>
      </c>
      <c r="T251" s="242"/>
      <c r="U251" s="242"/>
      <c r="Z251" s="242"/>
    </row>
    <row r="252" spans="1:26" ht="12" customHeight="1" x14ac:dyDescent="0.2">
      <c r="A252" s="5889"/>
      <c r="B252" s="5887"/>
      <c r="C252" s="45" t="s">
        <v>2950</v>
      </c>
      <c r="D252" s="87" t="s">
        <v>9387</v>
      </c>
      <c r="E252" s="1291">
        <v>3</v>
      </c>
      <c r="F252" s="1292">
        <v>5</v>
      </c>
      <c r="G252" s="1291">
        <v>10</v>
      </c>
      <c r="H252" s="1291">
        <v>1</v>
      </c>
      <c r="I252" s="1291">
        <v>2</v>
      </c>
      <c r="J252" s="1291">
        <v>4</v>
      </c>
      <c r="K252" s="1291">
        <v>1</v>
      </c>
      <c r="L252" s="2220" t="str">
        <f t="shared" si="13"/>
        <v>PrevisiónA Mitad</v>
      </c>
      <c r="M252" s="242"/>
      <c r="N252" s="5894"/>
      <c r="O252" s="87" t="s">
        <v>9273</v>
      </c>
      <c r="P252" s="87" t="s">
        <v>9217</v>
      </c>
      <c r="Q252" s="81">
        <v>-20</v>
      </c>
      <c r="R252" s="81">
        <v>2</v>
      </c>
      <c r="S252" s="2220" t="str">
        <f>O252&amp;P252</f>
        <v>Penalizador A Toda Acción-100</v>
      </c>
      <c r="T252" s="242"/>
      <c r="U252" s="242"/>
      <c r="Z252" s="242"/>
    </row>
    <row r="253" spans="1:26" ht="12" customHeight="1" x14ac:dyDescent="0.2">
      <c r="A253" s="5889"/>
      <c r="B253" s="5887"/>
      <c r="C253" s="45" t="s">
        <v>2950</v>
      </c>
      <c r="D253" s="87" t="s">
        <v>7612</v>
      </c>
      <c r="E253" s="1291">
        <v>6</v>
      </c>
      <c r="F253" s="1292">
        <v>9</v>
      </c>
      <c r="G253" s="1291">
        <v>25</v>
      </c>
      <c r="H253" s="1291">
        <v>3</v>
      </c>
      <c r="I253" s="1291">
        <v>6</v>
      </c>
      <c r="J253" s="1291">
        <v>11</v>
      </c>
      <c r="K253" s="1291">
        <v>1</v>
      </c>
      <c r="L253" s="2220" t="str">
        <f t="shared" si="13"/>
        <v>PrevisiónCompleto</v>
      </c>
      <c r="M253" s="242"/>
      <c r="N253" s="5894"/>
      <c r="O253" s="87" t="s">
        <v>9273</v>
      </c>
      <c r="P253" s="87" t="s">
        <v>9333</v>
      </c>
      <c r="Q253" s="81">
        <v>-25</v>
      </c>
      <c r="R253" s="81">
        <v>2</v>
      </c>
      <c r="S253" s="2220" t="str">
        <f t="shared" si="12"/>
        <v>Penalizador A Toda Acción-125</v>
      </c>
      <c r="T253" s="242"/>
      <c r="U253" s="242"/>
      <c r="Z253" s="242"/>
    </row>
    <row r="254" spans="1:26" ht="12" customHeight="1" x14ac:dyDescent="0.2">
      <c r="A254" s="5889"/>
      <c r="B254" s="5887"/>
      <c r="C254" s="45" t="s">
        <v>2953</v>
      </c>
      <c r="D254" s="87"/>
      <c r="E254" s="1291"/>
      <c r="F254" s="1292"/>
      <c r="G254" s="1291"/>
      <c r="H254" s="1291"/>
      <c r="I254" s="1291"/>
      <c r="J254" s="1291"/>
      <c r="K254" s="1291"/>
      <c r="L254" s="2220" t="str">
        <f t="shared" si="13"/>
        <v>&gt;&gt;EFECTOS ESPACIALES</v>
      </c>
      <c r="M254" s="242"/>
      <c r="N254" s="5894"/>
      <c r="O254" s="87" t="s">
        <v>9273</v>
      </c>
      <c r="P254" s="87" t="s">
        <v>9335</v>
      </c>
      <c r="Q254" s="81">
        <v>-30</v>
      </c>
      <c r="R254" s="81">
        <v>3</v>
      </c>
      <c r="S254" s="2220" t="str">
        <f t="shared" si="12"/>
        <v>Penalizador A Toda Acción-150</v>
      </c>
      <c r="T254" s="242"/>
      <c r="U254" s="242"/>
      <c r="Z254" s="242"/>
    </row>
    <row r="255" spans="1:26" ht="12" customHeight="1" x14ac:dyDescent="0.2">
      <c r="A255" s="5889"/>
      <c r="B255" s="5887"/>
      <c r="C255" s="45" t="s">
        <v>9388</v>
      </c>
      <c r="D255" s="87"/>
      <c r="E255" s="1291"/>
      <c r="F255" s="1292"/>
      <c r="G255" s="1291"/>
      <c r="H255" s="1291"/>
      <c r="I255" s="1291"/>
      <c r="J255" s="1291"/>
      <c r="K255" s="1291"/>
      <c r="L255" s="2220" t="str">
        <f t="shared" si="13"/>
        <v>&gt; ATAQUE A DISTANCIA</v>
      </c>
      <c r="M255" s="242"/>
      <c r="N255" s="5894"/>
      <c r="O255" s="87" t="s">
        <v>9337</v>
      </c>
      <c r="P255" s="87"/>
      <c r="Q255" s="81"/>
      <c r="R255" s="81"/>
      <c r="S255" s="2220" t="str">
        <f t="shared" si="12"/>
        <v>&gt; PREDETERMINACIÓN</v>
      </c>
      <c r="T255" s="242"/>
      <c r="U255" s="242"/>
      <c r="Z255" s="242"/>
    </row>
    <row r="256" spans="1:26" ht="12" customHeight="1" x14ac:dyDescent="0.2">
      <c r="A256" s="5889"/>
      <c r="B256" s="5887"/>
      <c r="C256" s="45" t="s">
        <v>9389</v>
      </c>
      <c r="D256" s="87" t="s">
        <v>4983</v>
      </c>
      <c r="E256" s="1291">
        <v>1</v>
      </c>
      <c r="F256" s="1292">
        <v>2</v>
      </c>
      <c r="G256" s="1291">
        <v>5</v>
      </c>
      <c r="H256" s="1291">
        <v>1</v>
      </c>
      <c r="I256" s="1291">
        <v>2</v>
      </c>
      <c r="J256" s="1291">
        <v>4</v>
      </c>
      <c r="K256" s="1291">
        <v>1</v>
      </c>
      <c r="L256" s="2220" t="str">
        <f t="shared" si="13"/>
        <v>Ataque A Distancia5 metros</v>
      </c>
      <c r="M256" s="242"/>
      <c r="N256" s="5894"/>
      <c r="O256" s="87" t="s">
        <v>3266</v>
      </c>
      <c r="P256" s="87"/>
      <c r="Q256" s="81">
        <v>-20</v>
      </c>
      <c r="R256" s="81">
        <v>2</v>
      </c>
      <c r="S256" s="2220" t="str">
        <f t="shared" si="12"/>
        <v>Predeterminación</v>
      </c>
      <c r="T256" s="242"/>
      <c r="U256" s="242"/>
      <c r="Z256" s="242"/>
    </row>
    <row r="257" spans="1:26" ht="12" customHeight="1" x14ac:dyDescent="0.2">
      <c r="A257" s="5889"/>
      <c r="B257" s="5887"/>
      <c r="C257" s="45" t="s">
        <v>9389</v>
      </c>
      <c r="D257" s="87" t="s">
        <v>9390</v>
      </c>
      <c r="E257" s="1291">
        <v>2</v>
      </c>
      <c r="F257" s="1292">
        <v>4</v>
      </c>
      <c r="G257" s="1291">
        <v>10</v>
      </c>
      <c r="H257" s="1291">
        <v>1</v>
      </c>
      <c r="I257" s="1291">
        <v>2</v>
      </c>
      <c r="J257" s="1291">
        <v>4</v>
      </c>
      <c r="K257" s="1291">
        <v>1</v>
      </c>
      <c r="L257" s="2220" t="str">
        <f t="shared" si="13"/>
        <v>Ataque A Distancia10 metros</v>
      </c>
      <c r="M257" s="242"/>
      <c r="N257" s="5894"/>
      <c r="O257" s="87" t="s">
        <v>9338</v>
      </c>
      <c r="P257" s="87"/>
      <c r="Q257" s="81"/>
      <c r="R257" s="81"/>
      <c r="S257" s="2220" t="str">
        <f t="shared" si="12"/>
        <v>&gt; PREPARACIÓN PREVIA</v>
      </c>
      <c r="T257" s="242"/>
      <c r="U257" s="242"/>
      <c r="Z257" s="242"/>
    </row>
    <row r="258" spans="1:26" ht="12" customHeight="1" x14ac:dyDescent="0.2">
      <c r="A258" s="5889"/>
      <c r="B258" s="5887"/>
      <c r="C258" s="45" t="s">
        <v>9389</v>
      </c>
      <c r="D258" s="87" t="s">
        <v>9098</v>
      </c>
      <c r="E258" s="1291">
        <v>3</v>
      </c>
      <c r="F258" s="1292">
        <v>5</v>
      </c>
      <c r="G258" s="1291">
        <v>10</v>
      </c>
      <c r="H258" s="1291">
        <v>2</v>
      </c>
      <c r="I258" s="1291">
        <v>4</v>
      </c>
      <c r="J258" s="1291">
        <v>7</v>
      </c>
      <c r="K258" s="1291">
        <v>1</v>
      </c>
      <c r="L258" s="2220" t="str">
        <f t="shared" si="13"/>
        <v>Ataque A Distancia20 metros</v>
      </c>
      <c r="M258" s="242"/>
      <c r="N258" s="5894"/>
      <c r="O258" s="87" t="s">
        <v>9274</v>
      </c>
      <c r="P258" s="87" t="s">
        <v>1743</v>
      </c>
      <c r="Q258" s="81">
        <v>-10</v>
      </c>
      <c r="R258" s="81">
        <v>1</v>
      </c>
      <c r="S258" s="2220" t="str">
        <f t="shared" si="12"/>
        <v>Preparación Previa1 minuto</v>
      </c>
      <c r="T258" s="242"/>
      <c r="U258" s="242"/>
      <c r="Z258" s="242"/>
    </row>
    <row r="259" spans="1:26" ht="12" customHeight="1" x14ac:dyDescent="0.2">
      <c r="A259" s="5889"/>
      <c r="B259" s="5887"/>
      <c r="C259" s="45" t="s">
        <v>9389</v>
      </c>
      <c r="D259" s="87" t="s">
        <v>4985</v>
      </c>
      <c r="E259" s="1291">
        <v>4</v>
      </c>
      <c r="F259" s="1292">
        <v>6</v>
      </c>
      <c r="G259" s="1291">
        <v>15</v>
      </c>
      <c r="H259" s="1291">
        <v>3</v>
      </c>
      <c r="I259" s="1291">
        <v>6</v>
      </c>
      <c r="J259" s="1291">
        <v>11</v>
      </c>
      <c r="K259" s="1291">
        <v>1</v>
      </c>
      <c r="L259" s="2220" t="str">
        <f t="shared" si="13"/>
        <v>Ataque A Distancia50 metros</v>
      </c>
      <c r="M259" s="242"/>
      <c r="N259" s="5894"/>
      <c r="O259" s="87" t="s">
        <v>9274</v>
      </c>
      <c r="P259" s="87" t="s">
        <v>1745</v>
      </c>
      <c r="Q259" s="81">
        <v>-15</v>
      </c>
      <c r="R259" s="81">
        <v>1</v>
      </c>
      <c r="S259" s="2220" t="str">
        <f t="shared" si="12"/>
        <v>Preparación Previa1 hora</v>
      </c>
      <c r="T259" s="242"/>
      <c r="U259" s="242"/>
      <c r="Z259" s="242"/>
    </row>
    <row r="260" spans="1:26" ht="12" customHeight="1" x14ac:dyDescent="0.2">
      <c r="A260" s="5889"/>
      <c r="B260" s="5887"/>
      <c r="C260" s="45" t="s">
        <v>9389</v>
      </c>
      <c r="D260" s="87" t="s">
        <v>5021</v>
      </c>
      <c r="E260" s="1291">
        <v>5</v>
      </c>
      <c r="F260" s="1292">
        <v>8</v>
      </c>
      <c r="G260" s="1291">
        <v>20</v>
      </c>
      <c r="H260" s="1291">
        <v>4</v>
      </c>
      <c r="I260" s="1291">
        <v>8</v>
      </c>
      <c r="J260" s="1291">
        <v>14</v>
      </c>
      <c r="K260" s="1291">
        <v>1</v>
      </c>
      <c r="L260" s="2220" t="str">
        <f t="shared" si="13"/>
        <v>Ataque A Distancia100 metros</v>
      </c>
      <c r="M260" s="242"/>
      <c r="N260" s="5894"/>
      <c r="O260" s="87" t="s">
        <v>9274</v>
      </c>
      <c r="P260" s="87" t="s">
        <v>1748</v>
      </c>
      <c r="Q260" s="81">
        <v>-25</v>
      </c>
      <c r="R260" s="81">
        <v>2</v>
      </c>
      <c r="S260" s="2220" t="str">
        <f t="shared" si="12"/>
        <v>Preparación Previa1 día</v>
      </c>
      <c r="T260" s="242"/>
      <c r="U260" s="242"/>
      <c r="Z260" s="242"/>
    </row>
    <row r="261" spans="1:26" ht="12" customHeight="1" x14ac:dyDescent="0.2">
      <c r="A261" s="5889"/>
      <c r="B261" s="5887"/>
      <c r="C261" s="45" t="s">
        <v>9389</v>
      </c>
      <c r="D261" s="87" t="s">
        <v>5453</v>
      </c>
      <c r="E261" s="1291">
        <v>6</v>
      </c>
      <c r="F261" s="1292">
        <v>9</v>
      </c>
      <c r="G261" s="1291">
        <v>25</v>
      </c>
      <c r="H261" s="1291">
        <v>5</v>
      </c>
      <c r="I261" s="1291">
        <v>10</v>
      </c>
      <c r="J261" s="1291">
        <v>18</v>
      </c>
      <c r="K261" s="1291">
        <v>2</v>
      </c>
      <c r="L261" s="2220" t="str">
        <f t="shared" si="13"/>
        <v>Ataque A Distancia250 metros</v>
      </c>
      <c r="M261" s="242"/>
      <c r="N261" s="5894"/>
      <c r="O261" s="87" t="s">
        <v>9339</v>
      </c>
      <c r="P261" s="87"/>
      <c r="Q261" s="81"/>
      <c r="R261" s="81"/>
      <c r="S261" s="2220" t="str">
        <f t="shared" si="12"/>
        <v>&gt; REQUERIMIENTOS ELEMENTALES</v>
      </c>
      <c r="T261" s="242"/>
      <c r="U261" s="242"/>
      <c r="Z261" s="242"/>
    </row>
    <row r="262" spans="1:26" ht="12" customHeight="1" x14ac:dyDescent="0.2">
      <c r="A262" s="5889"/>
      <c r="B262" s="5887"/>
      <c r="C262" s="45" t="s">
        <v>9389</v>
      </c>
      <c r="D262" s="87" t="s">
        <v>5337</v>
      </c>
      <c r="E262" s="1291">
        <v>8</v>
      </c>
      <c r="F262" s="1292">
        <v>11</v>
      </c>
      <c r="G262" s="1291">
        <v>30</v>
      </c>
      <c r="H262" s="1291">
        <v>6</v>
      </c>
      <c r="I262" s="1291">
        <v>12</v>
      </c>
      <c r="J262" s="1291">
        <v>21</v>
      </c>
      <c r="K262" s="1291">
        <v>2</v>
      </c>
      <c r="L262" s="2220" t="str">
        <f t="shared" si="13"/>
        <v>Ataque A Distancia500 metros</v>
      </c>
      <c r="M262" s="242"/>
      <c r="N262" s="5894"/>
      <c r="O262" s="87" t="s">
        <v>9275</v>
      </c>
      <c r="P262" s="87" t="s">
        <v>9341</v>
      </c>
      <c r="Q262" s="81">
        <v>-5</v>
      </c>
      <c r="R262" s="81">
        <v>1</v>
      </c>
      <c r="S262" s="2220" t="str">
        <f t="shared" si="12"/>
        <v>Requerimientos ElementalesIntensidad Menor</v>
      </c>
      <c r="T262" s="242"/>
      <c r="U262" s="242"/>
      <c r="Z262" s="242"/>
    </row>
    <row r="263" spans="1:26" ht="12" customHeight="1" x14ac:dyDescent="0.2">
      <c r="A263" s="5889"/>
      <c r="B263" s="5887"/>
      <c r="C263" s="45" t="s">
        <v>9389</v>
      </c>
      <c r="D263" s="87" t="s">
        <v>5338</v>
      </c>
      <c r="E263" s="1291">
        <v>10</v>
      </c>
      <c r="F263" s="1292">
        <v>13</v>
      </c>
      <c r="G263" s="1291">
        <v>35</v>
      </c>
      <c r="H263" s="1291">
        <v>8</v>
      </c>
      <c r="I263" s="1291">
        <v>16</v>
      </c>
      <c r="J263" s="1291">
        <v>28</v>
      </c>
      <c r="K263" s="1291">
        <v>2</v>
      </c>
      <c r="L263" s="2220" t="str">
        <f t="shared" si="13"/>
        <v>Ataque A Distancia1 kilómetro</v>
      </c>
      <c r="M263" s="242"/>
      <c r="N263" s="5894"/>
      <c r="O263" s="87" t="s">
        <v>9275</v>
      </c>
      <c r="P263" s="87" t="s">
        <v>9344</v>
      </c>
      <c r="Q263" s="81">
        <v>-10</v>
      </c>
      <c r="R263" s="81">
        <v>1</v>
      </c>
      <c r="S263" s="2220" t="str">
        <f t="shared" si="12"/>
        <v>Requerimientos ElementalesIntensidad Mayor</v>
      </c>
      <c r="T263" s="242"/>
      <c r="U263" s="242"/>
      <c r="Z263" s="242"/>
    </row>
    <row r="264" spans="1:26" ht="12" customHeight="1" x14ac:dyDescent="0.2">
      <c r="A264" s="5889"/>
      <c r="B264" s="5887"/>
      <c r="C264" s="45" t="s">
        <v>9389</v>
      </c>
      <c r="D264" s="87" t="s">
        <v>9391</v>
      </c>
      <c r="E264" s="1291">
        <v>14</v>
      </c>
      <c r="F264" s="1292">
        <v>18</v>
      </c>
      <c r="G264" s="1291">
        <v>40</v>
      </c>
      <c r="H264" s="1291">
        <v>10</v>
      </c>
      <c r="I264" s="1291">
        <v>20</v>
      </c>
      <c r="J264" s="1291">
        <v>35</v>
      </c>
      <c r="K264" s="1291">
        <v>3</v>
      </c>
      <c r="L264" s="2220" t="str">
        <f t="shared" si="13"/>
        <v>Ataque A Distancia5 kilómetros</v>
      </c>
      <c r="M264" s="242"/>
      <c r="N264" s="5894"/>
      <c r="O264" s="87" t="s">
        <v>9346</v>
      </c>
      <c r="P264" s="87"/>
      <c r="Q264" s="81"/>
      <c r="R264" s="81"/>
      <c r="S264" s="2220" t="str">
        <f t="shared" si="12"/>
        <v>&gt; SACRIFICIO</v>
      </c>
      <c r="T264" s="242"/>
      <c r="U264" s="242"/>
      <c r="Z264" s="242"/>
    </row>
    <row r="265" spans="1:26" ht="12" customHeight="1" x14ac:dyDescent="0.2">
      <c r="A265" s="5889"/>
      <c r="B265" s="5887"/>
      <c r="C265" s="45" t="s">
        <v>9389</v>
      </c>
      <c r="D265" s="87" t="s">
        <v>5388</v>
      </c>
      <c r="E265" s="1291">
        <v>18</v>
      </c>
      <c r="F265" s="1292">
        <v>22</v>
      </c>
      <c r="G265" s="1291">
        <v>45</v>
      </c>
      <c r="H265" s="1291">
        <v>12</v>
      </c>
      <c r="I265" s="1291">
        <v>24</v>
      </c>
      <c r="J265" s="1291">
        <v>42</v>
      </c>
      <c r="K265" s="1291">
        <v>3</v>
      </c>
      <c r="L265" s="2220" t="str">
        <f t="shared" si="13"/>
        <v>Ataque A Distancia10 kilómetros</v>
      </c>
      <c r="M265" s="242"/>
      <c r="N265" s="5894"/>
      <c r="O265" s="87" t="s">
        <v>9276</v>
      </c>
      <c r="P265" s="87" t="s">
        <v>9348</v>
      </c>
      <c r="Q265" s="81">
        <v>-5</v>
      </c>
      <c r="R265" s="81">
        <v>1</v>
      </c>
      <c r="S265" s="2220" t="str">
        <f t="shared" ref="S265:S271" si="14">O265&amp;P265</f>
        <v>Sacrificio-25 PV</v>
      </c>
      <c r="T265" s="242"/>
      <c r="U265" s="242"/>
      <c r="Z265" s="242"/>
    </row>
    <row r="266" spans="1:26" ht="12" customHeight="1" x14ac:dyDescent="0.2">
      <c r="A266" s="5889"/>
      <c r="B266" s="5887"/>
      <c r="C266" s="45" t="s">
        <v>9389</v>
      </c>
      <c r="D266" s="87" t="s">
        <v>5389</v>
      </c>
      <c r="E266" s="1291">
        <v>22</v>
      </c>
      <c r="F266" s="1292">
        <v>26</v>
      </c>
      <c r="G266" s="1291">
        <v>50</v>
      </c>
      <c r="H266" s="1291">
        <v>14</v>
      </c>
      <c r="I266" s="1291">
        <v>28</v>
      </c>
      <c r="J266" s="1291">
        <v>49</v>
      </c>
      <c r="K266" s="1291">
        <v>3</v>
      </c>
      <c r="L266" s="2220" t="str">
        <f t="shared" si="13"/>
        <v>Ataque A Distancia100 kilómetros</v>
      </c>
      <c r="M266" s="242"/>
      <c r="N266" s="5894"/>
      <c r="O266" s="87" t="s">
        <v>9276</v>
      </c>
      <c r="P266" s="87" t="s">
        <v>9350</v>
      </c>
      <c r="Q266" s="81">
        <v>-10</v>
      </c>
      <c r="R266" s="81">
        <v>1</v>
      </c>
      <c r="S266" s="2220" t="str">
        <f t="shared" si="14"/>
        <v>Sacrificio-50 PV</v>
      </c>
      <c r="T266" s="242"/>
      <c r="U266" s="242"/>
      <c r="Z266" s="242"/>
    </row>
    <row r="267" spans="1:26" ht="12" customHeight="1" x14ac:dyDescent="0.2">
      <c r="A267" s="5889"/>
      <c r="B267" s="5887"/>
      <c r="C267" s="45" t="s">
        <v>9389</v>
      </c>
      <c r="D267" s="87" t="s">
        <v>2741</v>
      </c>
      <c r="E267" s="1291">
        <v>4</v>
      </c>
      <c r="F267" s="1292">
        <v>4</v>
      </c>
      <c r="G267" s="1291">
        <v>10</v>
      </c>
      <c r="H267" s="1291">
        <v>1</v>
      </c>
      <c r="I267" s="1291">
        <v>2</v>
      </c>
      <c r="J267" s="1291">
        <v>4</v>
      </c>
      <c r="K267" s="1291"/>
      <c r="L267" s="2220" t="str">
        <f t="shared" ref="L267:L330" si="15">C267&amp;D267</f>
        <v>Ataque A DistanciaProyección</v>
      </c>
      <c r="M267" s="242"/>
      <c r="N267" s="5894"/>
      <c r="O267" s="87" t="s">
        <v>9276</v>
      </c>
      <c r="P267" s="87" t="s">
        <v>9352</v>
      </c>
      <c r="Q267" s="81">
        <v>-15</v>
      </c>
      <c r="R267" s="81">
        <v>2</v>
      </c>
      <c r="S267" s="2220" t="str">
        <f t="shared" si="14"/>
        <v>Sacrificio-75 PV</v>
      </c>
      <c r="T267" s="242"/>
      <c r="U267" s="242"/>
      <c r="Z267" s="242"/>
    </row>
    <row r="268" spans="1:26" ht="12" customHeight="1" x14ac:dyDescent="0.2">
      <c r="A268" s="5889"/>
      <c r="B268" s="5887"/>
      <c r="C268" s="45" t="s">
        <v>9389</v>
      </c>
      <c r="D268" s="87" t="s">
        <v>3224</v>
      </c>
      <c r="E268" s="1291">
        <v>8</v>
      </c>
      <c r="F268" s="1292">
        <v>8</v>
      </c>
      <c r="G268" s="1291">
        <v>20</v>
      </c>
      <c r="H268" s="1291">
        <v>1</v>
      </c>
      <c r="I268" s="1291">
        <v>2</v>
      </c>
      <c r="J268" s="1291">
        <v>4</v>
      </c>
      <c r="K268" s="1291"/>
      <c r="L268" s="2220" t="str">
        <f t="shared" si="15"/>
        <v>Ataque A DistanciaEstela de Destrucción</v>
      </c>
      <c r="M268" s="242"/>
      <c r="N268" s="5894"/>
      <c r="O268" s="87" t="s">
        <v>9276</v>
      </c>
      <c r="P268" s="87" t="s">
        <v>9353</v>
      </c>
      <c r="Q268" s="81">
        <v>-20</v>
      </c>
      <c r="R268" s="81">
        <v>2</v>
      </c>
      <c r="S268" s="2220" t="str">
        <f t="shared" si="14"/>
        <v>Sacrificio-100 PV</v>
      </c>
      <c r="T268" s="242"/>
      <c r="U268" s="242"/>
      <c r="Z268" s="242"/>
    </row>
    <row r="269" spans="1:26" ht="12" customHeight="1" x14ac:dyDescent="0.2">
      <c r="A269" s="5889"/>
      <c r="B269" s="5887"/>
      <c r="C269" s="45" t="s">
        <v>9392</v>
      </c>
      <c r="D269" s="87"/>
      <c r="E269" s="1291"/>
      <c r="F269" s="1292"/>
      <c r="G269" s="1291"/>
      <c r="H269" s="1291"/>
      <c r="I269" s="1291"/>
      <c r="J269" s="1291"/>
      <c r="K269" s="1291"/>
      <c r="L269" s="2220" t="str">
        <f t="shared" si="15"/>
        <v>&gt; ATAQUE A DISTANCIA REAL</v>
      </c>
      <c r="M269" s="242"/>
      <c r="N269" s="5894"/>
      <c r="O269" s="87" t="s">
        <v>9276</v>
      </c>
      <c r="P269" s="87" t="s">
        <v>7612</v>
      </c>
      <c r="Q269" s="81">
        <v>-25</v>
      </c>
      <c r="R269" s="81">
        <v>3</v>
      </c>
      <c r="S269" s="2220" t="str">
        <f t="shared" si="14"/>
        <v>SacrificioCompleto</v>
      </c>
      <c r="T269" s="242"/>
      <c r="U269" s="242"/>
      <c r="Z269" s="242"/>
    </row>
    <row r="270" spans="1:26" ht="12" customHeight="1" x14ac:dyDescent="0.2">
      <c r="A270" s="5889"/>
      <c r="B270" s="5887"/>
      <c r="C270" s="45" t="s">
        <v>9393</v>
      </c>
      <c r="D270" s="87" t="s">
        <v>4983</v>
      </c>
      <c r="E270" s="1291">
        <v>2</v>
      </c>
      <c r="F270" s="1292">
        <v>4</v>
      </c>
      <c r="G270" s="1291">
        <v>10</v>
      </c>
      <c r="H270" s="1291">
        <v>2</v>
      </c>
      <c r="I270" s="1291">
        <v>4</v>
      </c>
      <c r="J270" s="1291">
        <v>7</v>
      </c>
      <c r="K270" s="1291">
        <v>1</v>
      </c>
      <c r="L270" s="2220" t="str">
        <f t="shared" si="15"/>
        <v>Ataque A Distancia Real5 metros</v>
      </c>
      <c r="M270" s="242"/>
      <c r="N270" s="5894"/>
      <c r="O270" s="87" t="s">
        <v>9355</v>
      </c>
      <c r="P270" s="87"/>
      <c r="Q270" s="81"/>
      <c r="R270" s="81"/>
      <c r="S270" s="2220" t="str">
        <f t="shared" si="14"/>
        <v>&gt; SACRIFICIO DE CARACTERÍSTICAS</v>
      </c>
      <c r="T270" s="242"/>
      <c r="U270" s="242"/>
      <c r="Z270" s="242"/>
    </row>
    <row r="271" spans="1:26" ht="12" customHeight="1" x14ac:dyDescent="0.2">
      <c r="A271" s="5889"/>
      <c r="B271" s="5887"/>
      <c r="C271" s="45" t="s">
        <v>9393</v>
      </c>
      <c r="D271" s="87" t="s">
        <v>9390</v>
      </c>
      <c r="E271" s="1291">
        <v>4</v>
      </c>
      <c r="F271" s="1292">
        <v>6</v>
      </c>
      <c r="G271" s="1291">
        <v>15</v>
      </c>
      <c r="H271" s="1291">
        <v>3</v>
      </c>
      <c r="I271" s="1291">
        <v>6</v>
      </c>
      <c r="J271" s="1291">
        <v>11</v>
      </c>
      <c r="K271" s="1291">
        <v>1</v>
      </c>
      <c r="L271" s="2220" t="str">
        <f t="shared" si="15"/>
        <v>Ataque A Distancia Real10 metros</v>
      </c>
      <c r="M271" s="242"/>
      <c r="N271" s="5894"/>
      <c r="O271" s="87" t="s">
        <v>9277</v>
      </c>
      <c r="P271" s="87" t="s">
        <v>1381</v>
      </c>
      <c r="Q271" s="81">
        <v>-30</v>
      </c>
      <c r="R271" s="81">
        <v>1</v>
      </c>
      <c r="S271" s="2220" t="str">
        <f t="shared" si="14"/>
        <v>Sacrificio De CaracterísticasAGI</v>
      </c>
      <c r="T271" s="242"/>
      <c r="U271" s="242"/>
      <c r="Z271" s="242"/>
    </row>
    <row r="272" spans="1:26" ht="12" customHeight="1" x14ac:dyDescent="0.2">
      <c r="A272" s="5889"/>
      <c r="B272" s="5887"/>
      <c r="C272" s="45" t="s">
        <v>9393</v>
      </c>
      <c r="D272" s="87" t="s">
        <v>9098</v>
      </c>
      <c r="E272" s="1291">
        <v>6</v>
      </c>
      <c r="F272" s="1292">
        <v>9</v>
      </c>
      <c r="G272" s="1291">
        <v>20</v>
      </c>
      <c r="H272" s="1291">
        <v>4</v>
      </c>
      <c r="I272" s="1291">
        <v>8</v>
      </c>
      <c r="J272" s="1291">
        <v>14</v>
      </c>
      <c r="K272" s="1291">
        <v>1</v>
      </c>
      <c r="L272" s="2220" t="str">
        <f t="shared" si="15"/>
        <v>Ataque A Distancia Real20 metros</v>
      </c>
      <c r="M272" s="242"/>
      <c r="N272" s="5894"/>
      <c r="O272" s="87" t="s">
        <v>9277</v>
      </c>
      <c r="P272" s="87" t="s">
        <v>1506</v>
      </c>
      <c r="Q272" s="81">
        <v>-30</v>
      </c>
      <c r="R272" s="81">
        <v>1</v>
      </c>
      <c r="S272" s="2220" t="str">
        <f t="shared" ref="S272:S278" si="16">O272&amp;P272</f>
        <v>Sacrificio De CaracterísticasCON</v>
      </c>
      <c r="T272" s="242"/>
      <c r="U272" s="242"/>
      <c r="Z272" s="242"/>
    </row>
    <row r="273" spans="1:26" ht="12" customHeight="1" x14ac:dyDescent="0.2">
      <c r="A273" s="5889"/>
      <c r="B273" s="5887"/>
      <c r="C273" s="45" t="s">
        <v>9393</v>
      </c>
      <c r="D273" s="87" t="s">
        <v>4985</v>
      </c>
      <c r="E273" s="1291">
        <v>8</v>
      </c>
      <c r="F273" s="1292">
        <v>11</v>
      </c>
      <c r="G273" s="1291">
        <v>25</v>
      </c>
      <c r="H273" s="1291">
        <v>5</v>
      </c>
      <c r="I273" s="1291">
        <v>10</v>
      </c>
      <c r="J273" s="1291">
        <v>18</v>
      </c>
      <c r="K273" s="1291">
        <v>1</v>
      </c>
      <c r="L273" s="2220" t="str">
        <f t="shared" si="15"/>
        <v>Ataque A Distancia Real50 metros</v>
      </c>
      <c r="M273" s="242"/>
      <c r="N273" s="5894"/>
      <c r="O273" s="87" t="s">
        <v>9277</v>
      </c>
      <c r="P273" s="87" t="s">
        <v>1386</v>
      </c>
      <c r="Q273" s="81">
        <v>-30</v>
      </c>
      <c r="R273" s="81">
        <v>1</v>
      </c>
      <c r="S273" s="2220" t="str">
        <f t="shared" si="16"/>
        <v>Sacrificio De CaracterísticasDES</v>
      </c>
      <c r="T273" s="242"/>
      <c r="U273" s="242"/>
      <c r="Z273" s="242"/>
    </row>
    <row r="274" spans="1:26" ht="12" customHeight="1" x14ac:dyDescent="0.2">
      <c r="A274" s="5889"/>
      <c r="B274" s="5887"/>
      <c r="C274" s="45" t="s">
        <v>9393</v>
      </c>
      <c r="D274" s="87" t="s">
        <v>5021</v>
      </c>
      <c r="E274" s="1291">
        <v>10</v>
      </c>
      <c r="F274" s="1292">
        <v>13</v>
      </c>
      <c r="G274" s="1291">
        <v>35</v>
      </c>
      <c r="H274" s="1291">
        <v>6</v>
      </c>
      <c r="I274" s="1291">
        <v>12</v>
      </c>
      <c r="J274" s="1291">
        <v>21</v>
      </c>
      <c r="K274" s="1291">
        <v>2</v>
      </c>
      <c r="L274" s="2220" t="str">
        <f t="shared" si="15"/>
        <v>Ataque A Distancia Real100 metros</v>
      </c>
      <c r="M274" s="242"/>
      <c r="N274" s="5894"/>
      <c r="O274" s="87" t="s">
        <v>9277</v>
      </c>
      <c r="P274" s="87" t="s">
        <v>1391</v>
      </c>
      <c r="Q274" s="81">
        <v>-30</v>
      </c>
      <c r="R274" s="81">
        <v>1</v>
      </c>
      <c r="S274" s="2220" t="str">
        <f t="shared" si="16"/>
        <v>Sacrificio De CaracterísticasFUE</v>
      </c>
      <c r="T274" s="242"/>
      <c r="U274" s="242"/>
      <c r="Z274" s="242"/>
    </row>
    <row r="275" spans="1:26" ht="12" customHeight="1" x14ac:dyDescent="0.2">
      <c r="A275" s="5889"/>
      <c r="B275" s="5887"/>
      <c r="C275" s="45" t="s">
        <v>9393</v>
      </c>
      <c r="D275" s="87" t="s">
        <v>5453</v>
      </c>
      <c r="E275" s="1291">
        <v>12</v>
      </c>
      <c r="F275" s="1292">
        <v>15</v>
      </c>
      <c r="G275" s="1291">
        <v>45</v>
      </c>
      <c r="H275" s="1291">
        <v>8</v>
      </c>
      <c r="I275" s="1291">
        <v>16</v>
      </c>
      <c r="J275" s="1291">
        <v>28</v>
      </c>
      <c r="K275" s="1291">
        <v>2</v>
      </c>
      <c r="L275" s="2220" t="str">
        <f t="shared" si="15"/>
        <v>Ataque A Distancia Real250 metros</v>
      </c>
      <c r="M275" s="242"/>
      <c r="N275" s="5894"/>
      <c r="O275" s="87" t="s">
        <v>9277</v>
      </c>
      <c r="P275" s="87" t="s">
        <v>1394</v>
      </c>
      <c r="Q275" s="81">
        <v>-30</v>
      </c>
      <c r="R275" s="81">
        <v>1</v>
      </c>
      <c r="S275" s="2220" t="str">
        <f t="shared" si="16"/>
        <v>Sacrificio De CaracterísticasINT</v>
      </c>
      <c r="T275" s="242"/>
      <c r="U275" s="242"/>
      <c r="Z275" s="242"/>
    </row>
    <row r="276" spans="1:26" ht="12" customHeight="1" x14ac:dyDescent="0.2">
      <c r="A276" s="5889"/>
      <c r="B276" s="5887"/>
      <c r="C276" s="45" t="s">
        <v>9393</v>
      </c>
      <c r="D276" s="87" t="s">
        <v>5337</v>
      </c>
      <c r="E276" s="1291">
        <v>16</v>
      </c>
      <c r="F276" s="1292">
        <v>20</v>
      </c>
      <c r="G276" s="1291">
        <v>55</v>
      </c>
      <c r="H276" s="1291">
        <v>10</v>
      </c>
      <c r="I276" s="1291">
        <v>20</v>
      </c>
      <c r="J276" s="1291">
        <v>35</v>
      </c>
      <c r="K276" s="1291">
        <v>2</v>
      </c>
      <c r="L276" s="2220" t="str">
        <f t="shared" si="15"/>
        <v>Ataque A Distancia Real500 metros</v>
      </c>
      <c r="M276" s="242"/>
      <c r="N276" s="5894"/>
      <c r="O276" s="87" t="s">
        <v>9277</v>
      </c>
      <c r="P276" s="87" t="s">
        <v>1397</v>
      </c>
      <c r="Q276" s="81">
        <v>-30</v>
      </c>
      <c r="R276" s="81">
        <v>1</v>
      </c>
      <c r="S276" s="2220" t="str">
        <f t="shared" si="16"/>
        <v>Sacrificio De CaracterísticasPER</v>
      </c>
      <c r="T276" s="242"/>
      <c r="U276" s="242"/>
      <c r="Z276" s="242"/>
    </row>
    <row r="277" spans="1:26" ht="12" customHeight="1" x14ac:dyDescent="0.2">
      <c r="A277" s="5889"/>
      <c r="B277" s="5887"/>
      <c r="C277" s="45" t="s">
        <v>9393</v>
      </c>
      <c r="D277" s="87" t="s">
        <v>5338</v>
      </c>
      <c r="E277" s="1291">
        <v>20</v>
      </c>
      <c r="F277" s="1292">
        <v>24</v>
      </c>
      <c r="G277" s="1291">
        <v>70</v>
      </c>
      <c r="H277" s="1291">
        <v>12</v>
      </c>
      <c r="I277" s="1291">
        <v>24</v>
      </c>
      <c r="J277" s="1291">
        <v>42</v>
      </c>
      <c r="K277" s="1291">
        <v>3</v>
      </c>
      <c r="L277" s="2220" t="str">
        <f t="shared" si="15"/>
        <v>Ataque A Distancia Real1 kilómetro</v>
      </c>
      <c r="M277" s="242"/>
      <c r="N277" s="5894"/>
      <c r="O277" s="87" t="s">
        <v>9277</v>
      </c>
      <c r="P277" s="87" t="s">
        <v>1399</v>
      </c>
      <c r="Q277" s="81">
        <v>-30</v>
      </c>
      <c r="R277" s="81">
        <v>1</v>
      </c>
      <c r="S277" s="2220" t="str">
        <f t="shared" si="16"/>
        <v>Sacrificio De CaracterísticasPOD</v>
      </c>
      <c r="T277" s="242"/>
      <c r="U277" s="242"/>
      <c r="Z277" s="242"/>
    </row>
    <row r="278" spans="1:26" ht="12" customHeight="1" x14ac:dyDescent="0.2">
      <c r="A278" s="5889"/>
      <c r="B278" s="5887"/>
      <c r="C278" s="45" t="s">
        <v>9394</v>
      </c>
      <c r="D278" s="87"/>
      <c r="E278" s="1291"/>
      <c r="F278" s="1292"/>
      <c r="G278" s="1291"/>
      <c r="H278" s="1291"/>
      <c r="I278" s="1291"/>
      <c r="J278" s="1291"/>
      <c r="K278" s="1291"/>
      <c r="L278" s="2220" t="str">
        <f t="shared" si="15"/>
        <v>&gt; ATAQUE CON ÁREA</v>
      </c>
      <c r="M278" s="242"/>
      <c r="N278" s="5894"/>
      <c r="O278" s="87" t="s">
        <v>9277</v>
      </c>
      <c r="P278" s="87" t="s">
        <v>1400</v>
      </c>
      <c r="Q278" s="81">
        <v>-30</v>
      </c>
      <c r="R278" s="81">
        <v>1</v>
      </c>
      <c r="S278" s="2220" t="str">
        <f t="shared" si="16"/>
        <v>Sacrificio De CaracterísticasVOL</v>
      </c>
      <c r="T278" s="242"/>
      <c r="U278" s="242"/>
      <c r="Z278" s="242"/>
    </row>
    <row r="279" spans="1:26" ht="12" customHeight="1" x14ac:dyDescent="0.2">
      <c r="A279" s="5889"/>
      <c r="B279" s="5887"/>
      <c r="C279" s="45" t="s">
        <v>9395</v>
      </c>
      <c r="D279" s="87" t="s">
        <v>9396</v>
      </c>
      <c r="E279" s="1291">
        <v>1</v>
      </c>
      <c r="F279" s="1292">
        <v>2</v>
      </c>
      <c r="G279" s="1291">
        <v>5</v>
      </c>
      <c r="H279" s="1291">
        <v>1</v>
      </c>
      <c r="I279" s="1291">
        <v>2</v>
      </c>
      <c r="J279" s="1291">
        <v>4</v>
      </c>
      <c r="K279" s="1291">
        <v>1</v>
      </c>
      <c r="L279" s="2220" t="str">
        <f t="shared" si="15"/>
        <v>Ataque Con Área1 metro de radio</v>
      </c>
      <c r="M279" s="242"/>
      <c r="N279" s="5894"/>
      <c r="O279" s="87" t="s">
        <v>9358</v>
      </c>
      <c r="P279" s="87"/>
      <c r="Q279" s="81"/>
      <c r="R279" s="81"/>
      <c r="S279" s="2220" t="str">
        <f t="shared" ref="S279:S299" si="17">O279&amp;P279</f>
        <v>&gt; SIN DEFENSA</v>
      </c>
      <c r="T279" s="242"/>
      <c r="U279" s="242"/>
      <c r="Z279" s="242"/>
    </row>
    <row r="280" spans="1:26" ht="12" customHeight="1" x14ac:dyDescent="0.2">
      <c r="A280" s="5889"/>
      <c r="B280" s="5887"/>
      <c r="C280" s="45" t="s">
        <v>9395</v>
      </c>
      <c r="D280" s="87" t="s">
        <v>3482</v>
      </c>
      <c r="E280" s="1291">
        <v>2</v>
      </c>
      <c r="F280" s="1292">
        <v>4</v>
      </c>
      <c r="G280" s="1291">
        <v>10</v>
      </c>
      <c r="H280" s="1291">
        <v>1</v>
      </c>
      <c r="I280" s="1291">
        <v>2</v>
      </c>
      <c r="J280" s="1291">
        <v>4</v>
      </c>
      <c r="K280" s="1291">
        <v>1</v>
      </c>
      <c r="L280" s="2220" t="str">
        <f t="shared" si="15"/>
        <v>Ataque Con Área5 metros de radio</v>
      </c>
      <c r="M280" s="242"/>
      <c r="N280" s="5894"/>
      <c r="O280" s="87" t="s">
        <v>3267</v>
      </c>
      <c r="P280" s="87"/>
      <c r="Q280" s="81">
        <v>-15</v>
      </c>
      <c r="R280" s="81">
        <v>1</v>
      </c>
      <c r="S280" s="2220" t="str">
        <f t="shared" si="17"/>
        <v>Sin Defensa</v>
      </c>
      <c r="T280" s="242"/>
      <c r="U280" s="242"/>
      <c r="Z280" s="242"/>
    </row>
    <row r="281" spans="1:26" ht="12" customHeight="1" x14ac:dyDescent="0.2">
      <c r="A281" s="5889"/>
      <c r="B281" s="5887"/>
      <c r="C281" s="45" t="s">
        <v>9395</v>
      </c>
      <c r="D281" s="87" t="s">
        <v>4368</v>
      </c>
      <c r="E281" s="1291">
        <v>3</v>
      </c>
      <c r="F281" s="1292">
        <v>5</v>
      </c>
      <c r="G281" s="1291">
        <v>15</v>
      </c>
      <c r="H281" s="1291">
        <v>2</v>
      </c>
      <c r="I281" s="1291">
        <v>4</v>
      </c>
      <c r="J281" s="1291">
        <v>7</v>
      </c>
      <c r="K281" s="1291">
        <v>1</v>
      </c>
      <c r="L281" s="2220" t="str">
        <f t="shared" si="15"/>
        <v>Ataque Con Área10 metros de radio</v>
      </c>
      <c r="M281" s="242"/>
      <c r="N281" s="5894"/>
      <c r="O281" s="87" t="s">
        <v>9360</v>
      </c>
      <c r="P281" s="87"/>
      <c r="Q281" s="81"/>
      <c r="R281" s="81"/>
      <c r="S281" s="2220" t="str">
        <f t="shared" si="17"/>
        <v>&gt; SOBRECARGA</v>
      </c>
      <c r="T281" s="242"/>
      <c r="U281" s="242"/>
      <c r="Z281" s="242"/>
    </row>
    <row r="282" spans="1:26" ht="12" customHeight="1" x14ac:dyDescent="0.2">
      <c r="A282" s="5889"/>
      <c r="B282" s="5887"/>
      <c r="C282" s="45" t="s">
        <v>9395</v>
      </c>
      <c r="D282" s="87" t="s">
        <v>3483</v>
      </c>
      <c r="E282" s="1291">
        <v>4</v>
      </c>
      <c r="F282" s="1292">
        <v>6</v>
      </c>
      <c r="G282" s="1291">
        <v>20</v>
      </c>
      <c r="H282" s="1291">
        <v>3</v>
      </c>
      <c r="I282" s="1291">
        <v>6</v>
      </c>
      <c r="J282" s="1291">
        <v>11</v>
      </c>
      <c r="K282" s="1291">
        <v>1</v>
      </c>
      <c r="L282" s="2220" t="str">
        <f t="shared" si="15"/>
        <v>Ataque Con Área25 metros de radio</v>
      </c>
      <c r="M282" s="242"/>
      <c r="N282" s="5894"/>
      <c r="O282" s="87" t="s">
        <v>3268</v>
      </c>
      <c r="P282" s="87" t="s">
        <v>9362</v>
      </c>
      <c r="Q282" s="81">
        <v>-5</v>
      </c>
      <c r="R282" s="81">
        <v>1</v>
      </c>
      <c r="S282" s="2220" t="str">
        <f t="shared" si="17"/>
        <v>SobrecargaEspera de 5 asaltos</v>
      </c>
      <c r="T282" s="242"/>
      <c r="U282" s="242"/>
      <c r="Z282" s="242"/>
    </row>
    <row r="283" spans="1:26" ht="12" customHeight="1" x14ac:dyDescent="0.2">
      <c r="A283" s="5889"/>
      <c r="B283" s="5887"/>
      <c r="C283" s="45" t="s">
        <v>9395</v>
      </c>
      <c r="D283" s="87" t="s">
        <v>3597</v>
      </c>
      <c r="E283" s="1291">
        <v>6</v>
      </c>
      <c r="F283" s="1292">
        <v>9</v>
      </c>
      <c r="G283" s="1291">
        <v>25</v>
      </c>
      <c r="H283" s="1291">
        <v>4</v>
      </c>
      <c r="I283" s="1291">
        <v>8</v>
      </c>
      <c r="J283" s="1291">
        <v>14</v>
      </c>
      <c r="K283" s="1291">
        <v>2</v>
      </c>
      <c r="L283" s="2220" t="str">
        <f t="shared" si="15"/>
        <v>Ataque Con Área50 metros de radio</v>
      </c>
      <c r="M283" s="242"/>
      <c r="N283" s="5894"/>
      <c r="O283" s="87" t="s">
        <v>3268</v>
      </c>
      <c r="P283" s="87" t="s">
        <v>9364</v>
      </c>
      <c r="Q283" s="81">
        <v>-10</v>
      </c>
      <c r="R283" s="81">
        <v>1</v>
      </c>
      <c r="S283" s="2220" t="str">
        <f t="shared" si="17"/>
        <v>SobrecargaEspera de 20 asaltos</v>
      </c>
      <c r="T283" s="242"/>
      <c r="U283" s="242"/>
      <c r="Z283" s="242"/>
    </row>
    <row r="284" spans="1:26" ht="12" customHeight="1" x14ac:dyDescent="0.2">
      <c r="A284" s="5889"/>
      <c r="B284" s="5887"/>
      <c r="C284" s="45" t="s">
        <v>9395</v>
      </c>
      <c r="D284" s="87" t="s">
        <v>3484</v>
      </c>
      <c r="E284" s="1291">
        <v>8</v>
      </c>
      <c r="F284" s="1292">
        <v>11</v>
      </c>
      <c r="G284" s="1291">
        <v>30</v>
      </c>
      <c r="H284" s="1291">
        <v>5</v>
      </c>
      <c r="I284" s="1291">
        <v>10</v>
      </c>
      <c r="J284" s="1291">
        <v>18</v>
      </c>
      <c r="K284" s="1291">
        <v>2</v>
      </c>
      <c r="L284" s="2220" t="str">
        <f t="shared" si="15"/>
        <v>Ataque Con Área100 metros de radio</v>
      </c>
      <c r="M284" s="242"/>
      <c r="N284" s="5894"/>
      <c r="O284" s="87" t="s">
        <v>9366</v>
      </c>
      <c r="P284" s="87"/>
      <c r="Q284" s="81"/>
      <c r="R284" s="81"/>
      <c r="S284" s="2220" t="str">
        <f t="shared" si="17"/>
        <v>&gt; TÉCNICA MANTENIDA</v>
      </c>
      <c r="T284" s="242"/>
      <c r="U284" s="242"/>
      <c r="Z284" s="242"/>
    </row>
    <row r="285" spans="1:26" ht="12" customHeight="1" x14ac:dyDescent="0.2">
      <c r="A285" s="5889"/>
      <c r="B285" s="5887"/>
      <c r="C285" s="45" t="s">
        <v>9395</v>
      </c>
      <c r="D285" s="87" t="s">
        <v>3485</v>
      </c>
      <c r="E285" s="1291">
        <v>10</v>
      </c>
      <c r="F285" s="1292">
        <v>13</v>
      </c>
      <c r="G285" s="1291">
        <v>40</v>
      </c>
      <c r="H285" s="1291">
        <v>6</v>
      </c>
      <c r="I285" s="1291">
        <v>12</v>
      </c>
      <c r="J285" s="1291">
        <v>21</v>
      </c>
      <c r="K285" s="1291">
        <v>2</v>
      </c>
      <c r="L285" s="2220" t="str">
        <f t="shared" si="15"/>
        <v>Ataque Con Área500 metros de radio</v>
      </c>
      <c r="M285" s="242"/>
      <c r="N285" s="5894"/>
      <c r="O285" s="87" t="s">
        <v>9278</v>
      </c>
      <c r="P285" s="87" t="s">
        <v>9368</v>
      </c>
      <c r="Q285" s="81">
        <v>-5</v>
      </c>
      <c r="R285" s="81">
        <v>1</v>
      </c>
      <c r="S285" s="2220" t="str">
        <f t="shared" si="17"/>
        <v>Técnica MantenidaNv 1</v>
      </c>
      <c r="T285" s="242"/>
      <c r="U285" s="242"/>
      <c r="Z285" s="242"/>
    </row>
    <row r="286" spans="1:26" ht="12" customHeight="1" x14ac:dyDescent="0.2">
      <c r="A286" s="5889"/>
      <c r="B286" s="5887"/>
      <c r="C286" s="45" t="s">
        <v>9395</v>
      </c>
      <c r="D286" s="87" t="s">
        <v>3598</v>
      </c>
      <c r="E286" s="1291">
        <v>12</v>
      </c>
      <c r="F286" s="1292">
        <v>15</v>
      </c>
      <c r="G286" s="1291">
        <v>50</v>
      </c>
      <c r="H286" s="1291">
        <v>8</v>
      </c>
      <c r="I286" s="1291">
        <v>16</v>
      </c>
      <c r="J286" s="1291">
        <v>28</v>
      </c>
      <c r="K286" s="1291">
        <v>3</v>
      </c>
      <c r="L286" s="2220" t="str">
        <f t="shared" si="15"/>
        <v>Ataque Con Área1 kilómetro de radio</v>
      </c>
      <c r="M286" s="242"/>
      <c r="N286" s="5894"/>
      <c r="O286" s="87" t="s">
        <v>9278</v>
      </c>
      <c r="P286" s="87" t="s">
        <v>9370</v>
      </c>
      <c r="Q286" s="81">
        <v>-10</v>
      </c>
      <c r="R286" s="81">
        <v>2</v>
      </c>
      <c r="S286" s="2220" t="str">
        <f t="shared" si="17"/>
        <v>Técnica MantenidaNv 2</v>
      </c>
      <c r="T286" s="242"/>
      <c r="U286" s="242"/>
      <c r="Z286" s="242"/>
    </row>
    <row r="287" spans="1:26" ht="12" customHeight="1" x14ac:dyDescent="0.2">
      <c r="A287" s="5889"/>
      <c r="B287" s="5887"/>
      <c r="C287" s="45" t="s">
        <v>9395</v>
      </c>
      <c r="D287" s="87" t="s">
        <v>9397</v>
      </c>
      <c r="E287" s="1291">
        <v>16</v>
      </c>
      <c r="F287" s="1292">
        <v>20</v>
      </c>
      <c r="G287" s="1291">
        <v>60</v>
      </c>
      <c r="H287" s="1291">
        <v>10</v>
      </c>
      <c r="I287" s="1291">
        <v>20</v>
      </c>
      <c r="J287" s="1291">
        <v>35</v>
      </c>
      <c r="K287" s="1291">
        <v>3</v>
      </c>
      <c r="L287" s="2220" t="str">
        <f t="shared" si="15"/>
        <v>Ataque Con Área5 kilómetros de radio</v>
      </c>
      <c r="M287" s="242"/>
      <c r="N287" s="5894"/>
      <c r="O287" s="87" t="s">
        <v>9278</v>
      </c>
      <c r="P287" s="87" t="s">
        <v>9371</v>
      </c>
      <c r="Q287" s="81">
        <v>-15</v>
      </c>
      <c r="R287" s="81">
        <v>3</v>
      </c>
      <c r="S287" s="2220" t="str">
        <f t="shared" si="17"/>
        <v>Técnica MantenidaNv 3</v>
      </c>
      <c r="T287" s="242"/>
      <c r="U287" s="242"/>
      <c r="Z287" s="242"/>
    </row>
    <row r="288" spans="1:26" ht="12" customHeight="1" x14ac:dyDescent="0.2">
      <c r="A288" s="5889"/>
      <c r="B288" s="5887"/>
      <c r="C288" s="45" t="s">
        <v>9395</v>
      </c>
      <c r="D288" s="87" t="s">
        <v>3225</v>
      </c>
      <c r="E288" s="1291">
        <v>2</v>
      </c>
      <c r="F288" s="1292">
        <v>2</v>
      </c>
      <c r="G288" s="1291">
        <v>10</v>
      </c>
      <c r="H288" s="1291">
        <v>1</v>
      </c>
      <c r="I288" s="1291">
        <v>2</v>
      </c>
      <c r="J288" s="1291">
        <v>4</v>
      </c>
      <c r="K288" s="1291"/>
      <c r="L288" s="2220" t="str">
        <f t="shared" si="15"/>
        <v>Ataque Con ÁreaElección de Blanco</v>
      </c>
      <c r="M288" s="242"/>
      <c r="N288" s="5894"/>
      <c r="O288" s="87" t="s">
        <v>9372</v>
      </c>
      <c r="P288" s="87"/>
      <c r="Q288" s="81"/>
      <c r="R288" s="81"/>
      <c r="S288" s="2220" t="str">
        <f t="shared" si="17"/>
        <v>&gt; USOS LIMITADOS</v>
      </c>
      <c r="T288" s="242"/>
      <c r="U288" s="242"/>
      <c r="Z288" s="242"/>
    </row>
    <row r="289" spans="1:26" ht="12" customHeight="1" x14ac:dyDescent="0.2">
      <c r="A289" s="5889"/>
      <c r="B289" s="5887"/>
      <c r="C289" s="45" t="s">
        <v>9398</v>
      </c>
      <c r="D289" s="87"/>
      <c r="E289" s="1291"/>
      <c r="F289" s="1292"/>
      <c r="G289" s="1291"/>
      <c r="H289" s="1291"/>
      <c r="I289" s="1291"/>
      <c r="J289" s="1291"/>
      <c r="K289" s="1291"/>
      <c r="L289" s="2220" t="str">
        <f t="shared" si="15"/>
        <v>&gt; ATAQUE CON ÁREA REAL</v>
      </c>
      <c r="M289" s="242"/>
      <c r="N289" s="5894"/>
      <c r="O289" s="87" t="s">
        <v>9279</v>
      </c>
      <c r="P289" s="87" t="s">
        <v>9373</v>
      </c>
      <c r="Q289" s="81">
        <v>-10</v>
      </c>
      <c r="R289" s="81">
        <v>1</v>
      </c>
      <c r="S289" s="2220" t="str">
        <f t="shared" si="17"/>
        <v>Usos Limitados20 Usos</v>
      </c>
      <c r="T289" s="242"/>
      <c r="U289" s="242"/>
      <c r="Z289" s="242"/>
    </row>
    <row r="290" spans="1:26" ht="12" customHeight="1" x14ac:dyDescent="0.2">
      <c r="A290" s="5889"/>
      <c r="B290" s="5887"/>
      <c r="C290" s="45" t="s">
        <v>9399</v>
      </c>
      <c r="D290" s="87" t="s">
        <v>9396</v>
      </c>
      <c r="E290" s="1291">
        <v>2</v>
      </c>
      <c r="F290" s="1292">
        <v>4</v>
      </c>
      <c r="G290" s="1291">
        <v>10</v>
      </c>
      <c r="H290" s="1291">
        <v>2</v>
      </c>
      <c r="I290" s="1291">
        <v>4</v>
      </c>
      <c r="J290" s="1291">
        <v>4</v>
      </c>
      <c r="K290" s="1291">
        <v>1</v>
      </c>
      <c r="L290" s="2220" t="str">
        <f t="shared" si="15"/>
        <v>Ataque Con Área Real1 metro de radio</v>
      </c>
      <c r="M290" s="242"/>
      <c r="N290" s="5894"/>
      <c r="O290" s="87" t="s">
        <v>9279</v>
      </c>
      <c r="P290" s="87" t="s">
        <v>9374</v>
      </c>
      <c r="Q290" s="81">
        <v>-20</v>
      </c>
      <c r="R290" s="81">
        <v>1</v>
      </c>
      <c r="S290" s="2220" t="str">
        <f t="shared" si="17"/>
        <v>Usos Limitados10 Usos</v>
      </c>
      <c r="T290" s="242"/>
      <c r="U290" s="242"/>
      <c r="Z290" s="242"/>
    </row>
    <row r="291" spans="1:26" ht="12" customHeight="1" x14ac:dyDescent="0.2">
      <c r="A291" s="5889"/>
      <c r="B291" s="5887"/>
      <c r="C291" s="45" t="s">
        <v>9399</v>
      </c>
      <c r="D291" s="87" t="s">
        <v>3482</v>
      </c>
      <c r="E291" s="1291">
        <v>4</v>
      </c>
      <c r="F291" s="1292">
        <v>6</v>
      </c>
      <c r="G291" s="1291">
        <v>15</v>
      </c>
      <c r="H291" s="1291">
        <v>3</v>
      </c>
      <c r="I291" s="1291">
        <v>6</v>
      </c>
      <c r="J291" s="1291">
        <v>6</v>
      </c>
      <c r="K291" s="1291">
        <v>1</v>
      </c>
      <c r="L291" s="2220" t="str">
        <f t="shared" si="15"/>
        <v>Ataque Con Área Real5 metros de radio</v>
      </c>
      <c r="M291" s="242"/>
      <c r="N291" s="5894"/>
      <c r="O291" s="87" t="s">
        <v>9279</v>
      </c>
      <c r="P291" s="87" t="s">
        <v>9375</v>
      </c>
      <c r="Q291" s="81">
        <v>-25</v>
      </c>
      <c r="R291" s="81">
        <v>2</v>
      </c>
      <c r="S291" s="2220" t="str">
        <f t="shared" si="17"/>
        <v>Usos Limitados5 Usos</v>
      </c>
      <c r="T291" s="242"/>
      <c r="U291" s="242"/>
      <c r="Z291" s="242"/>
    </row>
    <row r="292" spans="1:26" ht="12" customHeight="1" x14ac:dyDescent="0.2">
      <c r="A292" s="5889"/>
      <c r="B292" s="5887"/>
      <c r="C292" s="45" t="s">
        <v>9399</v>
      </c>
      <c r="D292" s="87" t="s">
        <v>4368</v>
      </c>
      <c r="E292" s="1291">
        <v>6</v>
      </c>
      <c r="F292" s="1292">
        <v>9</v>
      </c>
      <c r="G292" s="1291">
        <v>20</v>
      </c>
      <c r="H292" s="1291">
        <v>4</v>
      </c>
      <c r="I292" s="1291">
        <v>8</v>
      </c>
      <c r="J292" s="1291">
        <v>8</v>
      </c>
      <c r="K292" s="1291">
        <v>1</v>
      </c>
      <c r="L292" s="2220" t="str">
        <f t="shared" si="15"/>
        <v>Ataque Con Área Real10 metros de radio</v>
      </c>
      <c r="M292" s="242"/>
      <c r="N292" s="5894"/>
      <c r="O292" s="87" t="s">
        <v>9279</v>
      </c>
      <c r="P292" s="87" t="s">
        <v>9376</v>
      </c>
      <c r="Q292" s="81">
        <v>-30</v>
      </c>
      <c r="R292" s="81">
        <v>2</v>
      </c>
      <c r="S292" s="2220" t="str">
        <f t="shared" si="17"/>
        <v>Usos Limitados3 Usos</v>
      </c>
      <c r="T292" s="242"/>
      <c r="U292" s="242"/>
      <c r="Z292" s="242"/>
    </row>
    <row r="293" spans="1:26" ht="12" customHeight="1" x14ac:dyDescent="0.2">
      <c r="A293" s="5889"/>
      <c r="B293" s="5887"/>
      <c r="C293" s="45" t="s">
        <v>9399</v>
      </c>
      <c r="D293" s="87" t="s">
        <v>3483</v>
      </c>
      <c r="E293" s="1291">
        <v>8</v>
      </c>
      <c r="F293" s="1292">
        <v>11</v>
      </c>
      <c r="G293" s="1291">
        <v>30</v>
      </c>
      <c r="H293" s="1291">
        <v>5</v>
      </c>
      <c r="I293" s="1291">
        <v>10</v>
      </c>
      <c r="J293" s="1291">
        <v>10</v>
      </c>
      <c r="K293" s="1291">
        <v>2</v>
      </c>
      <c r="L293" s="2220" t="str">
        <f t="shared" si="15"/>
        <v>Ataque Con Área Real25 metros de radio</v>
      </c>
      <c r="M293" s="242"/>
      <c r="N293" s="5894"/>
      <c r="O293" s="87" t="s">
        <v>9279</v>
      </c>
      <c r="P293" s="87" t="s">
        <v>9378</v>
      </c>
      <c r="Q293" s="81">
        <v>-40</v>
      </c>
      <c r="R293" s="81">
        <v>3</v>
      </c>
      <c r="S293" s="2220" t="str">
        <f t="shared" si="17"/>
        <v>Usos Limitados1 Uso</v>
      </c>
      <c r="T293" s="242"/>
      <c r="U293" s="242"/>
      <c r="Z293" s="242"/>
    </row>
    <row r="294" spans="1:26" ht="12" customHeight="1" x14ac:dyDescent="0.2">
      <c r="A294" s="5889"/>
      <c r="B294" s="5887"/>
      <c r="C294" s="45" t="s">
        <v>9399</v>
      </c>
      <c r="D294" s="87" t="s">
        <v>3597</v>
      </c>
      <c r="E294" s="1291">
        <v>12</v>
      </c>
      <c r="F294" s="1292">
        <v>15</v>
      </c>
      <c r="G294" s="1291">
        <v>45</v>
      </c>
      <c r="H294" s="1291">
        <v>6</v>
      </c>
      <c r="I294" s="1291">
        <v>12</v>
      </c>
      <c r="J294" s="1291">
        <v>12</v>
      </c>
      <c r="K294" s="1291">
        <v>2</v>
      </c>
      <c r="L294" s="2220" t="str">
        <f t="shared" si="15"/>
        <v>Ataque Con Área Real50 metros de radio</v>
      </c>
      <c r="M294" s="242"/>
      <c r="N294" s="5894"/>
      <c r="O294" s="87" t="str">
        <f>"&gt; "&amp;UPPER($V$223)</f>
        <v>&gt; DESVENTAJA PERSONALIZADA #1</v>
      </c>
      <c r="P294" s="87"/>
      <c r="Q294" s="81"/>
      <c r="R294" s="81"/>
      <c r="S294" s="2220" t="str">
        <f t="shared" si="17"/>
        <v>&gt; DESVENTAJA PERSONALIZADA #1</v>
      </c>
      <c r="Z294" s="242"/>
    </row>
    <row r="295" spans="1:26" ht="12" customHeight="1" x14ac:dyDescent="0.2">
      <c r="A295" s="5889"/>
      <c r="B295" s="5887"/>
      <c r="C295" s="45" t="s">
        <v>9399</v>
      </c>
      <c r="D295" s="87" t="s">
        <v>3484</v>
      </c>
      <c r="E295" s="1291">
        <v>16</v>
      </c>
      <c r="F295" s="1292">
        <v>20</v>
      </c>
      <c r="G295" s="1291">
        <v>65</v>
      </c>
      <c r="H295" s="1291">
        <v>8</v>
      </c>
      <c r="I295" s="1291">
        <v>16</v>
      </c>
      <c r="J295" s="1291">
        <v>16</v>
      </c>
      <c r="K295" s="1291">
        <v>3</v>
      </c>
      <c r="L295" s="2220" t="str">
        <f t="shared" si="15"/>
        <v>Ataque Con Área Real100 metros de radio</v>
      </c>
      <c r="M295" s="242"/>
      <c r="N295" s="5894"/>
      <c r="O295" s="87" t="str">
        <f>IF(Personalización!F69="","Desventaja Personalizada #1",Personalización!F69)</f>
        <v>Desventaja Personalizada #1</v>
      </c>
      <c r="P295" s="87"/>
      <c r="Q295" s="81">
        <f>Personalización!M69</f>
        <v>0</v>
      </c>
      <c r="R295" s="81">
        <f>Personalización!Q69</f>
        <v>0</v>
      </c>
      <c r="S295" s="2220" t="str">
        <f t="shared" si="17"/>
        <v>Desventaja Personalizada #1</v>
      </c>
      <c r="Z295" s="242"/>
    </row>
    <row r="296" spans="1:26" ht="12" customHeight="1" x14ac:dyDescent="0.2">
      <c r="A296" s="5889"/>
      <c r="B296" s="5887"/>
      <c r="C296" s="45" t="s">
        <v>9399</v>
      </c>
      <c r="D296" s="87" t="s">
        <v>3225</v>
      </c>
      <c r="E296" s="1291">
        <v>2</v>
      </c>
      <c r="F296" s="1292">
        <v>2</v>
      </c>
      <c r="G296" s="1291">
        <v>10</v>
      </c>
      <c r="H296" s="1291">
        <v>1</v>
      </c>
      <c r="I296" s="1291">
        <v>2</v>
      </c>
      <c r="J296" s="1291">
        <v>4</v>
      </c>
      <c r="K296" s="1291"/>
      <c r="L296" s="2220" t="str">
        <f t="shared" si="15"/>
        <v>Ataque Con Área RealElección de Blanco</v>
      </c>
      <c r="M296" s="242"/>
      <c r="N296" s="5894"/>
      <c r="O296" s="87" t="str">
        <f>"&gt; "&amp;UPPER($V$224)</f>
        <v>&gt; DESVENTAJA PERSONALIZADA #2</v>
      </c>
      <c r="P296" s="87"/>
      <c r="Q296" s="81"/>
      <c r="R296" s="81"/>
      <c r="S296" s="2220" t="str">
        <f t="shared" si="17"/>
        <v>&gt; DESVENTAJA PERSONALIZADA #2</v>
      </c>
      <c r="Z296" s="242"/>
    </row>
    <row r="297" spans="1:26" ht="12" customHeight="1" x14ac:dyDescent="0.2">
      <c r="A297" s="5889"/>
      <c r="B297" s="5887"/>
      <c r="C297" s="45" t="s">
        <v>9400</v>
      </c>
      <c r="D297" s="87"/>
      <c r="E297" s="1291"/>
      <c r="F297" s="1292"/>
      <c r="G297" s="1291"/>
      <c r="H297" s="1291"/>
      <c r="I297" s="1291"/>
      <c r="J297" s="1291"/>
      <c r="K297" s="1291"/>
      <c r="L297" s="2220" t="str">
        <f t="shared" si="15"/>
        <v>&gt; PARADA EN ÁREA</v>
      </c>
      <c r="M297" s="242"/>
      <c r="N297" s="5894"/>
      <c r="O297" s="87" t="str">
        <f>IF(Personalización!F70="","Desventaja Personalizada #2",Personalización!F70)</f>
        <v>Desventaja Personalizada #2</v>
      </c>
      <c r="P297" s="87"/>
      <c r="Q297" s="81">
        <f>Personalización!M70</f>
        <v>0</v>
      </c>
      <c r="R297" s="81">
        <f>Personalización!Q70</f>
        <v>0</v>
      </c>
      <c r="S297" s="2220" t="str">
        <f t="shared" si="17"/>
        <v>Desventaja Personalizada #2</v>
      </c>
      <c r="Z297" s="242"/>
    </row>
    <row r="298" spans="1:26" ht="12" customHeight="1" x14ac:dyDescent="0.2">
      <c r="A298" s="5889"/>
      <c r="B298" s="5887"/>
      <c r="C298" s="45" t="s">
        <v>9401</v>
      </c>
      <c r="D298" s="87" t="s">
        <v>9396</v>
      </c>
      <c r="E298" s="1291">
        <v>1</v>
      </c>
      <c r="F298" s="1292">
        <v>2</v>
      </c>
      <c r="G298" s="1291">
        <v>5</v>
      </c>
      <c r="H298" s="1291">
        <v>1</v>
      </c>
      <c r="I298" s="1291">
        <v>2</v>
      </c>
      <c r="J298" s="1291">
        <v>4</v>
      </c>
      <c r="K298" s="1291">
        <v>1</v>
      </c>
      <c r="L298" s="2220" t="str">
        <f t="shared" si="15"/>
        <v>Parada En Área1 metro de radio</v>
      </c>
      <c r="M298" s="242"/>
      <c r="N298" s="5894"/>
      <c r="O298" s="87" t="str">
        <f>"&gt; "&amp;UPPER($V$225)</f>
        <v>&gt; DESVENTAJA PERSONALIZADA #3</v>
      </c>
      <c r="P298" s="87"/>
      <c r="Q298" s="81"/>
      <c r="R298" s="81"/>
      <c r="S298" s="2220" t="str">
        <f t="shared" si="17"/>
        <v>&gt; DESVENTAJA PERSONALIZADA #3</v>
      </c>
      <c r="Z298" s="242"/>
    </row>
    <row r="299" spans="1:26" ht="12" customHeight="1" thickBot="1" x14ac:dyDescent="0.25">
      <c r="A299" s="5889"/>
      <c r="B299" s="5887"/>
      <c r="C299" s="45" t="s">
        <v>9401</v>
      </c>
      <c r="D299" s="87" t="s">
        <v>3482</v>
      </c>
      <c r="E299" s="1291">
        <v>2</v>
      </c>
      <c r="F299" s="1292">
        <v>4</v>
      </c>
      <c r="G299" s="1291">
        <v>5</v>
      </c>
      <c r="H299" s="1291">
        <v>2</v>
      </c>
      <c r="I299" s="1291">
        <v>4</v>
      </c>
      <c r="J299" s="1291">
        <v>7</v>
      </c>
      <c r="K299" s="1291">
        <v>1</v>
      </c>
      <c r="L299" s="2220" t="str">
        <f t="shared" si="15"/>
        <v>Parada En Área5 metros de radio</v>
      </c>
      <c r="M299" s="242"/>
      <c r="N299" s="5895"/>
      <c r="O299" s="1042" t="str">
        <f>IF(Personalización!F71="","Desventaja Personalizada #3",Personalización!F71)</f>
        <v>Desventaja Personalizada #3</v>
      </c>
      <c r="P299" s="1042"/>
      <c r="Q299" s="2094">
        <f>Personalización!M71</f>
        <v>0</v>
      </c>
      <c r="R299" s="2094">
        <f>Personalización!Q71</f>
        <v>0</v>
      </c>
      <c r="S299" s="2226" t="str">
        <f t="shared" si="17"/>
        <v>Desventaja Personalizada #3</v>
      </c>
      <c r="Z299" s="242"/>
    </row>
    <row r="300" spans="1:26" ht="12" customHeight="1" x14ac:dyDescent="0.2">
      <c r="A300" s="5889"/>
      <c r="B300" s="5887"/>
      <c r="C300" s="45" t="s">
        <v>9401</v>
      </c>
      <c r="D300" s="87" t="s">
        <v>4368</v>
      </c>
      <c r="E300" s="1291">
        <v>3</v>
      </c>
      <c r="F300" s="1292">
        <v>5</v>
      </c>
      <c r="G300" s="1291">
        <v>10</v>
      </c>
      <c r="H300" s="1291">
        <v>3</v>
      </c>
      <c r="I300" s="1291">
        <v>6</v>
      </c>
      <c r="J300" s="1291">
        <v>11</v>
      </c>
      <c r="K300" s="1291">
        <v>1</v>
      </c>
      <c r="L300" s="2220" t="str">
        <f t="shared" si="15"/>
        <v>Parada En Área10 metros de radio</v>
      </c>
      <c r="M300" s="242"/>
      <c r="Z300" s="242"/>
    </row>
    <row r="301" spans="1:26" ht="12" customHeight="1" x14ac:dyDescent="0.2">
      <c r="A301" s="5889"/>
      <c r="B301" s="5887"/>
      <c r="C301" s="45" t="s">
        <v>9401</v>
      </c>
      <c r="D301" s="87" t="s">
        <v>3483</v>
      </c>
      <c r="E301" s="1291">
        <v>4</v>
      </c>
      <c r="F301" s="1292">
        <v>6</v>
      </c>
      <c r="G301" s="1291">
        <v>15</v>
      </c>
      <c r="H301" s="1291">
        <v>4</v>
      </c>
      <c r="I301" s="1291">
        <v>8</v>
      </c>
      <c r="J301" s="1291">
        <v>14</v>
      </c>
      <c r="K301" s="1291">
        <v>1</v>
      </c>
      <c r="L301" s="2220" t="str">
        <f t="shared" si="15"/>
        <v>Parada En Área25 metros de radio</v>
      </c>
      <c r="M301" s="242"/>
      <c r="Z301" s="242"/>
    </row>
    <row r="302" spans="1:26" ht="12" customHeight="1" x14ac:dyDescent="0.2">
      <c r="A302" s="5889"/>
      <c r="B302" s="5887"/>
      <c r="C302" s="45" t="s">
        <v>9401</v>
      </c>
      <c r="D302" s="87" t="s">
        <v>3597</v>
      </c>
      <c r="E302" s="1291">
        <v>5</v>
      </c>
      <c r="F302" s="1292">
        <v>8</v>
      </c>
      <c r="G302" s="1291">
        <v>20</v>
      </c>
      <c r="H302" s="1291">
        <v>5</v>
      </c>
      <c r="I302" s="1291">
        <v>10</v>
      </c>
      <c r="J302" s="1291">
        <v>18</v>
      </c>
      <c r="K302" s="1291">
        <v>2</v>
      </c>
      <c r="L302" s="2220" t="str">
        <f t="shared" si="15"/>
        <v>Parada En Área50 metros de radio</v>
      </c>
      <c r="M302" s="242"/>
      <c r="Z302" s="242"/>
    </row>
    <row r="303" spans="1:26" ht="12" customHeight="1" x14ac:dyDescent="0.2">
      <c r="A303" s="5889"/>
      <c r="B303" s="5887"/>
      <c r="C303" s="45" t="s">
        <v>9401</v>
      </c>
      <c r="D303" s="87" t="s">
        <v>3484</v>
      </c>
      <c r="E303" s="1291">
        <v>6</v>
      </c>
      <c r="F303" s="1292">
        <v>9</v>
      </c>
      <c r="G303" s="1291">
        <v>25</v>
      </c>
      <c r="H303" s="1291">
        <v>6</v>
      </c>
      <c r="I303" s="1291">
        <v>12</v>
      </c>
      <c r="J303" s="1291">
        <v>21</v>
      </c>
      <c r="K303" s="1291">
        <v>2</v>
      </c>
      <c r="L303" s="2220" t="str">
        <f t="shared" si="15"/>
        <v>Parada En Área100 metros de radio</v>
      </c>
      <c r="M303" s="242"/>
      <c r="Z303" s="242"/>
    </row>
    <row r="304" spans="1:26" ht="12" customHeight="1" x14ac:dyDescent="0.2">
      <c r="A304" s="5889"/>
      <c r="B304" s="5887"/>
      <c r="C304" s="45" t="s">
        <v>9401</v>
      </c>
      <c r="D304" s="87" t="s">
        <v>3485</v>
      </c>
      <c r="E304" s="1291">
        <v>8</v>
      </c>
      <c r="F304" s="1292">
        <v>11</v>
      </c>
      <c r="G304" s="1291">
        <v>30</v>
      </c>
      <c r="H304" s="1291">
        <v>7</v>
      </c>
      <c r="I304" s="1291">
        <v>14</v>
      </c>
      <c r="J304" s="1291">
        <v>25</v>
      </c>
      <c r="K304" s="1291">
        <v>3</v>
      </c>
      <c r="L304" s="2220" t="str">
        <f t="shared" si="15"/>
        <v>Parada En Área500 metros de radio</v>
      </c>
      <c r="M304" s="242"/>
      <c r="Z304" s="242"/>
    </row>
    <row r="305" spans="1:26" ht="12" customHeight="1" x14ac:dyDescent="0.2">
      <c r="A305" s="5889"/>
      <c r="B305" s="5887"/>
      <c r="C305" s="45" t="s">
        <v>9401</v>
      </c>
      <c r="D305" s="87" t="s">
        <v>3598</v>
      </c>
      <c r="E305" s="1291">
        <v>10</v>
      </c>
      <c r="F305" s="1292">
        <v>13</v>
      </c>
      <c r="G305" s="1291">
        <v>35</v>
      </c>
      <c r="H305" s="1291">
        <v>8</v>
      </c>
      <c r="I305" s="1291">
        <v>16</v>
      </c>
      <c r="J305" s="1291">
        <v>28</v>
      </c>
      <c r="K305" s="1291">
        <v>3</v>
      </c>
      <c r="L305" s="2220" t="str">
        <f t="shared" si="15"/>
        <v>Parada En Área1 kilómetro de radio</v>
      </c>
      <c r="M305" s="242"/>
      <c r="Z305" s="242"/>
    </row>
    <row r="306" spans="1:26" ht="12" customHeight="1" x14ac:dyDescent="0.2">
      <c r="A306" s="5889"/>
      <c r="B306" s="5887"/>
      <c r="C306" s="45" t="s">
        <v>9402</v>
      </c>
      <c r="D306" s="87"/>
      <c r="E306" s="1291"/>
      <c r="F306" s="1292"/>
      <c r="G306" s="1291"/>
      <c r="H306" s="1291"/>
      <c r="I306" s="1291"/>
      <c r="J306" s="1291"/>
      <c r="K306" s="1291"/>
      <c r="L306" s="2220" t="str">
        <f t="shared" si="15"/>
        <v>&gt; TRANSPORTE AUTOMÁTICO</v>
      </c>
      <c r="M306" s="242"/>
      <c r="Z306" s="242"/>
    </row>
    <row r="307" spans="1:26" ht="12" customHeight="1" x14ac:dyDescent="0.2">
      <c r="A307" s="5889"/>
      <c r="B307" s="5887"/>
      <c r="C307" s="45" t="s">
        <v>9193</v>
      </c>
      <c r="D307" s="87" t="s">
        <v>9390</v>
      </c>
      <c r="E307" s="1291">
        <v>2</v>
      </c>
      <c r="F307" s="1292">
        <v>4</v>
      </c>
      <c r="G307" s="1291">
        <v>5</v>
      </c>
      <c r="H307" s="1291">
        <v>1</v>
      </c>
      <c r="I307" s="1291">
        <v>2</v>
      </c>
      <c r="J307" s="1291">
        <v>4</v>
      </c>
      <c r="K307" s="1291">
        <v>1</v>
      </c>
      <c r="L307" s="2220" t="str">
        <f t="shared" si="15"/>
        <v>Transporte Automático10 metros</v>
      </c>
      <c r="M307" s="242"/>
      <c r="Z307" s="242"/>
    </row>
    <row r="308" spans="1:26" ht="12" customHeight="1" x14ac:dyDescent="0.2">
      <c r="A308" s="5889"/>
      <c r="B308" s="5887"/>
      <c r="C308" s="45" t="s">
        <v>9193</v>
      </c>
      <c r="D308" s="87" t="s">
        <v>9098</v>
      </c>
      <c r="E308" s="1291">
        <v>3</v>
      </c>
      <c r="F308" s="1292">
        <v>5</v>
      </c>
      <c r="G308" s="1291">
        <v>10</v>
      </c>
      <c r="H308" s="1291">
        <v>2</v>
      </c>
      <c r="I308" s="1291">
        <v>4</v>
      </c>
      <c r="J308" s="1291">
        <v>7</v>
      </c>
      <c r="K308" s="1291">
        <v>1</v>
      </c>
      <c r="L308" s="2220" t="str">
        <f t="shared" si="15"/>
        <v>Transporte Automático20 metros</v>
      </c>
      <c r="M308" s="242"/>
      <c r="Z308" s="242"/>
    </row>
    <row r="309" spans="1:26" ht="12" customHeight="1" x14ac:dyDescent="0.2">
      <c r="A309" s="5889"/>
      <c r="B309" s="5887"/>
      <c r="C309" s="45" t="s">
        <v>9193</v>
      </c>
      <c r="D309" s="87" t="s">
        <v>4985</v>
      </c>
      <c r="E309" s="1291">
        <v>4</v>
      </c>
      <c r="F309" s="1292">
        <v>6</v>
      </c>
      <c r="G309" s="1291">
        <v>10</v>
      </c>
      <c r="H309" s="1291">
        <v>3</v>
      </c>
      <c r="I309" s="1291">
        <v>6</v>
      </c>
      <c r="J309" s="1291">
        <v>11</v>
      </c>
      <c r="K309" s="1291">
        <v>1</v>
      </c>
      <c r="L309" s="2220" t="str">
        <f t="shared" si="15"/>
        <v>Transporte Automático50 metros</v>
      </c>
      <c r="M309" s="242"/>
      <c r="Z309" s="242"/>
    </row>
    <row r="310" spans="1:26" ht="12" customHeight="1" x14ac:dyDescent="0.2">
      <c r="A310" s="5889"/>
      <c r="B310" s="5887"/>
      <c r="C310" s="45" t="s">
        <v>9193</v>
      </c>
      <c r="D310" s="87" t="s">
        <v>5021</v>
      </c>
      <c r="E310" s="1291">
        <v>5</v>
      </c>
      <c r="F310" s="1292">
        <v>8</v>
      </c>
      <c r="G310" s="1291">
        <v>15</v>
      </c>
      <c r="H310" s="1291">
        <v>4</v>
      </c>
      <c r="I310" s="1291">
        <v>8</v>
      </c>
      <c r="J310" s="1291">
        <v>14</v>
      </c>
      <c r="K310" s="1291">
        <v>1</v>
      </c>
      <c r="L310" s="2220" t="str">
        <f t="shared" si="15"/>
        <v>Transporte Automático100 metros</v>
      </c>
      <c r="M310" s="242"/>
      <c r="Z310" s="242"/>
    </row>
    <row r="311" spans="1:26" ht="12" customHeight="1" x14ac:dyDescent="0.2">
      <c r="A311" s="5889"/>
      <c r="B311" s="5887"/>
      <c r="C311" s="45" t="s">
        <v>9193</v>
      </c>
      <c r="D311" s="87" t="s">
        <v>5453</v>
      </c>
      <c r="E311" s="1291">
        <v>6</v>
      </c>
      <c r="F311" s="1292">
        <v>9</v>
      </c>
      <c r="G311" s="1291">
        <v>20</v>
      </c>
      <c r="H311" s="1291">
        <v>5</v>
      </c>
      <c r="I311" s="1291">
        <v>10</v>
      </c>
      <c r="J311" s="1291">
        <v>18</v>
      </c>
      <c r="K311" s="1291">
        <v>1</v>
      </c>
      <c r="L311" s="2220" t="str">
        <f t="shared" si="15"/>
        <v>Transporte Automático250 metros</v>
      </c>
      <c r="M311" s="242"/>
      <c r="Z311" s="242"/>
    </row>
    <row r="312" spans="1:26" ht="12" customHeight="1" x14ac:dyDescent="0.2">
      <c r="A312" s="5889"/>
      <c r="B312" s="5887"/>
      <c r="C312" s="45" t="s">
        <v>9193</v>
      </c>
      <c r="D312" s="87" t="s">
        <v>5337</v>
      </c>
      <c r="E312" s="1291">
        <v>8</v>
      </c>
      <c r="F312" s="1292">
        <v>11</v>
      </c>
      <c r="G312" s="1291">
        <v>25</v>
      </c>
      <c r="H312" s="1291">
        <v>6</v>
      </c>
      <c r="I312" s="1291">
        <v>12</v>
      </c>
      <c r="J312" s="1291">
        <v>21</v>
      </c>
      <c r="K312" s="1291">
        <v>2</v>
      </c>
      <c r="L312" s="2220" t="str">
        <f t="shared" si="15"/>
        <v>Transporte Automático500 metros</v>
      </c>
      <c r="M312" s="242"/>
      <c r="Z312" s="242"/>
    </row>
    <row r="313" spans="1:26" ht="12" customHeight="1" x14ac:dyDescent="0.2">
      <c r="A313" s="5889"/>
      <c r="B313" s="5887"/>
      <c r="C313" s="45" t="s">
        <v>9193</v>
      </c>
      <c r="D313" s="87" t="s">
        <v>5338</v>
      </c>
      <c r="E313" s="1291">
        <v>10</v>
      </c>
      <c r="F313" s="1292">
        <v>13</v>
      </c>
      <c r="G313" s="1291">
        <v>30</v>
      </c>
      <c r="H313" s="1291">
        <v>7</v>
      </c>
      <c r="I313" s="1291">
        <v>14</v>
      </c>
      <c r="J313" s="1291">
        <v>25</v>
      </c>
      <c r="K313" s="1291">
        <v>2</v>
      </c>
      <c r="L313" s="2220" t="str">
        <f t="shared" si="15"/>
        <v>Transporte Automático1 kilómetro</v>
      </c>
      <c r="M313" s="242"/>
      <c r="Z313" s="242"/>
    </row>
    <row r="314" spans="1:26" ht="12" customHeight="1" x14ac:dyDescent="0.2">
      <c r="A314" s="5889"/>
      <c r="B314" s="5887"/>
      <c r="C314" s="45" t="s">
        <v>9193</v>
      </c>
      <c r="D314" s="87" t="s">
        <v>9391</v>
      </c>
      <c r="E314" s="1291">
        <v>14</v>
      </c>
      <c r="F314" s="1292">
        <v>18</v>
      </c>
      <c r="G314" s="1291">
        <v>35</v>
      </c>
      <c r="H314" s="1291">
        <v>8</v>
      </c>
      <c r="I314" s="1291">
        <v>16</v>
      </c>
      <c r="J314" s="1291">
        <v>28</v>
      </c>
      <c r="K314" s="1291">
        <v>2</v>
      </c>
      <c r="L314" s="2220" t="str">
        <f t="shared" si="15"/>
        <v>Transporte Automático5 kilómetros</v>
      </c>
      <c r="M314" s="242"/>
      <c r="Z314" s="242"/>
    </row>
    <row r="315" spans="1:26" ht="12" customHeight="1" x14ac:dyDescent="0.2">
      <c r="A315" s="5889"/>
      <c r="B315" s="5887"/>
      <c r="C315" s="45" t="s">
        <v>9193</v>
      </c>
      <c r="D315" s="87" t="s">
        <v>5388</v>
      </c>
      <c r="E315" s="1291">
        <v>18</v>
      </c>
      <c r="F315" s="1292">
        <v>22</v>
      </c>
      <c r="G315" s="1291">
        <v>40</v>
      </c>
      <c r="H315" s="1291">
        <v>10</v>
      </c>
      <c r="I315" s="1291">
        <v>20</v>
      </c>
      <c r="J315" s="1291">
        <v>35</v>
      </c>
      <c r="K315" s="1291">
        <v>3</v>
      </c>
      <c r="L315" s="2220" t="str">
        <f t="shared" si="15"/>
        <v>Transporte Automático10 kilómetros</v>
      </c>
      <c r="M315" s="242"/>
      <c r="Z315" s="242"/>
    </row>
    <row r="316" spans="1:26" ht="12" customHeight="1" x14ac:dyDescent="0.2">
      <c r="A316" s="5889"/>
      <c r="B316" s="5887"/>
      <c r="C316" s="45" t="s">
        <v>9193</v>
      </c>
      <c r="D316" s="87" t="s">
        <v>5389</v>
      </c>
      <c r="E316" s="1291">
        <v>22</v>
      </c>
      <c r="F316" s="1292">
        <v>26</v>
      </c>
      <c r="G316" s="1291">
        <v>50</v>
      </c>
      <c r="H316" s="1291">
        <v>12</v>
      </c>
      <c r="I316" s="1291">
        <v>24</v>
      </c>
      <c r="J316" s="1291">
        <v>42</v>
      </c>
      <c r="K316" s="1291">
        <v>3</v>
      </c>
      <c r="L316" s="2220" t="str">
        <f t="shared" si="15"/>
        <v>Transporte Automático100 kilómetros</v>
      </c>
      <c r="M316" s="242"/>
      <c r="Z316" s="242"/>
    </row>
    <row r="317" spans="1:26" ht="12" customHeight="1" x14ac:dyDescent="0.2">
      <c r="A317" s="5889"/>
      <c r="B317" s="5887"/>
      <c r="C317" s="45" t="s">
        <v>2967</v>
      </c>
      <c r="D317" s="87"/>
      <c r="E317" s="1291"/>
      <c r="F317" s="1292"/>
      <c r="G317" s="1291"/>
      <c r="H317" s="1291"/>
      <c r="I317" s="1291"/>
      <c r="J317" s="1291"/>
      <c r="K317" s="1291"/>
      <c r="L317" s="2220" t="str">
        <f t="shared" si="15"/>
        <v>&gt;&gt;EFECTOS DE ENTEREZA</v>
      </c>
      <c r="M317" s="242"/>
      <c r="Z317" s="242"/>
    </row>
    <row r="318" spans="1:26" ht="12" customHeight="1" x14ac:dyDescent="0.2">
      <c r="A318" s="5889"/>
      <c r="B318" s="5887"/>
      <c r="C318" s="45" t="s">
        <v>9403</v>
      </c>
      <c r="D318" s="87"/>
      <c r="E318" s="1291"/>
      <c r="F318" s="1292"/>
      <c r="G318" s="1291"/>
      <c r="H318" s="1291"/>
      <c r="I318" s="1291"/>
      <c r="J318" s="1291"/>
      <c r="K318" s="1291"/>
      <c r="L318" s="2220" t="str">
        <f t="shared" si="15"/>
        <v>&gt; AUMENTAR ROTURA</v>
      </c>
      <c r="M318" s="242"/>
      <c r="Z318" s="242"/>
    </row>
    <row r="319" spans="1:26" ht="12" customHeight="1" x14ac:dyDescent="0.2">
      <c r="A319" s="5889"/>
      <c r="B319" s="5887"/>
      <c r="C319" s="45" t="s">
        <v>9195</v>
      </c>
      <c r="D319" s="87" t="s">
        <v>7125</v>
      </c>
      <c r="E319" s="1291">
        <v>1</v>
      </c>
      <c r="F319" s="1292">
        <v>2</v>
      </c>
      <c r="G319" s="1291">
        <v>5</v>
      </c>
      <c r="H319" s="1291">
        <v>1</v>
      </c>
      <c r="I319" s="1291">
        <v>2</v>
      </c>
      <c r="J319" s="1291">
        <v>4</v>
      </c>
      <c r="K319" s="1291">
        <v>1</v>
      </c>
      <c r="L319" s="2220" t="str">
        <f t="shared" si="15"/>
        <v>Aumentar Rotura+5</v>
      </c>
      <c r="M319" s="242"/>
      <c r="Z319" s="242"/>
    </row>
    <row r="320" spans="1:26" ht="12" customHeight="1" x14ac:dyDescent="0.2">
      <c r="A320" s="5889"/>
      <c r="B320" s="5887"/>
      <c r="C320" s="45" t="s">
        <v>9195</v>
      </c>
      <c r="D320" s="87" t="s">
        <v>7748</v>
      </c>
      <c r="E320" s="1291">
        <v>2</v>
      </c>
      <c r="F320" s="1292">
        <v>4</v>
      </c>
      <c r="G320" s="1291">
        <v>10</v>
      </c>
      <c r="H320" s="1291">
        <v>1</v>
      </c>
      <c r="I320" s="1291">
        <v>2</v>
      </c>
      <c r="J320" s="1291">
        <v>4</v>
      </c>
      <c r="K320" s="1291">
        <v>1</v>
      </c>
      <c r="L320" s="2220" t="str">
        <f t="shared" si="15"/>
        <v>Aumentar Rotura+10</v>
      </c>
      <c r="M320" s="242"/>
      <c r="Z320" s="242"/>
    </row>
    <row r="321" spans="1:26" ht="12" customHeight="1" x14ac:dyDescent="0.2">
      <c r="A321" s="5889"/>
      <c r="B321" s="5887"/>
      <c r="C321" s="45" t="s">
        <v>9195</v>
      </c>
      <c r="D321" s="87" t="s">
        <v>7891</v>
      </c>
      <c r="E321" s="1291">
        <v>4</v>
      </c>
      <c r="F321" s="1292">
        <v>6</v>
      </c>
      <c r="G321" s="1291">
        <v>15</v>
      </c>
      <c r="H321" s="1291">
        <v>2</v>
      </c>
      <c r="I321" s="1291">
        <v>4</v>
      </c>
      <c r="J321" s="1291">
        <v>7</v>
      </c>
      <c r="K321" s="1291">
        <v>1</v>
      </c>
      <c r="L321" s="2220" t="str">
        <f t="shared" si="15"/>
        <v>Aumentar Rotura+15</v>
      </c>
      <c r="M321" s="242"/>
      <c r="Z321" s="242"/>
    </row>
    <row r="322" spans="1:26" ht="12" customHeight="1" x14ac:dyDescent="0.2">
      <c r="A322" s="5889"/>
      <c r="B322" s="5887"/>
      <c r="C322" s="45" t="s">
        <v>9195</v>
      </c>
      <c r="D322" s="87" t="s">
        <v>2777</v>
      </c>
      <c r="E322" s="1291">
        <v>6</v>
      </c>
      <c r="F322" s="1292">
        <v>9</v>
      </c>
      <c r="G322" s="1291">
        <v>20</v>
      </c>
      <c r="H322" s="1291">
        <v>3</v>
      </c>
      <c r="I322" s="1291">
        <v>6</v>
      </c>
      <c r="J322" s="1291">
        <v>11</v>
      </c>
      <c r="K322" s="1291">
        <v>1</v>
      </c>
      <c r="L322" s="2220" t="str">
        <f t="shared" si="15"/>
        <v>Aumentar Rotura+20</v>
      </c>
      <c r="M322" s="242"/>
      <c r="Z322" s="242"/>
    </row>
    <row r="323" spans="1:26" ht="12" customHeight="1" x14ac:dyDescent="0.2">
      <c r="A323" s="5889"/>
      <c r="B323" s="5887"/>
      <c r="C323" s="45" t="s">
        <v>9195</v>
      </c>
      <c r="D323" s="87" t="s">
        <v>7892</v>
      </c>
      <c r="E323" s="1291">
        <v>8</v>
      </c>
      <c r="F323" s="1292">
        <v>11</v>
      </c>
      <c r="G323" s="1291">
        <v>25</v>
      </c>
      <c r="H323" s="1291">
        <v>4</v>
      </c>
      <c r="I323" s="1291">
        <v>8</v>
      </c>
      <c r="J323" s="1291">
        <v>14</v>
      </c>
      <c r="K323" s="1291">
        <v>2</v>
      </c>
      <c r="L323" s="2220" t="str">
        <f t="shared" si="15"/>
        <v>Aumentar Rotura+25</v>
      </c>
      <c r="M323" s="242"/>
      <c r="Z323" s="242"/>
    </row>
    <row r="324" spans="1:26" ht="12" customHeight="1" x14ac:dyDescent="0.2">
      <c r="A324" s="5889"/>
      <c r="B324" s="5887"/>
      <c r="C324" s="45" t="s">
        <v>9195</v>
      </c>
      <c r="D324" s="87" t="s">
        <v>7749</v>
      </c>
      <c r="E324" s="1291">
        <v>12</v>
      </c>
      <c r="F324" s="1292">
        <v>15</v>
      </c>
      <c r="G324" s="1291">
        <v>30</v>
      </c>
      <c r="H324" s="1291">
        <v>5</v>
      </c>
      <c r="I324" s="1291">
        <v>10</v>
      </c>
      <c r="J324" s="1291">
        <v>18</v>
      </c>
      <c r="K324" s="1291">
        <v>2</v>
      </c>
      <c r="L324" s="2220" t="str">
        <f t="shared" si="15"/>
        <v>Aumentar Rotura+30</v>
      </c>
      <c r="M324" s="242"/>
      <c r="Z324" s="242"/>
    </row>
    <row r="325" spans="1:26" ht="12" customHeight="1" x14ac:dyDescent="0.2">
      <c r="A325" s="5889"/>
      <c r="B325" s="5887"/>
      <c r="C325" s="45" t="s">
        <v>9195</v>
      </c>
      <c r="D325" s="87" t="s">
        <v>9404</v>
      </c>
      <c r="E325" s="1291">
        <v>14</v>
      </c>
      <c r="F325" s="1292">
        <v>18</v>
      </c>
      <c r="G325" s="1291">
        <v>35</v>
      </c>
      <c r="H325" s="1291">
        <v>6</v>
      </c>
      <c r="I325" s="1291">
        <v>12</v>
      </c>
      <c r="J325" s="1291">
        <v>21</v>
      </c>
      <c r="K325" s="1291">
        <v>2</v>
      </c>
      <c r="L325" s="2220" t="str">
        <f t="shared" si="15"/>
        <v>Aumentar Rotura+35</v>
      </c>
      <c r="M325" s="242"/>
      <c r="Z325" s="242"/>
    </row>
    <row r="326" spans="1:26" ht="12" customHeight="1" x14ac:dyDescent="0.2">
      <c r="A326" s="5889"/>
      <c r="B326" s="5887"/>
      <c r="C326" s="45" t="s">
        <v>9195</v>
      </c>
      <c r="D326" s="87" t="s">
        <v>7750</v>
      </c>
      <c r="E326" s="1291">
        <v>18</v>
      </c>
      <c r="F326" s="1292">
        <v>22</v>
      </c>
      <c r="G326" s="1291">
        <v>40</v>
      </c>
      <c r="H326" s="1291">
        <v>8</v>
      </c>
      <c r="I326" s="1291">
        <v>16</v>
      </c>
      <c r="J326" s="1291">
        <v>28</v>
      </c>
      <c r="K326" s="1291">
        <v>3</v>
      </c>
      <c r="L326" s="2220" t="str">
        <f t="shared" si="15"/>
        <v>Aumentar Rotura+40</v>
      </c>
      <c r="M326" s="242"/>
      <c r="Z326" s="242"/>
    </row>
    <row r="327" spans="1:26" ht="12" customHeight="1" x14ac:dyDescent="0.2">
      <c r="A327" s="5889"/>
      <c r="B327" s="5887"/>
      <c r="C327" s="45" t="s">
        <v>9405</v>
      </c>
      <c r="D327" s="87"/>
      <c r="E327" s="1291"/>
      <c r="F327" s="1292"/>
      <c r="G327" s="1291"/>
      <c r="H327" s="1291"/>
      <c r="I327" s="1291"/>
      <c r="J327" s="1291"/>
      <c r="K327" s="1291"/>
      <c r="L327" s="2220" t="str">
        <f t="shared" si="15"/>
        <v>&gt; AUMENTAR ENTEREZA</v>
      </c>
      <c r="M327" s="242"/>
      <c r="Z327" s="242"/>
    </row>
    <row r="328" spans="1:26" ht="12" customHeight="1" x14ac:dyDescent="0.2">
      <c r="A328" s="5889"/>
      <c r="B328" s="5887"/>
      <c r="C328" s="45" t="s">
        <v>9197</v>
      </c>
      <c r="D328" s="87" t="s">
        <v>7748</v>
      </c>
      <c r="E328" s="1291">
        <v>1</v>
      </c>
      <c r="F328" s="1292">
        <v>2</v>
      </c>
      <c r="G328" s="1291">
        <v>5</v>
      </c>
      <c r="H328" s="1291">
        <v>1</v>
      </c>
      <c r="I328" s="1291">
        <v>2</v>
      </c>
      <c r="J328" s="1291">
        <v>4</v>
      </c>
      <c r="K328" s="1291">
        <v>1</v>
      </c>
      <c r="L328" s="2220" t="str">
        <f t="shared" si="15"/>
        <v>Aumentar Entereza+10</v>
      </c>
      <c r="M328" s="242"/>
      <c r="Z328" s="242"/>
    </row>
    <row r="329" spans="1:26" ht="12" customHeight="1" x14ac:dyDescent="0.2">
      <c r="A329" s="5889"/>
      <c r="B329" s="5887"/>
      <c r="C329" s="45" t="s">
        <v>9197</v>
      </c>
      <c r="D329" s="87" t="s">
        <v>7891</v>
      </c>
      <c r="E329" s="1291">
        <v>2</v>
      </c>
      <c r="F329" s="1292">
        <v>4</v>
      </c>
      <c r="G329" s="1291">
        <v>5</v>
      </c>
      <c r="H329" s="1291">
        <v>1</v>
      </c>
      <c r="I329" s="1291">
        <v>2</v>
      </c>
      <c r="J329" s="1291">
        <v>4</v>
      </c>
      <c r="K329" s="1291">
        <v>1</v>
      </c>
      <c r="L329" s="2220" t="str">
        <f t="shared" si="15"/>
        <v>Aumentar Entereza+15</v>
      </c>
      <c r="M329" s="242"/>
      <c r="Z329" s="242"/>
    </row>
    <row r="330" spans="1:26" ht="12" customHeight="1" x14ac:dyDescent="0.2">
      <c r="A330" s="5889"/>
      <c r="B330" s="5887"/>
      <c r="C330" s="45" t="s">
        <v>9197</v>
      </c>
      <c r="D330" s="87" t="s">
        <v>2777</v>
      </c>
      <c r="E330" s="1291">
        <v>3</v>
      </c>
      <c r="F330" s="1292">
        <v>5</v>
      </c>
      <c r="G330" s="1291">
        <v>10</v>
      </c>
      <c r="H330" s="1291">
        <v>2</v>
      </c>
      <c r="I330" s="1291">
        <v>4</v>
      </c>
      <c r="J330" s="1291">
        <v>7</v>
      </c>
      <c r="K330" s="1291">
        <v>1</v>
      </c>
      <c r="L330" s="2220" t="str">
        <f t="shared" si="15"/>
        <v>Aumentar Entereza+20</v>
      </c>
      <c r="M330" s="242"/>
      <c r="Z330" s="242"/>
    </row>
    <row r="331" spans="1:26" ht="12" customHeight="1" x14ac:dyDescent="0.2">
      <c r="A331" s="5889"/>
      <c r="B331" s="5887"/>
      <c r="C331" s="45" t="s">
        <v>9197</v>
      </c>
      <c r="D331" s="87" t="s">
        <v>7892</v>
      </c>
      <c r="E331" s="1291">
        <v>4</v>
      </c>
      <c r="F331" s="1292">
        <v>6</v>
      </c>
      <c r="G331" s="1291">
        <v>10</v>
      </c>
      <c r="H331" s="1291">
        <v>2</v>
      </c>
      <c r="I331" s="1291">
        <v>4</v>
      </c>
      <c r="J331" s="1291">
        <v>7</v>
      </c>
      <c r="K331" s="1291">
        <v>1</v>
      </c>
      <c r="L331" s="2220" t="str">
        <f t="shared" ref="L331:L394" si="18">C331&amp;D331</f>
        <v>Aumentar Entereza+25</v>
      </c>
      <c r="M331" s="242"/>
      <c r="Z331" s="242"/>
    </row>
    <row r="332" spans="1:26" ht="12" customHeight="1" x14ac:dyDescent="0.2">
      <c r="A332" s="5889"/>
      <c r="B332" s="5887"/>
      <c r="C332" s="45" t="s">
        <v>9197</v>
      </c>
      <c r="D332" s="87" t="s">
        <v>7749</v>
      </c>
      <c r="E332" s="1291">
        <v>5</v>
      </c>
      <c r="F332" s="1292">
        <v>8</v>
      </c>
      <c r="G332" s="1291">
        <v>15</v>
      </c>
      <c r="H332" s="1291">
        <v>3</v>
      </c>
      <c r="I332" s="1291">
        <v>6</v>
      </c>
      <c r="J332" s="1291">
        <v>11</v>
      </c>
      <c r="K332" s="1291">
        <v>2</v>
      </c>
      <c r="L332" s="2220" t="str">
        <f t="shared" si="18"/>
        <v>Aumentar Entereza+30</v>
      </c>
      <c r="M332" s="242"/>
      <c r="Z332" s="242"/>
    </row>
    <row r="333" spans="1:26" ht="12" customHeight="1" x14ac:dyDescent="0.2">
      <c r="A333" s="5889"/>
      <c r="B333" s="5887"/>
      <c r="C333" s="45" t="s">
        <v>9197</v>
      </c>
      <c r="D333" s="87" t="s">
        <v>9404</v>
      </c>
      <c r="E333" s="1291">
        <v>6</v>
      </c>
      <c r="F333" s="1292">
        <v>9</v>
      </c>
      <c r="G333" s="1291">
        <v>20</v>
      </c>
      <c r="H333" s="1291">
        <v>3</v>
      </c>
      <c r="I333" s="1291">
        <v>6</v>
      </c>
      <c r="J333" s="1291">
        <v>11</v>
      </c>
      <c r="K333" s="1291">
        <v>2</v>
      </c>
      <c r="L333" s="2220" t="str">
        <f t="shared" si="18"/>
        <v>Aumentar Entereza+35</v>
      </c>
      <c r="M333" s="242"/>
      <c r="Z333" s="242"/>
    </row>
    <row r="334" spans="1:26" ht="12" customHeight="1" x14ac:dyDescent="0.2">
      <c r="A334" s="5889"/>
      <c r="B334" s="5887"/>
      <c r="C334" s="45" t="s">
        <v>9197</v>
      </c>
      <c r="D334" s="87" t="s">
        <v>7750</v>
      </c>
      <c r="E334" s="1291">
        <v>7</v>
      </c>
      <c r="F334" s="1292">
        <v>10</v>
      </c>
      <c r="G334" s="1291">
        <v>25</v>
      </c>
      <c r="H334" s="1291">
        <v>4</v>
      </c>
      <c r="I334" s="1291">
        <v>8</v>
      </c>
      <c r="J334" s="1291">
        <v>14</v>
      </c>
      <c r="K334" s="1291">
        <v>3</v>
      </c>
      <c r="L334" s="2220" t="str">
        <f t="shared" si="18"/>
        <v>Aumentar Entereza+40</v>
      </c>
      <c r="M334" s="242"/>
      <c r="Z334" s="242"/>
    </row>
    <row r="335" spans="1:26" ht="12" customHeight="1" x14ac:dyDescent="0.2">
      <c r="A335" s="5889"/>
      <c r="B335" s="5887"/>
      <c r="C335" s="45" t="s">
        <v>9406</v>
      </c>
      <c r="D335" s="87"/>
      <c r="E335" s="1291"/>
      <c r="F335" s="1292"/>
      <c r="G335" s="1291"/>
      <c r="H335" s="1291"/>
      <c r="I335" s="1291"/>
      <c r="J335" s="1291"/>
      <c r="K335" s="1291"/>
      <c r="L335" s="2220" t="str">
        <f t="shared" si="18"/>
        <v>&gt; DESTRUIR ARMADURA</v>
      </c>
      <c r="M335" s="242"/>
      <c r="Z335" s="242"/>
    </row>
    <row r="336" spans="1:26" ht="12" customHeight="1" x14ac:dyDescent="0.2">
      <c r="A336" s="5889"/>
      <c r="B336" s="5887"/>
      <c r="C336" s="45" t="s">
        <v>9200</v>
      </c>
      <c r="D336" s="87" t="s">
        <v>9407</v>
      </c>
      <c r="E336" s="1291">
        <v>1</v>
      </c>
      <c r="F336" s="1292">
        <v>2</v>
      </c>
      <c r="G336" s="1291">
        <v>5</v>
      </c>
      <c r="H336" s="1291">
        <v>1</v>
      </c>
      <c r="I336" s="1291">
        <v>2</v>
      </c>
      <c r="J336" s="1291">
        <v>4</v>
      </c>
      <c r="K336" s="1291">
        <v>1</v>
      </c>
      <c r="L336" s="2220" t="str">
        <f t="shared" si="18"/>
        <v>Destruir Armadura-1 TA</v>
      </c>
      <c r="M336" s="242"/>
      <c r="Z336" s="242"/>
    </row>
    <row r="337" spans="1:26" ht="12" customHeight="1" x14ac:dyDescent="0.2">
      <c r="A337" s="5889"/>
      <c r="B337" s="5887"/>
      <c r="C337" s="45" t="s">
        <v>9200</v>
      </c>
      <c r="D337" s="87" t="s">
        <v>9408</v>
      </c>
      <c r="E337" s="1291">
        <v>2</v>
      </c>
      <c r="F337" s="1292">
        <v>4</v>
      </c>
      <c r="G337" s="1291">
        <v>5</v>
      </c>
      <c r="H337" s="1291">
        <v>1</v>
      </c>
      <c r="I337" s="1291">
        <v>2</v>
      </c>
      <c r="J337" s="1291">
        <v>4</v>
      </c>
      <c r="K337" s="1291">
        <v>1</v>
      </c>
      <c r="L337" s="2220" t="str">
        <f t="shared" si="18"/>
        <v>Destruir Armadura-2 TA</v>
      </c>
      <c r="M337" s="242"/>
      <c r="Z337" s="242"/>
    </row>
    <row r="338" spans="1:26" ht="12" customHeight="1" x14ac:dyDescent="0.2">
      <c r="A338" s="5889"/>
      <c r="B338" s="5887"/>
      <c r="C338" s="45" t="s">
        <v>9200</v>
      </c>
      <c r="D338" s="87" t="s">
        <v>9409</v>
      </c>
      <c r="E338" s="1291">
        <v>3</v>
      </c>
      <c r="F338" s="1292">
        <v>5</v>
      </c>
      <c r="G338" s="1291">
        <v>10</v>
      </c>
      <c r="H338" s="1291">
        <v>2</v>
      </c>
      <c r="I338" s="1291">
        <v>4</v>
      </c>
      <c r="J338" s="1291">
        <v>7</v>
      </c>
      <c r="K338" s="1291">
        <v>1</v>
      </c>
      <c r="L338" s="2220" t="str">
        <f t="shared" si="18"/>
        <v>Destruir Armadura-3 TA</v>
      </c>
      <c r="M338" s="242"/>
      <c r="Z338" s="242"/>
    </row>
    <row r="339" spans="1:26" ht="12" customHeight="1" x14ac:dyDescent="0.2">
      <c r="A339" s="5889"/>
      <c r="B339" s="5887"/>
      <c r="C339" s="45" t="s">
        <v>9200</v>
      </c>
      <c r="D339" s="87" t="s">
        <v>9410</v>
      </c>
      <c r="E339" s="1291">
        <v>4</v>
      </c>
      <c r="F339" s="1292">
        <v>6</v>
      </c>
      <c r="G339" s="1291">
        <v>10</v>
      </c>
      <c r="H339" s="1291">
        <v>2</v>
      </c>
      <c r="I339" s="1291">
        <v>4</v>
      </c>
      <c r="J339" s="1291">
        <v>7</v>
      </c>
      <c r="K339" s="1291">
        <v>1</v>
      </c>
      <c r="L339" s="2220" t="str">
        <f t="shared" si="18"/>
        <v>Destruir Armadura-4 TA</v>
      </c>
      <c r="M339" s="242"/>
      <c r="Z339" s="242"/>
    </row>
    <row r="340" spans="1:26" ht="12" customHeight="1" x14ac:dyDescent="0.2">
      <c r="A340" s="5889"/>
      <c r="B340" s="5887"/>
      <c r="C340" s="45" t="s">
        <v>9200</v>
      </c>
      <c r="D340" s="87" t="s">
        <v>9411</v>
      </c>
      <c r="E340" s="1291">
        <v>5</v>
      </c>
      <c r="F340" s="1292">
        <v>8</v>
      </c>
      <c r="G340" s="1291">
        <v>15</v>
      </c>
      <c r="H340" s="1291">
        <v>3</v>
      </c>
      <c r="I340" s="1291">
        <v>6</v>
      </c>
      <c r="J340" s="1291">
        <v>11</v>
      </c>
      <c r="K340" s="1291">
        <v>2</v>
      </c>
      <c r="L340" s="2220" t="str">
        <f t="shared" si="18"/>
        <v>Destruir Armadura-5 TA</v>
      </c>
      <c r="M340" s="242"/>
      <c r="Z340" s="242"/>
    </row>
    <row r="341" spans="1:26" ht="12" customHeight="1" x14ac:dyDescent="0.2">
      <c r="A341" s="5889"/>
      <c r="B341" s="5887"/>
      <c r="C341" s="45" t="s">
        <v>9200</v>
      </c>
      <c r="D341" s="87" t="s">
        <v>9412</v>
      </c>
      <c r="E341" s="1291">
        <v>6</v>
      </c>
      <c r="F341" s="1292">
        <v>9</v>
      </c>
      <c r="G341" s="1291">
        <v>20</v>
      </c>
      <c r="H341" s="1291">
        <v>3</v>
      </c>
      <c r="I341" s="1291">
        <v>6</v>
      </c>
      <c r="J341" s="1291">
        <v>11</v>
      </c>
      <c r="K341" s="1291">
        <v>2</v>
      </c>
      <c r="L341" s="2220" t="str">
        <f t="shared" si="18"/>
        <v>Destruir Armadura-6 TA</v>
      </c>
      <c r="M341" s="242"/>
      <c r="Z341" s="242"/>
    </row>
    <row r="342" spans="1:26" ht="12" customHeight="1" x14ac:dyDescent="0.2">
      <c r="A342" s="5889"/>
      <c r="B342" s="5887"/>
      <c r="C342" s="45" t="s">
        <v>9200</v>
      </c>
      <c r="D342" s="87" t="s">
        <v>9413</v>
      </c>
      <c r="E342" s="1291">
        <v>8</v>
      </c>
      <c r="F342" s="1292">
        <v>11</v>
      </c>
      <c r="G342" s="1291">
        <v>25</v>
      </c>
      <c r="H342" s="1291">
        <v>4</v>
      </c>
      <c r="I342" s="1291">
        <v>8</v>
      </c>
      <c r="J342" s="1291">
        <v>14</v>
      </c>
      <c r="K342" s="1291">
        <v>2</v>
      </c>
      <c r="L342" s="2220" t="str">
        <f t="shared" si="18"/>
        <v>Destruir Armadura-7 TA</v>
      </c>
      <c r="M342" s="242"/>
      <c r="Z342" s="242"/>
    </row>
    <row r="343" spans="1:26" ht="12" customHeight="1" x14ac:dyDescent="0.2">
      <c r="A343" s="5889"/>
      <c r="B343" s="5887"/>
      <c r="C343" s="45" t="s">
        <v>9200</v>
      </c>
      <c r="D343" s="87" t="s">
        <v>9414</v>
      </c>
      <c r="E343" s="1291">
        <v>10</v>
      </c>
      <c r="F343" s="1292">
        <v>13</v>
      </c>
      <c r="G343" s="1291">
        <v>30</v>
      </c>
      <c r="H343" s="1291">
        <v>5</v>
      </c>
      <c r="I343" s="1291">
        <v>10</v>
      </c>
      <c r="J343" s="1291">
        <v>18</v>
      </c>
      <c r="K343" s="1291">
        <v>3</v>
      </c>
      <c r="L343" s="2220" t="str">
        <f t="shared" si="18"/>
        <v>Destruir Armadura-8 TA</v>
      </c>
      <c r="M343" s="242"/>
      <c r="Z343" s="242"/>
    </row>
    <row r="344" spans="1:26" ht="12" customHeight="1" x14ac:dyDescent="0.2">
      <c r="A344" s="5889"/>
      <c r="B344" s="5887"/>
      <c r="C344" s="45" t="s">
        <v>9200</v>
      </c>
      <c r="D344" s="87" t="s">
        <v>9415</v>
      </c>
      <c r="E344" s="1291">
        <v>12</v>
      </c>
      <c r="F344" s="1292">
        <v>15</v>
      </c>
      <c r="G344" s="1291">
        <v>40</v>
      </c>
      <c r="H344" s="1291">
        <v>6</v>
      </c>
      <c r="I344" s="1291">
        <v>12</v>
      </c>
      <c r="J344" s="1291">
        <v>21</v>
      </c>
      <c r="K344" s="1291">
        <v>3</v>
      </c>
      <c r="L344" s="2220" t="str">
        <f t="shared" si="18"/>
        <v>Destruir ArmaduraSin Armadura</v>
      </c>
      <c r="M344" s="242"/>
      <c r="Z344" s="242"/>
    </row>
    <row r="345" spans="1:26" ht="12" customHeight="1" x14ac:dyDescent="0.2">
      <c r="A345" s="5889"/>
      <c r="B345" s="5887"/>
      <c r="C345" s="45" t="s">
        <v>9416</v>
      </c>
      <c r="D345" s="87"/>
      <c r="E345" s="1291"/>
      <c r="F345" s="1292"/>
      <c r="G345" s="1291"/>
      <c r="H345" s="1291"/>
      <c r="I345" s="1291"/>
      <c r="J345" s="1291"/>
      <c r="K345" s="1291"/>
      <c r="L345" s="2220" t="str">
        <f t="shared" si="18"/>
        <v>&gt; ARMADURA</v>
      </c>
      <c r="M345" s="242"/>
      <c r="Z345" s="242"/>
    </row>
    <row r="346" spans="1:26" ht="12" customHeight="1" x14ac:dyDescent="0.2">
      <c r="A346" s="5889"/>
      <c r="B346" s="5887"/>
      <c r="C346" s="45" t="s">
        <v>1557</v>
      </c>
      <c r="D346" s="87" t="s">
        <v>5921</v>
      </c>
      <c r="E346" s="1291">
        <v>1</v>
      </c>
      <c r="F346" s="1292">
        <v>2</v>
      </c>
      <c r="G346" s="1291">
        <v>5</v>
      </c>
      <c r="H346" s="1291">
        <v>1</v>
      </c>
      <c r="I346" s="1291">
        <v>2</v>
      </c>
      <c r="J346" s="1291">
        <v>4</v>
      </c>
      <c r="K346" s="1291">
        <v>1</v>
      </c>
      <c r="L346" s="2220" t="str">
        <f t="shared" si="18"/>
        <v>ArmaduraTA 1</v>
      </c>
      <c r="M346" s="242"/>
      <c r="Z346" s="242"/>
    </row>
    <row r="347" spans="1:26" ht="12" customHeight="1" x14ac:dyDescent="0.2">
      <c r="A347" s="5889"/>
      <c r="B347" s="5887"/>
      <c r="C347" s="45" t="s">
        <v>1557</v>
      </c>
      <c r="D347" s="87" t="s">
        <v>4401</v>
      </c>
      <c r="E347" s="1291">
        <v>2</v>
      </c>
      <c r="F347" s="1292">
        <v>4</v>
      </c>
      <c r="G347" s="1291">
        <v>5</v>
      </c>
      <c r="H347" s="1291">
        <v>1</v>
      </c>
      <c r="I347" s="1291">
        <v>2</v>
      </c>
      <c r="J347" s="1291">
        <v>4</v>
      </c>
      <c r="K347" s="1291">
        <v>1</v>
      </c>
      <c r="L347" s="2220" t="str">
        <f t="shared" si="18"/>
        <v>ArmaduraTA 2</v>
      </c>
      <c r="M347" s="242"/>
      <c r="Z347" s="242"/>
    </row>
    <row r="348" spans="1:26" ht="12" customHeight="1" x14ac:dyDescent="0.2">
      <c r="A348" s="5889"/>
      <c r="B348" s="5887"/>
      <c r="C348" s="45" t="s">
        <v>1557</v>
      </c>
      <c r="D348" s="87" t="s">
        <v>7801</v>
      </c>
      <c r="E348" s="1291">
        <v>4</v>
      </c>
      <c r="F348" s="1292">
        <v>6</v>
      </c>
      <c r="G348" s="1291">
        <v>10</v>
      </c>
      <c r="H348" s="1291">
        <v>2</v>
      </c>
      <c r="I348" s="1291">
        <v>4</v>
      </c>
      <c r="J348" s="1291">
        <v>7</v>
      </c>
      <c r="K348" s="1291">
        <v>1</v>
      </c>
      <c r="L348" s="2220" t="str">
        <f t="shared" si="18"/>
        <v>ArmaduraTA 3</v>
      </c>
      <c r="M348" s="242"/>
      <c r="Z348" s="242"/>
    </row>
    <row r="349" spans="1:26" ht="12" customHeight="1" x14ac:dyDescent="0.2">
      <c r="A349" s="5889"/>
      <c r="B349" s="5887"/>
      <c r="C349" s="45" t="s">
        <v>1557</v>
      </c>
      <c r="D349" s="87" t="s">
        <v>4402</v>
      </c>
      <c r="E349" s="1291">
        <v>6</v>
      </c>
      <c r="F349" s="1292">
        <v>9</v>
      </c>
      <c r="G349" s="1291">
        <v>15</v>
      </c>
      <c r="H349" s="1291">
        <v>2</v>
      </c>
      <c r="I349" s="1291">
        <v>4</v>
      </c>
      <c r="J349" s="1291">
        <v>7</v>
      </c>
      <c r="K349" s="1291">
        <v>1</v>
      </c>
      <c r="L349" s="2220" t="str">
        <f t="shared" si="18"/>
        <v>ArmaduraTA 4</v>
      </c>
      <c r="M349" s="242"/>
      <c r="Z349" s="242"/>
    </row>
    <row r="350" spans="1:26" ht="12" customHeight="1" x14ac:dyDescent="0.2">
      <c r="A350" s="5889"/>
      <c r="B350" s="5887"/>
      <c r="C350" s="45" t="s">
        <v>1557</v>
      </c>
      <c r="D350" s="87" t="s">
        <v>7802</v>
      </c>
      <c r="E350" s="1291">
        <v>8</v>
      </c>
      <c r="F350" s="1292">
        <v>11</v>
      </c>
      <c r="G350" s="1291">
        <v>20</v>
      </c>
      <c r="H350" s="1291">
        <v>3</v>
      </c>
      <c r="I350" s="1291">
        <v>6</v>
      </c>
      <c r="J350" s="1291">
        <v>11</v>
      </c>
      <c r="K350" s="1291">
        <v>2</v>
      </c>
      <c r="L350" s="2220" t="str">
        <f t="shared" si="18"/>
        <v>ArmaduraTA 5</v>
      </c>
      <c r="M350" s="242"/>
      <c r="Z350" s="242"/>
    </row>
    <row r="351" spans="1:26" ht="12" customHeight="1" x14ac:dyDescent="0.2">
      <c r="A351" s="5889"/>
      <c r="B351" s="5887"/>
      <c r="C351" s="45" t="s">
        <v>1557</v>
      </c>
      <c r="D351" s="87" t="s">
        <v>4403</v>
      </c>
      <c r="E351" s="1291">
        <v>10</v>
      </c>
      <c r="F351" s="1292">
        <v>13</v>
      </c>
      <c r="G351" s="1291">
        <v>25</v>
      </c>
      <c r="H351" s="1291">
        <v>3</v>
      </c>
      <c r="I351" s="1291">
        <v>6</v>
      </c>
      <c r="J351" s="1291">
        <v>11</v>
      </c>
      <c r="K351" s="1291">
        <v>2</v>
      </c>
      <c r="L351" s="2220" t="str">
        <f t="shared" si="18"/>
        <v>ArmaduraTA 6</v>
      </c>
      <c r="M351" s="242"/>
      <c r="Z351" s="242"/>
    </row>
    <row r="352" spans="1:26" ht="12" customHeight="1" x14ac:dyDescent="0.2">
      <c r="A352" s="5889"/>
      <c r="B352" s="5887"/>
      <c r="C352" s="45" t="s">
        <v>1557</v>
      </c>
      <c r="D352" s="87" t="s">
        <v>7803</v>
      </c>
      <c r="E352" s="1291">
        <v>12</v>
      </c>
      <c r="F352" s="1292">
        <v>15</v>
      </c>
      <c r="G352" s="1291">
        <v>30</v>
      </c>
      <c r="H352" s="1291">
        <v>4</v>
      </c>
      <c r="I352" s="1291">
        <v>8</v>
      </c>
      <c r="J352" s="1291">
        <v>14</v>
      </c>
      <c r="K352" s="1291">
        <v>3</v>
      </c>
      <c r="L352" s="2220" t="str">
        <f t="shared" si="18"/>
        <v>ArmaduraTA 7</v>
      </c>
      <c r="M352" s="242"/>
      <c r="Z352" s="242"/>
    </row>
    <row r="353" spans="1:26" ht="12" customHeight="1" x14ac:dyDescent="0.2">
      <c r="A353" s="5889"/>
      <c r="B353" s="5887"/>
      <c r="C353" s="45" t="s">
        <v>1557</v>
      </c>
      <c r="D353" s="87" t="s">
        <v>4404</v>
      </c>
      <c r="E353" s="1291">
        <v>14</v>
      </c>
      <c r="F353" s="1292">
        <v>18</v>
      </c>
      <c r="G353" s="1291">
        <v>40</v>
      </c>
      <c r="H353" s="1291">
        <v>5</v>
      </c>
      <c r="I353" s="1291">
        <v>10</v>
      </c>
      <c r="J353" s="1291">
        <v>18</v>
      </c>
      <c r="K353" s="1291">
        <v>3</v>
      </c>
      <c r="L353" s="2220" t="str">
        <f t="shared" si="18"/>
        <v>ArmaduraTA 8</v>
      </c>
      <c r="M353" s="242"/>
      <c r="Z353" s="242"/>
    </row>
    <row r="354" spans="1:26" ht="12" customHeight="1" x14ac:dyDescent="0.2">
      <c r="A354" s="5889"/>
      <c r="B354" s="5887"/>
      <c r="C354" s="45" t="s">
        <v>1557</v>
      </c>
      <c r="D354" s="87" t="s">
        <v>3226</v>
      </c>
      <c r="E354" s="1291">
        <v>4</v>
      </c>
      <c r="F354" s="1292">
        <v>4</v>
      </c>
      <c r="G354" s="1291">
        <v>15</v>
      </c>
      <c r="H354" s="1291">
        <v>2</v>
      </c>
      <c r="I354" s="1291">
        <v>4</v>
      </c>
      <c r="J354" s="1291">
        <v>7</v>
      </c>
      <c r="K354" s="1291"/>
      <c r="L354" s="2220" t="str">
        <f t="shared" si="18"/>
        <v>ArmaduraInmodificable</v>
      </c>
      <c r="M354" s="242"/>
      <c r="Z354" s="242"/>
    </row>
    <row r="355" spans="1:26" ht="12" customHeight="1" x14ac:dyDescent="0.2">
      <c r="A355" s="5889"/>
      <c r="B355" s="5887"/>
      <c r="C355" s="45" t="s">
        <v>1557</v>
      </c>
      <c r="D355" s="87" t="s">
        <v>9417</v>
      </c>
      <c r="E355" s="1291">
        <v>-1</v>
      </c>
      <c r="F355" s="1292">
        <v>-1</v>
      </c>
      <c r="G355" s="1291">
        <v>-5</v>
      </c>
      <c r="H355" s="1291"/>
      <c r="I355" s="1291"/>
      <c r="J355" s="1291"/>
      <c r="K355" s="1291"/>
      <c r="L355" s="2220" t="str">
        <f t="shared" si="18"/>
        <v>ArmaduraFísica</v>
      </c>
      <c r="M355" s="242"/>
      <c r="Z355" s="242"/>
    </row>
    <row r="356" spans="1:26" ht="12" customHeight="1" x14ac:dyDescent="0.2">
      <c r="A356" s="5889"/>
      <c r="B356" s="5887"/>
      <c r="C356" s="45" t="s">
        <v>1557</v>
      </c>
      <c r="D356" s="87" t="s">
        <v>3025</v>
      </c>
      <c r="E356" s="1291">
        <v>-1</v>
      </c>
      <c r="F356" s="1292">
        <v>-1</v>
      </c>
      <c r="G356" s="1291">
        <v>-10</v>
      </c>
      <c r="H356" s="1291"/>
      <c r="I356" s="1291"/>
      <c r="J356" s="1291"/>
      <c r="K356" s="1291"/>
      <c r="L356" s="2220" t="str">
        <f t="shared" si="18"/>
        <v>ArmaduraLentitud</v>
      </c>
      <c r="M356" s="242"/>
      <c r="Z356" s="242"/>
    </row>
    <row r="357" spans="1:26" ht="12" customHeight="1" x14ac:dyDescent="0.2">
      <c r="A357" s="5889"/>
      <c r="B357" s="5887"/>
      <c r="C357" s="45" t="s">
        <v>2978</v>
      </c>
      <c r="D357" s="87"/>
      <c r="E357" s="1291"/>
      <c r="F357" s="1292"/>
      <c r="G357" s="1291"/>
      <c r="H357" s="1291"/>
      <c r="I357" s="1291"/>
      <c r="J357" s="1291"/>
      <c r="K357" s="1291"/>
      <c r="L357" s="2220" t="str">
        <f t="shared" si="18"/>
        <v>&gt;&gt;EFECTOS DE INCREMENTO</v>
      </c>
      <c r="M357" s="242"/>
      <c r="Z357" s="242"/>
    </row>
    <row r="358" spans="1:26" ht="12" customHeight="1" x14ac:dyDescent="0.2">
      <c r="A358" s="5889"/>
      <c r="B358" s="5887"/>
      <c r="C358" s="45" t="s">
        <v>9418</v>
      </c>
      <c r="D358" s="87"/>
      <c r="E358" s="1291"/>
      <c r="F358" s="1292"/>
      <c r="G358" s="1291"/>
      <c r="H358" s="1291"/>
      <c r="I358" s="1291"/>
      <c r="J358" s="1291"/>
      <c r="K358" s="1291"/>
      <c r="L358" s="2220" t="str">
        <f t="shared" si="18"/>
        <v>&gt; INCREMENTO DE MOVIMIENTO</v>
      </c>
      <c r="M358" s="242"/>
      <c r="Z358" s="242"/>
    </row>
    <row r="359" spans="1:26" ht="12" customHeight="1" x14ac:dyDescent="0.2">
      <c r="A359" s="5889"/>
      <c r="B359" s="5887"/>
      <c r="C359" s="45" t="s">
        <v>9419</v>
      </c>
      <c r="D359" s="87" t="s">
        <v>2956</v>
      </c>
      <c r="E359" s="1291">
        <v>1</v>
      </c>
      <c r="F359" s="1292">
        <v>2</v>
      </c>
      <c r="G359" s="1291">
        <v>5</v>
      </c>
      <c r="H359" s="1291">
        <v>1</v>
      </c>
      <c r="I359" s="1291">
        <v>2</v>
      </c>
      <c r="J359" s="1291">
        <v>4</v>
      </c>
      <c r="K359" s="1291">
        <v>1</v>
      </c>
      <c r="L359" s="2220" t="str">
        <f t="shared" si="18"/>
        <v>Incremento De Movimiento+1</v>
      </c>
      <c r="M359" s="242"/>
      <c r="Z359" s="242"/>
    </row>
    <row r="360" spans="1:26" ht="12" customHeight="1" x14ac:dyDescent="0.2">
      <c r="A360" s="5889"/>
      <c r="B360" s="5887"/>
      <c r="C360" s="45" t="s">
        <v>9419</v>
      </c>
      <c r="D360" s="87" t="s">
        <v>2917</v>
      </c>
      <c r="E360" s="1291">
        <v>2</v>
      </c>
      <c r="F360" s="1292">
        <v>4</v>
      </c>
      <c r="G360" s="1291">
        <v>10</v>
      </c>
      <c r="H360" s="1291">
        <v>2</v>
      </c>
      <c r="I360" s="1291">
        <v>4</v>
      </c>
      <c r="J360" s="1291">
        <v>7</v>
      </c>
      <c r="K360" s="1291">
        <v>1</v>
      </c>
      <c r="L360" s="2220" t="str">
        <f t="shared" si="18"/>
        <v>Incremento De Movimiento+2</v>
      </c>
      <c r="M360" s="242"/>
      <c r="Z360" s="242"/>
    </row>
    <row r="361" spans="1:26" ht="12" customHeight="1" x14ac:dyDescent="0.2">
      <c r="A361" s="5889"/>
      <c r="B361" s="5887"/>
      <c r="C361" s="45" t="s">
        <v>9419</v>
      </c>
      <c r="D361" s="87" t="s">
        <v>2918</v>
      </c>
      <c r="E361" s="1291">
        <v>4</v>
      </c>
      <c r="F361" s="1292">
        <v>6</v>
      </c>
      <c r="G361" s="1291">
        <v>15</v>
      </c>
      <c r="H361" s="1291">
        <v>3</v>
      </c>
      <c r="I361" s="1291">
        <v>6</v>
      </c>
      <c r="J361" s="1291">
        <v>11</v>
      </c>
      <c r="K361" s="1291">
        <v>1</v>
      </c>
      <c r="L361" s="2220" t="str">
        <f t="shared" si="18"/>
        <v>Incremento De Movimiento+3</v>
      </c>
      <c r="M361" s="242"/>
      <c r="Z361" s="242"/>
    </row>
    <row r="362" spans="1:26" ht="12" customHeight="1" x14ac:dyDescent="0.2">
      <c r="A362" s="5889"/>
      <c r="B362" s="5887"/>
      <c r="C362" s="45" t="s">
        <v>9419</v>
      </c>
      <c r="D362" s="87" t="s">
        <v>3223</v>
      </c>
      <c r="E362" s="1291">
        <v>6</v>
      </c>
      <c r="F362" s="1292">
        <v>9</v>
      </c>
      <c r="G362" s="1291">
        <v>20</v>
      </c>
      <c r="H362" s="1291">
        <v>4</v>
      </c>
      <c r="I362" s="1291">
        <v>8</v>
      </c>
      <c r="J362" s="1291">
        <v>14</v>
      </c>
      <c r="K362" s="1291">
        <v>2</v>
      </c>
      <c r="L362" s="2220" t="str">
        <f t="shared" si="18"/>
        <v>Incremento De Movimiento+4</v>
      </c>
      <c r="M362" s="242"/>
      <c r="Z362" s="242"/>
    </row>
    <row r="363" spans="1:26" ht="12" customHeight="1" x14ac:dyDescent="0.2">
      <c r="A363" s="5889"/>
      <c r="B363" s="5887"/>
      <c r="C363" s="45" t="s">
        <v>9419</v>
      </c>
      <c r="D363" s="87" t="s">
        <v>7125</v>
      </c>
      <c r="E363" s="1291">
        <v>8</v>
      </c>
      <c r="F363" s="1292">
        <v>11</v>
      </c>
      <c r="G363" s="1291">
        <v>25</v>
      </c>
      <c r="H363" s="1291">
        <v>5</v>
      </c>
      <c r="I363" s="1291">
        <v>10</v>
      </c>
      <c r="J363" s="1291">
        <v>18</v>
      </c>
      <c r="K363" s="1291">
        <v>3</v>
      </c>
      <c r="L363" s="2220" t="str">
        <f t="shared" si="18"/>
        <v>Incremento De Movimiento+5</v>
      </c>
      <c r="M363" s="242"/>
      <c r="Z363" s="242"/>
    </row>
    <row r="364" spans="1:26" ht="12" customHeight="1" x14ac:dyDescent="0.2">
      <c r="A364" s="5889"/>
      <c r="B364" s="5887"/>
      <c r="C364" s="45" t="s">
        <v>9420</v>
      </c>
      <c r="D364" s="87"/>
      <c r="E364" s="1291"/>
      <c r="F364" s="1292"/>
      <c r="G364" s="1291"/>
      <c r="H364" s="1291"/>
      <c r="I364" s="1291"/>
      <c r="J364" s="1291"/>
      <c r="K364" s="1291"/>
      <c r="L364" s="2220" t="str">
        <f t="shared" si="18"/>
        <v>&gt; INCREMENTO DE HABILIDAD</v>
      </c>
      <c r="M364" s="242"/>
      <c r="Z364" s="242"/>
    </row>
    <row r="365" spans="1:26" ht="12" customHeight="1" x14ac:dyDescent="0.2">
      <c r="A365" s="5889"/>
      <c r="B365" s="5887"/>
      <c r="C365" s="45" t="s">
        <v>9421</v>
      </c>
      <c r="D365" s="87" t="s">
        <v>7892</v>
      </c>
      <c r="E365" s="1291">
        <v>2</v>
      </c>
      <c r="F365" s="1292">
        <v>4</v>
      </c>
      <c r="G365" s="1291">
        <v>5</v>
      </c>
      <c r="H365" s="1291">
        <v>1</v>
      </c>
      <c r="I365" s="1291">
        <v>2</v>
      </c>
      <c r="J365" s="1291">
        <v>4</v>
      </c>
      <c r="K365" s="1291">
        <v>1</v>
      </c>
      <c r="L365" s="2220" t="str">
        <f t="shared" si="18"/>
        <v>Incremento De Habilidad+25</v>
      </c>
      <c r="M365" s="242"/>
      <c r="Z365" s="242"/>
    </row>
    <row r="366" spans="1:26" ht="12" customHeight="1" x14ac:dyDescent="0.2">
      <c r="A366" s="5889"/>
      <c r="B366" s="5887"/>
      <c r="C366" s="45" t="s">
        <v>9421</v>
      </c>
      <c r="D366" s="87" t="s">
        <v>7751</v>
      </c>
      <c r="E366" s="1291">
        <v>4</v>
      </c>
      <c r="F366" s="1292">
        <v>6</v>
      </c>
      <c r="G366" s="1291">
        <v>5</v>
      </c>
      <c r="H366" s="1291">
        <v>2</v>
      </c>
      <c r="I366" s="1291">
        <v>4</v>
      </c>
      <c r="J366" s="1291">
        <v>7</v>
      </c>
      <c r="K366" s="1291">
        <v>1</v>
      </c>
      <c r="L366" s="2220" t="str">
        <f t="shared" si="18"/>
        <v>Incremento De Habilidad+50</v>
      </c>
      <c r="M366" s="242"/>
      <c r="Z366" s="242"/>
    </row>
    <row r="367" spans="1:26" ht="12" customHeight="1" x14ac:dyDescent="0.2">
      <c r="A367" s="5889"/>
      <c r="B367" s="5887"/>
      <c r="C367" s="45" t="s">
        <v>9421</v>
      </c>
      <c r="D367" s="87" t="s">
        <v>9125</v>
      </c>
      <c r="E367" s="1291">
        <v>6</v>
      </c>
      <c r="F367" s="1292">
        <v>9</v>
      </c>
      <c r="G367" s="1291">
        <v>10</v>
      </c>
      <c r="H367" s="1291">
        <v>3</v>
      </c>
      <c r="I367" s="1291">
        <v>6</v>
      </c>
      <c r="J367" s="1291">
        <v>11</v>
      </c>
      <c r="K367" s="1291">
        <v>2</v>
      </c>
      <c r="L367" s="2220" t="str">
        <f t="shared" si="18"/>
        <v>Incremento De Habilidad+75</v>
      </c>
      <c r="M367" s="242"/>
      <c r="Z367" s="242"/>
    </row>
    <row r="368" spans="1:26" ht="12" customHeight="1" x14ac:dyDescent="0.2">
      <c r="A368" s="5889"/>
      <c r="B368" s="5887"/>
      <c r="C368" s="45" t="s">
        <v>9421</v>
      </c>
      <c r="D368" s="87" t="s">
        <v>9132</v>
      </c>
      <c r="E368" s="1291">
        <v>9</v>
      </c>
      <c r="F368" s="1292">
        <v>12</v>
      </c>
      <c r="G368" s="1291">
        <v>15</v>
      </c>
      <c r="H368" s="1291">
        <v>4</v>
      </c>
      <c r="I368" s="1291">
        <v>8</v>
      </c>
      <c r="J368" s="1291">
        <v>14</v>
      </c>
      <c r="K368" s="1291">
        <v>2</v>
      </c>
      <c r="L368" s="2220" t="str">
        <f t="shared" si="18"/>
        <v>Incremento De Habilidad+100</v>
      </c>
      <c r="M368" s="242"/>
      <c r="Z368" s="242"/>
    </row>
    <row r="369" spans="1:26" ht="12" customHeight="1" x14ac:dyDescent="0.2">
      <c r="A369" s="5889"/>
      <c r="B369" s="5887"/>
      <c r="C369" s="45" t="s">
        <v>9421</v>
      </c>
      <c r="D369" s="87" t="s">
        <v>9133</v>
      </c>
      <c r="E369" s="1291">
        <v>12</v>
      </c>
      <c r="F369" s="1292">
        <v>15</v>
      </c>
      <c r="G369" s="1291">
        <v>20</v>
      </c>
      <c r="H369" s="1291">
        <v>5</v>
      </c>
      <c r="I369" s="1291">
        <v>10</v>
      </c>
      <c r="J369" s="1291">
        <v>18</v>
      </c>
      <c r="K369" s="1291">
        <v>3</v>
      </c>
      <c r="L369" s="2220" t="str">
        <f t="shared" si="18"/>
        <v>Incremento De Habilidad+125</v>
      </c>
      <c r="M369" s="242"/>
      <c r="Z369" s="242"/>
    </row>
    <row r="370" spans="1:26" ht="12" customHeight="1" x14ac:dyDescent="0.2">
      <c r="A370" s="5889"/>
      <c r="B370" s="5887"/>
      <c r="C370" s="45" t="s">
        <v>9421</v>
      </c>
      <c r="D370" s="87" t="s">
        <v>9135</v>
      </c>
      <c r="E370" s="1291">
        <v>15</v>
      </c>
      <c r="F370" s="1292">
        <v>19</v>
      </c>
      <c r="G370" s="1291">
        <v>25</v>
      </c>
      <c r="H370" s="1291">
        <v>6</v>
      </c>
      <c r="I370" s="1291">
        <v>12</v>
      </c>
      <c r="J370" s="1291">
        <v>21</v>
      </c>
      <c r="K370" s="1291">
        <v>3</v>
      </c>
      <c r="L370" s="2220" t="str">
        <f t="shared" si="18"/>
        <v>Incremento De Habilidad+150</v>
      </c>
      <c r="M370" s="242"/>
      <c r="Z370" s="242"/>
    </row>
    <row r="371" spans="1:26" ht="12" customHeight="1" x14ac:dyDescent="0.2">
      <c r="A371" s="5889"/>
      <c r="B371" s="5887"/>
      <c r="C371" s="45" t="s">
        <v>9422</v>
      </c>
      <c r="D371" s="87"/>
      <c r="E371" s="1291"/>
      <c r="F371" s="1292"/>
      <c r="G371" s="1291"/>
      <c r="H371" s="1291"/>
      <c r="I371" s="1291"/>
      <c r="J371" s="1291"/>
      <c r="K371" s="1291"/>
      <c r="L371" s="2220" t="str">
        <f t="shared" si="18"/>
        <v>&gt; CAPACIDAD INCREMENTADA AGI</v>
      </c>
      <c r="M371" s="242"/>
      <c r="Z371" s="242"/>
    </row>
    <row r="372" spans="1:26" ht="12" customHeight="1" x14ac:dyDescent="0.2">
      <c r="A372" s="5889"/>
      <c r="B372" s="5887"/>
      <c r="C372" s="45" t="s">
        <v>9214</v>
      </c>
      <c r="D372" s="2371" t="s">
        <v>2956</v>
      </c>
      <c r="E372" s="1291">
        <v>1</v>
      </c>
      <c r="F372" s="1292">
        <v>2</v>
      </c>
      <c r="G372" s="1291">
        <v>5</v>
      </c>
      <c r="H372" s="1291">
        <v>1</v>
      </c>
      <c r="I372" s="1291">
        <v>2</v>
      </c>
      <c r="J372" s="1291">
        <v>4</v>
      </c>
      <c r="K372" s="1291">
        <v>1</v>
      </c>
      <c r="L372" s="2220" t="str">
        <f t="shared" si="18"/>
        <v>Capacidad Incrementada AGI+1</v>
      </c>
      <c r="M372" s="242"/>
      <c r="Z372" s="242"/>
    </row>
    <row r="373" spans="1:26" ht="12" customHeight="1" x14ac:dyDescent="0.2">
      <c r="A373" s="5889"/>
      <c r="B373" s="5887"/>
      <c r="C373" s="45" t="s">
        <v>9214</v>
      </c>
      <c r="D373" s="2371" t="s">
        <v>2917</v>
      </c>
      <c r="E373" s="1291">
        <v>2</v>
      </c>
      <c r="F373" s="1292">
        <v>4</v>
      </c>
      <c r="G373" s="1291">
        <v>5</v>
      </c>
      <c r="H373" s="1291">
        <v>2</v>
      </c>
      <c r="I373" s="1291">
        <v>4</v>
      </c>
      <c r="J373" s="1291">
        <v>7</v>
      </c>
      <c r="K373" s="1291">
        <v>1</v>
      </c>
      <c r="L373" s="2220" t="str">
        <f t="shared" si="18"/>
        <v>Capacidad Incrementada AGI+2</v>
      </c>
      <c r="M373" s="242"/>
      <c r="Z373" s="242"/>
    </row>
    <row r="374" spans="1:26" ht="12" customHeight="1" x14ac:dyDescent="0.2">
      <c r="A374" s="5889"/>
      <c r="B374" s="5887"/>
      <c r="C374" s="45" t="s">
        <v>9214</v>
      </c>
      <c r="D374" s="2371" t="s">
        <v>2918</v>
      </c>
      <c r="E374" s="1291">
        <v>4</v>
      </c>
      <c r="F374" s="1292">
        <v>6</v>
      </c>
      <c r="G374" s="1291">
        <v>5</v>
      </c>
      <c r="H374" s="1291">
        <v>3</v>
      </c>
      <c r="I374" s="1291">
        <v>6</v>
      </c>
      <c r="J374" s="1291">
        <v>11</v>
      </c>
      <c r="K374" s="1291">
        <v>1</v>
      </c>
      <c r="L374" s="2220" t="str">
        <f t="shared" si="18"/>
        <v>Capacidad Incrementada AGI+3</v>
      </c>
      <c r="M374" s="242"/>
      <c r="Z374" s="242"/>
    </row>
    <row r="375" spans="1:26" ht="12" customHeight="1" x14ac:dyDescent="0.2">
      <c r="A375" s="5889"/>
      <c r="B375" s="5887"/>
      <c r="C375" s="45" t="s">
        <v>9214</v>
      </c>
      <c r="D375" s="2371" t="s">
        <v>3223</v>
      </c>
      <c r="E375" s="1291">
        <v>6</v>
      </c>
      <c r="F375" s="1292">
        <v>9</v>
      </c>
      <c r="G375" s="1291">
        <v>10</v>
      </c>
      <c r="H375" s="1291">
        <v>4</v>
      </c>
      <c r="I375" s="1291">
        <v>8</v>
      </c>
      <c r="J375" s="1291">
        <v>14</v>
      </c>
      <c r="K375" s="1291">
        <v>1</v>
      </c>
      <c r="L375" s="2220" t="str">
        <f t="shared" si="18"/>
        <v>Capacidad Incrementada AGI+4</v>
      </c>
      <c r="M375" s="242"/>
      <c r="Z375" s="242"/>
    </row>
    <row r="376" spans="1:26" ht="12" customHeight="1" x14ac:dyDescent="0.2">
      <c r="A376" s="5889"/>
      <c r="B376" s="5887"/>
      <c r="C376" s="45" t="s">
        <v>9214</v>
      </c>
      <c r="D376" s="2371" t="s">
        <v>7125</v>
      </c>
      <c r="E376" s="1291">
        <v>8</v>
      </c>
      <c r="F376" s="1292">
        <v>11</v>
      </c>
      <c r="G376" s="1291">
        <v>15</v>
      </c>
      <c r="H376" s="1291">
        <v>5</v>
      </c>
      <c r="I376" s="1291">
        <v>10</v>
      </c>
      <c r="J376" s="1291">
        <v>18</v>
      </c>
      <c r="K376" s="1291">
        <v>2</v>
      </c>
      <c r="L376" s="2220" t="str">
        <f t="shared" si="18"/>
        <v>Capacidad Incrementada AGI+5</v>
      </c>
      <c r="M376" s="242"/>
      <c r="Z376" s="242"/>
    </row>
    <row r="377" spans="1:26" ht="12" customHeight="1" x14ac:dyDescent="0.2">
      <c r="A377" s="5889"/>
      <c r="B377" s="5887"/>
      <c r="C377" s="45" t="s">
        <v>9214</v>
      </c>
      <c r="D377" s="2371" t="s">
        <v>9380</v>
      </c>
      <c r="E377" s="1291">
        <v>10</v>
      </c>
      <c r="F377" s="1292">
        <v>13</v>
      </c>
      <c r="G377" s="1291">
        <v>20</v>
      </c>
      <c r="H377" s="1291">
        <v>6</v>
      </c>
      <c r="I377" s="1291">
        <v>12</v>
      </c>
      <c r="J377" s="1291">
        <v>21</v>
      </c>
      <c r="K377" s="1291">
        <v>2</v>
      </c>
      <c r="L377" s="2220" t="str">
        <f t="shared" si="18"/>
        <v>Capacidad Incrementada AGI+6</v>
      </c>
      <c r="M377" s="242"/>
      <c r="Z377" s="242"/>
    </row>
    <row r="378" spans="1:26" ht="12" customHeight="1" x14ac:dyDescent="0.2">
      <c r="A378" s="5889"/>
      <c r="B378" s="5887"/>
      <c r="C378" s="45" t="s">
        <v>9214</v>
      </c>
      <c r="D378" s="2371" t="s">
        <v>9631</v>
      </c>
      <c r="E378" s="1291">
        <v>12</v>
      </c>
      <c r="F378" s="1292">
        <v>15</v>
      </c>
      <c r="G378" s="1291">
        <v>25</v>
      </c>
      <c r="H378" s="1291">
        <v>7</v>
      </c>
      <c r="I378" s="1291">
        <v>14</v>
      </c>
      <c r="J378" s="1291">
        <v>25</v>
      </c>
      <c r="K378" s="1291">
        <v>3</v>
      </c>
      <c r="L378" s="2220" t="str">
        <f t="shared" si="18"/>
        <v>Capacidad Incrementada AGI+7</v>
      </c>
      <c r="M378" s="242"/>
      <c r="Z378" s="242"/>
    </row>
    <row r="379" spans="1:26" ht="12" customHeight="1" x14ac:dyDescent="0.2">
      <c r="A379" s="5889"/>
      <c r="B379" s="5887"/>
      <c r="C379" s="45" t="s">
        <v>9214</v>
      </c>
      <c r="D379" s="2371" t="s">
        <v>7140</v>
      </c>
      <c r="E379" s="1291">
        <v>14</v>
      </c>
      <c r="F379" s="1292">
        <v>18</v>
      </c>
      <c r="G379" s="1291">
        <v>30</v>
      </c>
      <c r="H379" s="1291">
        <v>8</v>
      </c>
      <c r="I379" s="1291">
        <v>16</v>
      </c>
      <c r="J379" s="1291">
        <v>28</v>
      </c>
      <c r="K379" s="1291">
        <v>3</v>
      </c>
      <c r="L379" s="2220" t="str">
        <f t="shared" si="18"/>
        <v>Capacidad Incrementada AGI+8</v>
      </c>
      <c r="M379" s="242"/>
      <c r="Z379" s="242"/>
    </row>
    <row r="380" spans="1:26" ht="12" customHeight="1" x14ac:dyDescent="0.2">
      <c r="A380" s="5889"/>
      <c r="B380" s="5887"/>
      <c r="C380" s="45" t="s">
        <v>9423</v>
      </c>
      <c r="D380" s="87"/>
      <c r="E380" s="1291"/>
      <c r="F380" s="1292"/>
      <c r="G380" s="1291"/>
      <c r="H380" s="1291"/>
      <c r="I380" s="1291"/>
      <c r="J380" s="1291"/>
      <c r="K380" s="1291"/>
      <c r="L380" s="2220" t="str">
        <f t="shared" si="18"/>
        <v>&gt; CAPACIDAD INCREMENTADA FUE</v>
      </c>
      <c r="M380" s="242"/>
      <c r="Z380" s="242"/>
    </row>
    <row r="381" spans="1:26" ht="12" customHeight="1" x14ac:dyDescent="0.2">
      <c r="A381" s="5889"/>
      <c r="B381" s="5887"/>
      <c r="C381" s="45" t="s">
        <v>9424</v>
      </c>
      <c r="D381" s="87" t="s">
        <v>2956</v>
      </c>
      <c r="E381" s="1291">
        <v>1</v>
      </c>
      <c r="F381" s="1292">
        <v>2</v>
      </c>
      <c r="G381" s="1291">
        <v>5</v>
      </c>
      <c r="H381" s="1291">
        <v>1</v>
      </c>
      <c r="I381" s="1291">
        <v>2</v>
      </c>
      <c r="J381" s="1291">
        <v>4</v>
      </c>
      <c r="K381" s="1291">
        <v>1</v>
      </c>
      <c r="L381" s="2220" t="str">
        <f t="shared" si="18"/>
        <v>Capacidad Incrementada Fue+1</v>
      </c>
      <c r="M381" s="242"/>
      <c r="Z381" s="242"/>
    </row>
    <row r="382" spans="1:26" ht="12" customHeight="1" x14ac:dyDescent="0.2">
      <c r="A382" s="5889"/>
      <c r="B382" s="5887"/>
      <c r="C382" s="45" t="s">
        <v>9424</v>
      </c>
      <c r="D382" s="87" t="s">
        <v>2917</v>
      </c>
      <c r="E382" s="1291">
        <v>2</v>
      </c>
      <c r="F382" s="1292">
        <v>4</v>
      </c>
      <c r="G382" s="1291">
        <v>5</v>
      </c>
      <c r="H382" s="1291">
        <v>2</v>
      </c>
      <c r="I382" s="1291">
        <v>4</v>
      </c>
      <c r="J382" s="1291">
        <v>7</v>
      </c>
      <c r="K382" s="1291">
        <v>1</v>
      </c>
      <c r="L382" s="2220" t="str">
        <f t="shared" si="18"/>
        <v>Capacidad Incrementada Fue+2</v>
      </c>
      <c r="M382" s="242"/>
      <c r="Z382" s="242"/>
    </row>
    <row r="383" spans="1:26" ht="12" customHeight="1" x14ac:dyDescent="0.2">
      <c r="A383" s="5889"/>
      <c r="B383" s="5887"/>
      <c r="C383" s="45" t="s">
        <v>9424</v>
      </c>
      <c r="D383" s="87" t="s">
        <v>2918</v>
      </c>
      <c r="E383" s="1291">
        <v>4</v>
      </c>
      <c r="F383" s="1292">
        <v>6</v>
      </c>
      <c r="G383" s="1291">
        <v>5</v>
      </c>
      <c r="H383" s="1291">
        <v>3</v>
      </c>
      <c r="I383" s="1291">
        <v>6</v>
      </c>
      <c r="J383" s="1291">
        <v>11</v>
      </c>
      <c r="K383" s="1291">
        <v>1</v>
      </c>
      <c r="L383" s="2220" t="str">
        <f t="shared" si="18"/>
        <v>Capacidad Incrementada Fue+3</v>
      </c>
      <c r="M383" s="242"/>
      <c r="Z383" s="242"/>
    </row>
    <row r="384" spans="1:26" ht="12" customHeight="1" x14ac:dyDescent="0.2">
      <c r="A384" s="5889"/>
      <c r="B384" s="5887"/>
      <c r="C384" s="45" t="s">
        <v>9424</v>
      </c>
      <c r="D384" s="87" t="s">
        <v>3223</v>
      </c>
      <c r="E384" s="1291">
        <v>6</v>
      </c>
      <c r="F384" s="1292">
        <v>9</v>
      </c>
      <c r="G384" s="1291">
        <v>10</v>
      </c>
      <c r="H384" s="1291">
        <v>4</v>
      </c>
      <c r="I384" s="1291">
        <v>8</v>
      </c>
      <c r="J384" s="1291">
        <v>14</v>
      </c>
      <c r="K384" s="1291">
        <v>1</v>
      </c>
      <c r="L384" s="2220" t="str">
        <f t="shared" si="18"/>
        <v>Capacidad Incrementada Fue+4</v>
      </c>
      <c r="M384" s="242"/>
      <c r="Z384" s="242"/>
    </row>
    <row r="385" spans="1:26" ht="12" customHeight="1" x14ac:dyDescent="0.2">
      <c r="A385" s="5889"/>
      <c r="B385" s="5887"/>
      <c r="C385" s="45" t="s">
        <v>9424</v>
      </c>
      <c r="D385" s="87" t="s">
        <v>7125</v>
      </c>
      <c r="E385" s="1291">
        <v>8</v>
      </c>
      <c r="F385" s="1292">
        <v>11</v>
      </c>
      <c r="G385" s="1291">
        <v>15</v>
      </c>
      <c r="H385" s="1291">
        <v>5</v>
      </c>
      <c r="I385" s="1291">
        <v>10</v>
      </c>
      <c r="J385" s="1291">
        <v>18</v>
      </c>
      <c r="K385" s="1291">
        <v>2</v>
      </c>
      <c r="L385" s="2220" t="str">
        <f t="shared" si="18"/>
        <v>Capacidad Incrementada Fue+5</v>
      </c>
      <c r="M385" s="242"/>
      <c r="Z385" s="242"/>
    </row>
    <row r="386" spans="1:26" ht="12" customHeight="1" x14ac:dyDescent="0.2">
      <c r="A386" s="5889"/>
      <c r="B386" s="5887"/>
      <c r="C386" s="45" t="s">
        <v>9424</v>
      </c>
      <c r="D386" s="87" t="s">
        <v>9380</v>
      </c>
      <c r="E386" s="1291">
        <v>10</v>
      </c>
      <c r="F386" s="1292">
        <v>13</v>
      </c>
      <c r="G386" s="1291">
        <v>20</v>
      </c>
      <c r="H386" s="1291">
        <v>6</v>
      </c>
      <c r="I386" s="1291">
        <v>12</v>
      </c>
      <c r="J386" s="1291">
        <v>21</v>
      </c>
      <c r="K386" s="1291">
        <v>2</v>
      </c>
      <c r="L386" s="2220" t="str">
        <f t="shared" si="18"/>
        <v>Capacidad Incrementada Fue+6</v>
      </c>
      <c r="M386" s="242"/>
      <c r="Z386" s="242"/>
    </row>
    <row r="387" spans="1:26" ht="12" customHeight="1" x14ac:dyDescent="0.2">
      <c r="A387" s="5889"/>
      <c r="B387" s="5887"/>
      <c r="C387" s="45" t="s">
        <v>9424</v>
      </c>
      <c r="D387" s="87" t="s">
        <v>9631</v>
      </c>
      <c r="E387" s="1291">
        <v>12</v>
      </c>
      <c r="F387" s="1292">
        <v>15</v>
      </c>
      <c r="G387" s="1291">
        <v>25</v>
      </c>
      <c r="H387" s="1291">
        <v>7</v>
      </c>
      <c r="I387" s="1291">
        <v>14</v>
      </c>
      <c r="J387" s="1291">
        <v>25</v>
      </c>
      <c r="K387" s="1291">
        <v>3</v>
      </c>
      <c r="L387" s="2220" t="str">
        <f t="shared" si="18"/>
        <v>Capacidad Incrementada Fue+7</v>
      </c>
      <c r="M387" s="242"/>
      <c r="Z387" s="242"/>
    </row>
    <row r="388" spans="1:26" ht="12" customHeight="1" x14ac:dyDescent="0.2">
      <c r="A388" s="5889"/>
      <c r="B388" s="5887"/>
      <c r="C388" s="45" t="s">
        <v>9424</v>
      </c>
      <c r="D388" s="87" t="s">
        <v>7140</v>
      </c>
      <c r="E388" s="1291">
        <v>14</v>
      </c>
      <c r="F388" s="1292">
        <v>18</v>
      </c>
      <c r="G388" s="1291">
        <v>30</v>
      </c>
      <c r="H388" s="1291">
        <v>8</v>
      </c>
      <c r="I388" s="1291">
        <v>16</v>
      </c>
      <c r="J388" s="1291">
        <v>28</v>
      </c>
      <c r="K388" s="1291">
        <v>3</v>
      </c>
      <c r="L388" s="2220" t="str">
        <f t="shared" si="18"/>
        <v>Capacidad Incrementada Fue+8</v>
      </c>
      <c r="M388" s="242"/>
      <c r="Z388" s="242"/>
    </row>
    <row r="389" spans="1:26" ht="12" customHeight="1" x14ac:dyDescent="0.2">
      <c r="A389" s="5889"/>
      <c r="B389" s="5887"/>
      <c r="C389" s="45" t="s">
        <v>9425</v>
      </c>
      <c r="D389" s="87"/>
      <c r="E389" s="1291"/>
      <c r="F389" s="1292"/>
      <c r="G389" s="1291"/>
      <c r="H389" s="1291"/>
      <c r="I389" s="1291"/>
      <c r="J389" s="1291"/>
      <c r="K389" s="1291"/>
      <c r="L389" s="2220" t="str">
        <f t="shared" si="18"/>
        <v>&gt; CAPACIDAD INCREMENTADA DES</v>
      </c>
      <c r="M389" s="242"/>
      <c r="Z389" s="242"/>
    </row>
    <row r="390" spans="1:26" ht="12" customHeight="1" x14ac:dyDescent="0.2">
      <c r="A390" s="5889"/>
      <c r="B390" s="5887"/>
      <c r="C390" s="45" t="s">
        <v>9426</v>
      </c>
      <c r="D390" s="87" t="s">
        <v>2956</v>
      </c>
      <c r="E390" s="1291">
        <v>1</v>
      </c>
      <c r="F390" s="1292">
        <v>2</v>
      </c>
      <c r="G390" s="1291">
        <v>5</v>
      </c>
      <c r="H390" s="1291">
        <v>1</v>
      </c>
      <c r="I390" s="1291">
        <v>2</v>
      </c>
      <c r="J390" s="1291">
        <v>4</v>
      </c>
      <c r="K390" s="1291">
        <v>1</v>
      </c>
      <c r="L390" s="2220" t="str">
        <f t="shared" si="18"/>
        <v>Capacidad Incrementada Des+1</v>
      </c>
      <c r="M390" s="242"/>
      <c r="Z390" s="242"/>
    </row>
    <row r="391" spans="1:26" ht="12" customHeight="1" x14ac:dyDescent="0.2">
      <c r="A391" s="5889"/>
      <c r="B391" s="5887"/>
      <c r="C391" s="45" t="s">
        <v>9426</v>
      </c>
      <c r="D391" s="87" t="s">
        <v>2917</v>
      </c>
      <c r="E391" s="1291">
        <v>2</v>
      </c>
      <c r="F391" s="1292">
        <v>4</v>
      </c>
      <c r="G391" s="1291">
        <v>5</v>
      </c>
      <c r="H391" s="1291">
        <v>2</v>
      </c>
      <c r="I391" s="1291">
        <v>4</v>
      </c>
      <c r="J391" s="1291">
        <v>7</v>
      </c>
      <c r="K391" s="1291">
        <v>1</v>
      </c>
      <c r="L391" s="2220" t="str">
        <f t="shared" si="18"/>
        <v>Capacidad Incrementada Des+2</v>
      </c>
      <c r="M391" s="242"/>
      <c r="Z391" s="242"/>
    </row>
    <row r="392" spans="1:26" ht="12" customHeight="1" x14ac:dyDescent="0.2">
      <c r="A392" s="5889"/>
      <c r="B392" s="5887"/>
      <c r="C392" s="45" t="s">
        <v>9426</v>
      </c>
      <c r="D392" s="87" t="s">
        <v>2918</v>
      </c>
      <c r="E392" s="1291">
        <v>4</v>
      </c>
      <c r="F392" s="1292">
        <v>6</v>
      </c>
      <c r="G392" s="1291">
        <v>5</v>
      </c>
      <c r="H392" s="1291">
        <v>3</v>
      </c>
      <c r="I392" s="1291">
        <v>6</v>
      </c>
      <c r="J392" s="1291">
        <v>11</v>
      </c>
      <c r="K392" s="1291">
        <v>1</v>
      </c>
      <c r="L392" s="2220" t="str">
        <f t="shared" si="18"/>
        <v>Capacidad Incrementada Des+3</v>
      </c>
      <c r="M392" s="242"/>
      <c r="Z392" s="242"/>
    </row>
    <row r="393" spans="1:26" ht="12" customHeight="1" x14ac:dyDescent="0.2">
      <c r="A393" s="5889"/>
      <c r="B393" s="5887"/>
      <c r="C393" s="45" t="s">
        <v>9426</v>
      </c>
      <c r="D393" s="87" t="s">
        <v>3223</v>
      </c>
      <c r="E393" s="1291">
        <v>6</v>
      </c>
      <c r="F393" s="1292">
        <v>9</v>
      </c>
      <c r="G393" s="1291">
        <v>10</v>
      </c>
      <c r="H393" s="1291">
        <v>4</v>
      </c>
      <c r="I393" s="1291">
        <v>8</v>
      </c>
      <c r="J393" s="1291">
        <v>14</v>
      </c>
      <c r="K393" s="1291">
        <v>1</v>
      </c>
      <c r="L393" s="2220" t="str">
        <f t="shared" si="18"/>
        <v>Capacidad Incrementada Des+4</v>
      </c>
      <c r="M393" s="242"/>
      <c r="Z393" s="242"/>
    </row>
    <row r="394" spans="1:26" ht="12" customHeight="1" x14ac:dyDescent="0.2">
      <c r="A394" s="5889"/>
      <c r="B394" s="5887"/>
      <c r="C394" s="45" t="s">
        <v>9426</v>
      </c>
      <c r="D394" s="87" t="s">
        <v>7125</v>
      </c>
      <c r="E394" s="1291">
        <v>8</v>
      </c>
      <c r="F394" s="1292">
        <v>11</v>
      </c>
      <c r="G394" s="1291">
        <v>15</v>
      </c>
      <c r="H394" s="1291">
        <v>5</v>
      </c>
      <c r="I394" s="1291">
        <v>10</v>
      </c>
      <c r="J394" s="1291">
        <v>18</v>
      </c>
      <c r="K394" s="1291">
        <v>2</v>
      </c>
      <c r="L394" s="2220" t="str">
        <f t="shared" si="18"/>
        <v>Capacidad Incrementada Des+5</v>
      </c>
      <c r="M394" s="242"/>
      <c r="Z394" s="242"/>
    </row>
    <row r="395" spans="1:26" ht="12" customHeight="1" x14ac:dyDescent="0.2">
      <c r="A395" s="5889"/>
      <c r="B395" s="5887"/>
      <c r="C395" s="45" t="s">
        <v>9426</v>
      </c>
      <c r="D395" s="87" t="s">
        <v>9380</v>
      </c>
      <c r="E395" s="1291">
        <v>10</v>
      </c>
      <c r="F395" s="1292">
        <v>13</v>
      </c>
      <c r="G395" s="1291">
        <v>20</v>
      </c>
      <c r="H395" s="1291">
        <v>6</v>
      </c>
      <c r="I395" s="1291">
        <v>12</v>
      </c>
      <c r="J395" s="1291">
        <v>21</v>
      </c>
      <c r="K395" s="1291">
        <v>2</v>
      </c>
      <c r="L395" s="2220" t="str">
        <f t="shared" ref="L395:L458" si="19">C395&amp;D395</f>
        <v>Capacidad Incrementada Des+6</v>
      </c>
      <c r="M395" s="242"/>
      <c r="Z395" s="242"/>
    </row>
    <row r="396" spans="1:26" ht="12" customHeight="1" x14ac:dyDescent="0.2">
      <c r="A396" s="5889"/>
      <c r="B396" s="5887"/>
      <c r="C396" s="45" t="s">
        <v>9426</v>
      </c>
      <c r="D396" s="87" t="s">
        <v>9631</v>
      </c>
      <c r="E396" s="1291">
        <v>12</v>
      </c>
      <c r="F396" s="1292">
        <v>15</v>
      </c>
      <c r="G396" s="1291">
        <v>25</v>
      </c>
      <c r="H396" s="1291">
        <v>7</v>
      </c>
      <c r="I396" s="1291">
        <v>14</v>
      </c>
      <c r="J396" s="1291">
        <v>25</v>
      </c>
      <c r="K396" s="1291">
        <v>3</v>
      </c>
      <c r="L396" s="2220" t="str">
        <f t="shared" si="19"/>
        <v>Capacidad Incrementada Des+7</v>
      </c>
      <c r="M396" s="242"/>
      <c r="Z396" s="242"/>
    </row>
    <row r="397" spans="1:26" ht="12" customHeight="1" x14ac:dyDescent="0.2">
      <c r="A397" s="5889"/>
      <c r="B397" s="5887"/>
      <c r="C397" s="45" t="s">
        <v>9426</v>
      </c>
      <c r="D397" s="87" t="s">
        <v>7140</v>
      </c>
      <c r="E397" s="1291">
        <v>14</v>
      </c>
      <c r="F397" s="1292">
        <v>18</v>
      </c>
      <c r="G397" s="1291">
        <v>30</v>
      </c>
      <c r="H397" s="1291">
        <v>8</v>
      </c>
      <c r="I397" s="1291">
        <v>16</v>
      </c>
      <c r="J397" s="1291">
        <v>28</v>
      </c>
      <c r="K397" s="1291">
        <v>3</v>
      </c>
      <c r="L397" s="2220" t="str">
        <f t="shared" si="19"/>
        <v>Capacidad Incrementada Des+8</v>
      </c>
      <c r="M397" s="242"/>
      <c r="Z397" s="242"/>
    </row>
    <row r="398" spans="1:26" ht="12" customHeight="1" x14ac:dyDescent="0.2">
      <c r="A398" s="5889"/>
      <c r="B398" s="5887"/>
      <c r="C398" s="45" t="s">
        <v>9427</v>
      </c>
      <c r="D398" s="87"/>
      <c r="E398" s="1291"/>
      <c r="F398" s="1292"/>
      <c r="G398" s="1291"/>
      <c r="H398" s="1291"/>
      <c r="I398" s="1291"/>
      <c r="J398" s="1291"/>
      <c r="K398" s="1291"/>
      <c r="L398" s="2220" t="str">
        <f t="shared" si="19"/>
        <v>&gt; INCREMENTO DE RESISTENCIA FÍSICA</v>
      </c>
      <c r="M398" s="242"/>
      <c r="Z398" s="242"/>
    </row>
    <row r="399" spans="1:26" ht="12" customHeight="1" x14ac:dyDescent="0.2">
      <c r="A399" s="5889"/>
      <c r="B399" s="5887"/>
      <c r="C399" s="45" t="s">
        <v>9428</v>
      </c>
      <c r="D399" s="87" t="s">
        <v>9429</v>
      </c>
      <c r="E399" s="1291">
        <v>1</v>
      </c>
      <c r="F399" s="1292">
        <v>2</v>
      </c>
      <c r="G399" s="1291">
        <v>5</v>
      </c>
      <c r="H399" s="1291">
        <v>1</v>
      </c>
      <c r="I399" s="1291">
        <v>2</v>
      </c>
      <c r="J399" s="1291">
        <v>4</v>
      </c>
      <c r="K399" s="1291">
        <v>1</v>
      </c>
      <c r="L399" s="2220" t="str">
        <f t="shared" si="19"/>
        <v>Incremento De Resistencia Física+10 RF</v>
      </c>
      <c r="M399" s="242"/>
      <c r="Z399" s="242"/>
    </row>
    <row r="400" spans="1:26" ht="12" customHeight="1" x14ac:dyDescent="0.2">
      <c r="A400" s="5889"/>
      <c r="B400" s="5887"/>
      <c r="C400" s="45" t="s">
        <v>9428</v>
      </c>
      <c r="D400" s="87" t="s">
        <v>9430</v>
      </c>
      <c r="E400" s="1291">
        <v>2</v>
      </c>
      <c r="F400" s="1292">
        <v>4</v>
      </c>
      <c r="G400" s="1291">
        <v>5</v>
      </c>
      <c r="H400" s="1291">
        <v>2</v>
      </c>
      <c r="I400" s="1291">
        <v>4</v>
      </c>
      <c r="J400" s="1291">
        <v>7</v>
      </c>
      <c r="K400" s="1291">
        <v>1</v>
      </c>
      <c r="L400" s="2220" t="str">
        <f t="shared" si="19"/>
        <v>Incremento De Resistencia Física+20 RF</v>
      </c>
      <c r="M400" s="242"/>
      <c r="Z400" s="242"/>
    </row>
    <row r="401" spans="1:26" ht="12" customHeight="1" x14ac:dyDescent="0.2">
      <c r="A401" s="5889"/>
      <c r="B401" s="5887"/>
      <c r="C401" s="45" t="s">
        <v>9428</v>
      </c>
      <c r="D401" s="87" t="s">
        <v>9431</v>
      </c>
      <c r="E401" s="1291">
        <v>4</v>
      </c>
      <c r="F401" s="1292">
        <v>6</v>
      </c>
      <c r="G401" s="1291">
        <v>10</v>
      </c>
      <c r="H401" s="1291">
        <v>3</v>
      </c>
      <c r="I401" s="1291">
        <v>6</v>
      </c>
      <c r="J401" s="1291">
        <v>11</v>
      </c>
      <c r="K401" s="1291">
        <v>1</v>
      </c>
      <c r="L401" s="2220" t="str">
        <f t="shared" si="19"/>
        <v>Incremento De Resistencia Física+30 RF</v>
      </c>
      <c r="M401" s="242"/>
      <c r="Z401" s="242"/>
    </row>
    <row r="402" spans="1:26" ht="12" customHeight="1" x14ac:dyDescent="0.2">
      <c r="A402" s="5889"/>
      <c r="B402" s="5887"/>
      <c r="C402" s="45" t="s">
        <v>9428</v>
      </c>
      <c r="D402" s="87" t="s">
        <v>9432</v>
      </c>
      <c r="E402" s="1291">
        <v>6</v>
      </c>
      <c r="F402" s="1292">
        <v>9</v>
      </c>
      <c r="G402" s="1291">
        <v>15</v>
      </c>
      <c r="H402" s="1291">
        <v>4</v>
      </c>
      <c r="I402" s="1291">
        <v>8</v>
      </c>
      <c r="J402" s="1291">
        <v>14</v>
      </c>
      <c r="K402" s="1291">
        <v>1</v>
      </c>
      <c r="L402" s="2220" t="str">
        <f t="shared" si="19"/>
        <v>Incremento De Resistencia Física+40 RF</v>
      </c>
      <c r="M402" s="242"/>
      <c r="Z402" s="242"/>
    </row>
    <row r="403" spans="1:26" ht="12" customHeight="1" x14ac:dyDescent="0.2">
      <c r="A403" s="5889"/>
      <c r="B403" s="5887"/>
      <c r="C403" s="45" t="s">
        <v>9428</v>
      </c>
      <c r="D403" s="87" t="s">
        <v>9433</v>
      </c>
      <c r="E403" s="1291">
        <v>8</v>
      </c>
      <c r="F403" s="1292">
        <v>11</v>
      </c>
      <c r="G403" s="1291">
        <v>20</v>
      </c>
      <c r="H403" s="1291">
        <v>5</v>
      </c>
      <c r="I403" s="1291">
        <v>10</v>
      </c>
      <c r="J403" s="1291">
        <v>18</v>
      </c>
      <c r="K403" s="1291">
        <v>2</v>
      </c>
      <c r="L403" s="2220" t="str">
        <f t="shared" si="19"/>
        <v>Incremento De Resistencia Física+50 RF</v>
      </c>
      <c r="M403" s="242"/>
      <c r="Z403" s="242"/>
    </row>
    <row r="404" spans="1:26" ht="12" customHeight="1" x14ac:dyDescent="0.2">
      <c r="A404" s="5889"/>
      <c r="B404" s="5887"/>
      <c r="C404" s="45" t="s">
        <v>9428</v>
      </c>
      <c r="D404" s="87" t="s">
        <v>9434</v>
      </c>
      <c r="E404" s="1291">
        <v>10</v>
      </c>
      <c r="F404" s="1292">
        <v>13</v>
      </c>
      <c r="G404" s="1291">
        <v>25</v>
      </c>
      <c r="H404" s="1291">
        <v>6</v>
      </c>
      <c r="I404" s="1291">
        <v>12</v>
      </c>
      <c r="J404" s="1291">
        <v>21</v>
      </c>
      <c r="K404" s="1291">
        <v>2</v>
      </c>
      <c r="L404" s="2220" t="str">
        <f t="shared" si="19"/>
        <v>Incremento De Resistencia Física+60 RF</v>
      </c>
      <c r="M404" s="242"/>
      <c r="Z404" s="242"/>
    </row>
    <row r="405" spans="1:26" ht="12" customHeight="1" x14ac:dyDescent="0.2">
      <c r="A405" s="5889"/>
      <c r="B405" s="5887"/>
      <c r="C405" s="45" t="s">
        <v>9428</v>
      </c>
      <c r="D405" s="87" t="s">
        <v>9435</v>
      </c>
      <c r="E405" s="1291">
        <v>14</v>
      </c>
      <c r="F405" s="1292">
        <v>18</v>
      </c>
      <c r="G405" s="1291">
        <v>30</v>
      </c>
      <c r="H405" s="1291">
        <v>7</v>
      </c>
      <c r="I405" s="1291">
        <v>14</v>
      </c>
      <c r="J405" s="1291">
        <v>25</v>
      </c>
      <c r="K405" s="1291">
        <v>3</v>
      </c>
      <c r="L405" s="2220" t="str">
        <f t="shared" si="19"/>
        <v>Incremento De Resistencia Física+80 RF</v>
      </c>
      <c r="M405" s="242"/>
      <c r="Z405" s="242"/>
    </row>
    <row r="406" spans="1:26" ht="12" customHeight="1" x14ac:dyDescent="0.2">
      <c r="A406" s="5889"/>
      <c r="B406" s="5887"/>
      <c r="C406" s="45" t="s">
        <v>9428</v>
      </c>
      <c r="D406" s="87" t="s">
        <v>9436</v>
      </c>
      <c r="E406" s="1291">
        <v>18</v>
      </c>
      <c r="F406" s="1292">
        <v>22</v>
      </c>
      <c r="G406" s="1291">
        <v>40</v>
      </c>
      <c r="H406" s="1291">
        <v>8</v>
      </c>
      <c r="I406" s="1291">
        <v>16</v>
      </c>
      <c r="J406" s="1291">
        <v>28</v>
      </c>
      <c r="K406" s="1291">
        <v>3</v>
      </c>
      <c r="L406" s="2220" t="str">
        <f t="shared" si="19"/>
        <v>Incremento De Resistencia Física+100 RF</v>
      </c>
      <c r="M406" s="242"/>
      <c r="Z406" s="242"/>
    </row>
    <row r="407" spans="1:26" ht="12" customHeight="1" x14ac:dyDescent="0.2">
      <c r="A407" s="5889"/>
      <c r="B407" s="5887"/>
      <c r="C407" s="45" t="s">
        <v>9428</v>
      </c>
      <c r="D407" s="87" t="s">
        <v>3227</v>
      </c>
      <c r="E407" s="1291">
        <v>1</v>
      </c>
      <c r="F407" s="1292">
        <v>1</v>
      </c>
      <c r="G407" s="1291">
        <v>5</v>
      </c>
      <c r="H407" s="1291">
        <v>1</v>
      </c>
      <c r="I407" s="1291">
        <v>2</v>
      </c>
      <c r="J407" s="1291">
        <v>4</v>
      </c>
      <c r="K407" s="1291"/>
      <c r="L407" s="2220" t="str">
        <f t="shared" si="19"/>
        <v>Incremento De Resistencia FísicaIncremento también a RE</v>
      </c>
      <c r="M407" s="242"/>
      <c r="Z407" s="242"/>
    </row>
    <row r="408" spans="1:26" ht="12" customHeight="1" x14ac:dyDescent="0.2">
      <c r="A408" s="5889"/>
      <c r="B408" s="5887"/>
      <c r="C408" s="45" t="s">
        <v>9428</v>
      </c>
      <c r="D408" s="87" t="s">
        <v>3228</v>
      </c>
      <c r="E408" s="1291">
        <v>1</v>
      </c>
      <c r="F408" s="1292">
        <v>1</v>
      </c>
      <c r="G408" s="1291">
        <v>5</v>
      </c>
      <c r="H408" s="1291">
        <v>1</v>
      </c>
      <c r="I408" s="1291">
        <v>2</v>
      </c>
      <c r="J408" s="1291">
        <v>4</v>
      </c>
      <c r="K408" s="1291"/>
      <c r="L408" s="2220" t="str">
        <f t="shared" si="19"/>
        <v>Incremento De Resistencia FísicaIncremento también a RV</v>
      </c>
      <c r="M408" s="242"/>
      <c r="Z408" s="242"/>
    </row>
    <row r="409" spans="1:26" ht="12" customHeight="1" x14ac:dyDescent="0.2">
      <c r="A409" s="5889"/>
      <c r="B409" s="5887"/>
      <c r="C409" s="45" t="s">
        <v>9437</v>
      </c>
      <c r="D409" s="87"/>
      <c r="E409" s="1291"/>
      <c r="F409" s="1292"/>
      <c r="G409" s="1291"/>
      <c r="H409" s="1291"/>
      <c r="I409" s="1291"/>
      <c r="J409" s="1291"/>
      <c r="K409" s="1291"/>
      <c r="L409" s="2220" t="str">
        <f t="shared" si="19"/>
        <v>&gt; INCREMENTO DE RESISTENCIA MÁGICA</v>
      </c>
      <c r="M409" s="242"/>
      <c r="Z409" s="242"/>
    </row>
    <row r="410" spans="1:26" ht="12" customHeight="1" x14ac:dyDescent="0.2">
      <c r="A410" s="5889"/>
      <c r="B410" s="5887"/>
      <c r="C410" s="45" t="s">
        <v>9438</v>
      </c>
      <c r="D410" s="87" t="s">
        <v>7760</v>
      </c>
      <c r="E410" s="1291">
        <v>1</v>
      </c>
      <c r="F410" s="1292">
        <v>2</v>
      </c>
      <c r="G410" s="1291">
        <v>5</v>
      </c>
      <c r="H410" s="1291">
        <v>1</v>
      </c>
      <c r="I410" s="1291">
        <v>2</v>
      </c>
      <c r="J410" s="1291">
        <v>4</v>
      </c>
      <c r="K410" s="1291">
        <v>1</v>
      </c>
      <c r="L410" s="2220" t="str">
        <f t="shared" si="19"/>
        <v>Incremento De Resistencia Mágica+10 RM</v>
      </c>
      <c r="M410" s="242"/>
      <c r="Z410" s="242"/>
    </row>
    <row r="411" spans="1:26" ht="12" customHeight="1" x14ac:dyDescent="0.2">
      <c r="A411" s="5889"/>
      <c r="B411" s="5887"/>
      <c r="C411" s="45" t="s">
        <v>9438</v>
      </c>
      <c r="D411" s="87" t="s">
        <v>7761</v>
      </c>
      <c r="E411" s="1291">
        <v>2</v>
      </c>
      <c r="F411" s="1292">
        <v>4</v>
      </c>
      <c r="G411" s="1291">
        <v>5</v>
      </c>
      <c r="H411" s="1291">
        <v>2</v>
      </c>
      <c r="I411" s="1291">
        <v>4</v>
      </c>
      <c r="J411" s="1291">
        <v>7</v>
      </c>
      <c r="K411" s="1291">
        <v>1</v>
      </c>
      <c r="L411" s="2220" t="str">
        <f t="shared" si="19"/>
        <v>Incremento De Resistencia Mágica+20 RM</v>
      </c>
      <c r="M411" s="242"/>
      <c r="Z411" s="242"/>
    </row>
    <row r="412" spans="1:26" ht="12" customHeight="1" x14ac:dyDescent="0.2">
      <c r="A412" s="5889"/>
      <c r="B412" s="5887"/>
      <c r="C412" s="45" t="s">
        <v>9438</v>
      </c>
      <c r="D412" s="87" t="s">
        <v>7762</v>
      </c>
      <c r="E412" s="1291">
        <v>4</v>
      </c>
      <c r="F412" s="1292">
        <v>6</v>
      </c>
      <c r="G412" s="1291">
        <v>10</v>
      </c>
      <c r="H412" s="1291">
        <v>3</v>
      </c>
      <c r="I412" s="1291">
        <v>6</v>
      </c>
      <c r="J412" s="1291">
        <v>11</v>
      </c>
      <c r="K412" s="1291">
        <v>1</v>
      </c>
      <c r="L412" s="2220" t="str">
        <f t="shared" si="19"/>
        <v>Incremento De Resistencia Mágica+30 RM</v>
      </c>
      <c r="M412" s="242"/>
      <c r="Z412" s="242"/>
    </row>
    <row r="413" spans="1:26" ht="12" customHeight="1" x14ac:dyDescent="0.2">
      <c r="A413" s="5889"/>
      <c r="B413" s="5887"/>
      <c r="C413" s="45" t="s">
        <v>9438</v>
      </c>
      <c r="D413" s="87" t="s">
        <v>7763</v>
      </c>
      <c r="E413" s="1291">
        <v>6</v>
      </c>
      <c r="F413" s="1292">
        <v>9</v>
      </c>
      <c r="G413" s="1291">
        <v>15</v>
      </c>
      <c r="H413" s="1291">
        <v>4</v>
      </c>
      <c r="I413" s="1291">
        <v>8</v>
      </c>
      <c r="J413" s="1291">
        <v>14</v>
      </c>
      <c r="K413" s="1291">
        <v>1</v>
      </c>
      <c r="L413" s="2220" t="str">
        <f t="shared" si="19"/>
        <v>Incremento De Resistencia Mágica+40 RM</v>
      </c>
      <c r="M413" s="242"/>
      <c r="Z413" s="242"/>
    </row>
    <row r="414" spans="1:26" ht="12" customHeight="1" x14ac:dyDescent="0.2">
      <c r="A414" s="5889"/>
      <c r="B414" s="5887"/>
      <c r="C414" s="45" t="s">
        <v>9438</v>
      </c>
      <c r="D414" s="87" t="s">
        <v>7764</v>
      </c>
      <c r="E414" s="1291">
        <v>8</v>
      </c>
      <c r="F414" s="1292">
        <v>11</v>
      </c>
      <c r="G414" s="1291">
        <v>20</v>
      </c>
      <c r="H414" s="1291">
        <v>5</v>
      </c>
      <c r="I414" s="1291">
        <v>10</v>
      </c>
      <c r="J414" s="1291">
        <v>18</v>
      </c>
      <c r="K414" s="1291">
        <v>2</v>
      </c>
      <c r="L414" s="2220" t="str">
        <f t="shared" si="19"/>
        <v>Incremento De Resistencia Mágica+50 RM</v>
      </c>
      <c r="M414" s="242"/>
      <c r="Z414" s="242"/>
    </row>
    <row r="415" spans="1:26" ht="12" customHeight="1" x14ac:dyDescent="0.2">
      <c r="A415" s="5889"/>
      <c r="B415" s="5887"/>
      <c r="C415" s="45" t="s">
        <v>9438</v>
      </c>
      <c r="D415" s="87" t="s">
        <v>9439</v>
      </c>
      <c r="E415" s="1291">
        <v>10</v>
      </c>
      <c r="F415" s="1292">
        <v>13</v>
      </c>
      <c r="G415" s="1291">
        <v>25</v>
      </c>
      <c r="H415" s="1291">
        <v>6</v>
      </c>
      <c r="I415" s="1291">
        <v>12</v>
      </c>
      <c r="J415" s="1291">
        <v>21</v>
      </c>
      <c r="K415" s="1291">
        <v>2</v>
      </c>
      <c r="L415" s="2220" t="str">
        <f t="shared" si="19"/>
        <v>Incremento De Resistencia Mágica+60 RM</v>
      </c>
      <c r="M415" s="242"/>
      <c r="Z415" s="242"/>
    </row>
    <row r="416" spans="1:26" ht="12" customHeight="1" x14ac:dyDescent="0.2">
      <c r="A416" s="5889"/>
      <c r="B416" s="5887"/>
      <c r="C416" s="45" t="s">
        <v>9438</v>
      </c>
      <c r="D416" s="87" t="s">
        <v>9440</v>
      </c>
      <c r="E416" s="1291">
        <v>14</v>
      </c>
      <c r="F416" s="1292">
        <v>18</v>
      </c>
      <c r="G416" s="1291">
        <v>30</v>
      </c>
      <c r="H416" s="1291">
        <v>7</v>
      </c>
      <c r="I416" s="1291">
        <v>14</v>
      </c>
      <c r="J416" s="1291">
        <v>25</v>
      </c>
      <c r="K416" s="1291">
        <v>3</v>
      </c>
      <c r="L416" s="2220" t="str">
        <f t="shared" si="19"/>
        <v>Incremento De Resistencia Mágica+80 RM</v>
      </c>
      <c r="M416" s="242"/>
      <c r="Z416" s="242"/>
    </row>
    <row r="417" spans="1:26" ht="12" customHeight="1" x14ac:dyDescent="0.2">
      <c r="A417" s="5889"/>
      <c r="B417" s="5887"/>
      <c r="C417" s="45" t="s">
        <v>9438</v>
      </c>
      <c r="D417" s="87" t="s">
        <v>9441</v>
      </c>
      <c r="E417" s="1291">
        <v>18</v>
      </c>
      <c r="F417" s="1292">
        <v>22</v>
      </c>
      <c r="G417" s="1291">
        <v>40</v>
      </c>
      <c r="H417" s="1291">
        <v>8</v>
      </c>
      <c r="I417" s="1291">
        <v>16</v>
      </c>
      <c r="J417" s="1291">
        <v>28</v>
      </c>
      <c r="K417" s="1291">
        <v>3</v>
      </c>
      <c r="L417" s="2220" t="str">
        <f t="shared" si="19"/>
        <v>Incremento De Resistencia Mágica+100 RM</v>
      </c>
      <c r="M417" s="242"/>
      <c r="Z417" s="242"/>
    </row>
    <row r="418" spans="1:26" ht="12" customHeight="1" x14ac:dyDescent="0.2">
      <c r="A418" s="5889"/>
      <c r="B418" s="5887"/>
      <c r="C418" s="45" t="s">
        <v>9442</v>
      </c>
      <c r="D418" s="87"/>
      <c r="E418" s="1291"/>
      <c r="F418" s="1292"/>
      <c r="G418" s="1291"/>
      <c r="H418" s="1291"/>
      <c r="I418" s="1291"/>
      <c r="J418" s="1291"/>
      <c r="K418" s="1291"/>
      <c r="L418" s="2220" t="str">
        <f t="shared" si="19"/>
        <v>&gt; INCREMENTO DE RESISTENCIA PSÍQUICA</v>
      </c>
      <c r="M418" s="242"/>
      <c r="Z418" s="242"/>
    </row>
    <row r="419" spans="1:26" ht="12" customHeight="1" x14ac:dyDescent="0.2">
      <c r="A419" s="5889"/>
      <c r="B419" s="5887"/>
      <c r="C419" s="45" t="s">
        <v>9443</v>
      </c>
      <c r="D419" s="87" t="s">
        <v>7755</v>
      </c>
      <c r="E419" s="1291">
        <v>1</v>
      </c>
      <c r="F419" s="1292">
        <v>2</v>
      </c>
      <c r="G419" s="1291">
        <v>5</v>
      </c>
      <c r="H419" s="1291">
        <v>1</v>
      </c>
      <c r="I419" s="1291">
        <v>2</v>
      </c>
      <c r="J419" s="1291">
        <v>4</v>
      </c>
      <c r="K419" s="1291">
        <v>1</v>
      </c>
      <c r="L419" s="2220" t="str">
        <f t="shared" si="19"/>
        <v>Incremento De Resistencia Psíquica+10 RP</v>
      </c>
      <c r="M419" s="242"/>
      <c r="Z419" s="242"/>
    </row>
    <row r="420" spans="1:26" ht="12" customHeight="1" x14ac:dyDescent="0.2">
      <c r="A420" s="5889"/>
      <c r="B420" s="5887"/>
      <c r="C420" s="45" t="s">
        <v>9443</v>
      </c>
      <c r="D420" s="87" t="s">
        <v>7756</v>
      </c>
      <c r="E420" s="1291">
        <v>2</v>
      </c>
      <c r="F420" s="1292">
        <v>4</v>
      </c>
      <c r="G420" s="1291">
        <v>5</v>
      </c>
      <c r="H420" s="1291">
        <v>2</v>
      </c>
      <c r="I420" s="1291">
        <v>4</v>
      </c>
      <c r="J420" s="1291">
        <v>7</v>
      </c>
      <c r="K420" s="1291">
        <v>1</v>
      </c>
      <c r="L420" s="2220" t="str">
        <f t="shared" si="19"/>
        <v>Incremento De Resistencia Psíquica+20 RP</v>
      </c>
      <c r="M420" s="242"/>
      <c r="Z420" s="242"/>
    </row>
    <row r="421" spans="1:26" ht="12" customHeight="1" x14ac:dyDescent="0.2">
      <c r="A421" s="5889"/>
      <c r="B421" s="5887"/>
      <c r="C421" s="45" t="s">
        <v>9443</v>
      </c>
      <c r="D421" s="87" t="s">
        <v>7757</v>
      </c>
      <c r="E421" s="1291">
        <v>4</v>
      </c>
      <c r="F421" s="1292">
        <v>6</v>
      </c>
      <c r="G421" s="1291">
        <v>10</v>
      </c>
      <c r="H421" s="1291">
        <v>3</v>
      </c>
      <c r="I421" s="1291">
        <v>6</v>
      </c>
      <c r="J421" s="1291">
        <v>11</v>
      </c>
      <c r="K421" s="1291">
        <v>1</v>
      </c>
      <c r="L421" s="2220" t="str">
        <f t="shared" si="19"/>
        <v>Incremento De Resistencia Psíquica+30 RP</v>
      </c>
      <c r="M421" s="242"/>
      <c r="Z421" s="242"/>
    </row>
    <row r="422" spans="1:26" ht="12" customHeight="1" x14ac:dyDescent="0.2">
      <c r="A422" s="5889"/>
      <c r="B422" s="5887"/>
      <c r="C422" s="45" t="s">
        <v>9443</v>
      </c>
      <c r="D422" s="87" t="s">
        <v>7758</v>
      </c>
      <c r="E422" s="1291">
        <v>6</v>
      </c>
      <c r="F422" s="1292">
        <v>9</v>
      </c>
      <c r="G422" s="1291">
        <v>15</v>
      </c>
      <c r="H422" s="1291">
        <v>4</v>
      </c>
      <c r="I422" s="1291">
        <v>8</v>
      </c>
      <c r="J422" s="1291">
        <v>14</v>
      </c>
      <c r="K422" s="1291">
        <v>1</v>
      </c>
      <c r="L422" s="2220" t="str">
        <f t="shared" si="19"/>
        <v>Incremento De Resistencia Psíquica+40 RP</v>
      </c>
      <c r="M422" s="242"/>
      <c r="Z422" s="242"/>
    </row>
    <row r="423" spans="1:26" ht="12" customHeight="1" x14ac:dyDescent="0.2">
      <c r="A423" s="5889"/>
      <c r="B423" s="5887"/>
      <c r="C423" s="45" t="s">
        <v>9443</v>
      </c>
      <c r="D423" s="87" t="s">
        <v>7759</v>
      </c>
      <c r="E423" s="1291">
        <v>8</v>
      </c>
      <c r="F423" s="1292">
        <v>11</v>
      </c>
      <c r="G423" s="1291">
        <v>20</v>
      </c>
      <c r="H423" s="1291">
        <v>5</v>
      </c>
      <c r="I423" s="1291">
        <v>10</v>
      </c>
      <c r="J423" s="1291">
        <v>18</v>
      </c>
      <c r="K423" s="1291">
        <v>2</v>
      </c>
      <c r="L423" s="2220" t="str">
        <f t="shared" si="19"/>
        <v>Incremento De Resistencia Psíquica+50 RP</v>
      </c>
      <c r="M423" s="242"/>
      <c r="Z423" s="242"/>
    </row>
    <row r="424" spans="1:26" ht="12" customHeight="1" x14ac:dyDescent="0.2">
      <c r="A424" s="5889"/>
      <c r="B424" s="5887"/>
      <c r="C424" s="45" t="s">
        <v>9443</v>
      </c>
      <c r="D424" s="87" t="s">
        <v>9444</v>
      </c>
      <c r="E424" s="1291">
        <v>10</v>
      </c>
      <c r="F424" s="1292">
        <v>13</v>
      </c>
      <c r="G424" s="1291">
        <v>25</v>
      </c>
      <c r="H424" s="1291">
        <v>6</v>
      </c>
      <c r="I424" s="1291">
        <v>12</v>
      </c>
      <c r="J424" s="1291">
        <v>21</v>
      </c>
      <c r="K424" s="1291">
        <v>2</v>
      </c>
      <c r="L424" s="2220" t="str">
        <f t="shared" si="19"/>
        <v>Incremento De Resistencia Psíquica+60 RP</v>
      </c>
      <c r="M424" s="242"/>
      <c r="Z424" s="242"/>
    </row>
    <row r="425" spans="1:26" ht="12" customHeight="1" x14ac:dyDescent="0.2">
      <c r="A425" s="5889"/>
      <c r="B425" s="5887"/>
      <c r="C425" s="45" t="s">
        <v>9443</v>
      </c>
      <c r="D425" s="87" t="s">
        <v>9445</v>
      </c>
      <c r="E425" s="1291">
        <v>14</v>
      </c>
      <c r="F425" s="1292">
        <v>18</v>
      </c>
      <c r="G425" s="1291">
        <v>30</v>
      </c>
      <c r="H425" s="1291">
        <v>7</v>
      </c>
      <c r="I425" s="1291">
        <v>14</v>
      </c>
      <c r="J425" s="1291">
        <v>25</v>
      </c>
      <c r="K425" s="1291">
        <v>3</v>
      </c>
      <c r="L425" s="2220" t="str">
        <f t="shared" si="19"/>
        <v>Incremento De Resistencia Psíquica+80 RP</v>
      </c>
      <c r="M425" s="242"/>
      <c r="Z425" s="242"/>
    </row>
    <row r="426" spans="1:26" ht="12" customHeight="1" x14ac:dyDescent="0.2">
      <c r="A426" s="5889"/>
      <c r="B426" s="5887"/>
      <c r="C426" s="45" t="s">
        <v>9443</v>
      </c>
      <c r="D426" s="87" t="s">
        <v>9446</v>
      </c>
      <c r="E426" s="1291">
        <v>18</v>
      </c>
      <c r="F426" s="1292">
        <v>22</v>
      </c>
      <c r="G426" s="1291">
        <v>40</v>
      </c>
      <c r="H426" s="1291">
        <v>8</v>
      </c>
      <c r="I426" s="1291">
        <v>16</v>
      </c>
      <c r="J426" s="1291">
        <v>28</v>
      </c>
      <c r="K426" s="1291">
        <v>3</v>
      </c>
      <c r="L426" s="2220" t="str">
        <f t="shared" si="19"/>
        <v>Incremento De Resistencia Psíquica+100 RP</v>
      </c>
      <c r="M426" s="242"/>
      <c r="Z426" s="242"/>
    </row>
    <row r="427" spans="1:26" ht="12" customHeight="1" x14ac:dyDescent="0.2">
      <c r="A427" s="5889"/>
      <c r="B427" s="5887"/>
      <c r="C427" s="45" t="s">
        <v>9447</v>
      </c>
      <c r="D427" s="87"/>
      <c r="E427" s="1291"/>
      <c r="F427" s="1292"/>
      <c r="G427" s="1291"/>
      <c r="H427" s="1291"/>
      <c r="I427" s="1291"/>
      <c r="J427" s="1291"/>
      <c r="K427" s="1291"/>
      <c r="L427" s="2220" t="str">
        <f t="shared" si="19"/>
        <v>&gt; HABILIDADES PERCEPTIVAS</v>
      </c>
      <c r="M427" s="242"/>
      <c r="Z427" s="242"/>
    </row>
    <row r="428" spans="1:26" ht="12" customHeight="1" x14ac:dyDescent="0.2">
      <c r="A428" s="5889"/>
      <c r="B428" s="5887"/>
      <c r="C428" s="45" t="s">
        <v>9232</v>
      </c>
      <c r="D428" s="87" t="s">
        <v>9448</v>
      </c>
      <c r="E428" s="1291">
        <v>2</v>
      </c>
      <c r="F428" s="1292">
        <v>4</v>
      </c>
      <c r="G428" s="1291">
        <v>5</v>
      </c>
      <c r="H428" s="1291">
        <v>1</v>
      </c>
      <c r="I428" s="1291">
        <v>2</v>
      </c>
      <c r="J428" s="1291">
        <v>4</v>
      </c>
      <c r="K428" s="1291">
        <v>1</v>
      </c>
      <c r="L428" s="2220" t="str">
        <f t="shared" si="19"/>
        <v>Habilidades PerceptivasVisión Nocturna</v>
      </c>
      <c r="M428" s="242"/>
      <c r="Z428" s="242"/>
    </row>
    <row r="429" spans="1:26" ht="12" customHeight="1" x14ac:dyDescent="0.2">
      <c r="A429" s="5889"/>
      <c r="B429" s="5887"/>
      <c r="C429" s="45" t="s">
        <v>9232</v>
      </c>
      <c r="D429" s="87" t="s">
        <v>9449</v>
      </c>
      <c r="E429" s="1291">
        <v>4</v>
      </c>
      <c r="F429" s="1292">
        <v>6</v>
      </c>
      <c r="G429" s="1291">
        <v>10</v>
      </c>
      <c r="H429" s="1291">
        <v>2</v>
      </c>
      <c r="I429" s="1291">
        <v>4</v>
      </c>
      <c r="J429" s="1291">
        <v>7</v>
      </c>
      <c r="K429" s="1291">
        <v>1</v>
      </c>
      <c r="L429" s="2220" t="str">
        <f t="shared" si="19"/>
        <v>Habilidades PerceptivasVisión Radial</v>
      </c>
      <c r="M429" s="242"/>
      <c r="Z429" s="242"/>
    </row>
    <row r="430" spans="1:26" ht="12" customHeight="1" x14ac:dyDescent="0.2">
      <c r="A430" s="5889"/>
      <c r="B430" s="5887"/>
      <c r="C430" s="45" t="s">
        <v>9232</v>
      </c>
      <c r="D430" s="87" t="s">
        <v>9450</v>
      </c>
      <c r="E430" s="1291">
        <v>3</v>
      </c>
      <c r="F430" s="1292">
        <v>5</v>
      </c>
      <c r="G430" s="1291">
        <v>5</v>
      </c>
      <c r="H430" s="1291">
        <v>1</v>
      </c>
      <c r="I430" s="1291">
        <v>2</v>
      </c>
      <c r="J430" s="1291">
        <v>4</v>
      </c>
      <c r="K430" s="1291">
        <v>1</v>
      </c>
      <c r="L430" s="2220" t="str">
        <f t="shared" si="19"/>
        <v>Habilidades PerceptivasVisión Espiritual</v>
      </c>
      <c r="M430" s="242"/>
      <c r="Z430" s="242"/>
    </row>
    <row r="431" spans="1:26" ht="12" customHeight="1" x14ac:dyDescent="0.2">
      <c r="A431" s="5889"/>
      <c r="B431" s="5887"/>
      <c r="C431" s="45" t="s">
        <v>9232</v>
      </c>
      <c r="D431" s="87" t="s">
        <v>9451</v>
      </c>
      <c r="E431" s="1291">
        <v>3</v>
      </c>
      <c r="F431" s="1292">
        <v>5</v>
      </c>
      <c r="G431" s="1291">
        <v>5</v>
      </c>
      <c r="H431" s="1291">
        <v>1</v>
      </c>
      <c r="I431" s="1291">
        <v>2</v>
      </c>
      <c r="J431" s="1291">
        <v>4</v>
      </c>
      <c r="K431" s="1291">
        <v>1</v>
      </c>
      <c r="L431" s="2220" t="str">
        <f t="shared" si="19"/>
        <v>Habilidades PerceptivasVisión de Magia</v>
      </c>
      <c r="M431" s="242"/>
      <c r="Z431" s="242"/>
    </row>
    <row r="432" spans="1:26" ht="12" customHeight="1" x14ac:dyDescent="0.2">
      <c r="A432" s="5889"/>
      <c r="B432" s="5887"/>
      <c r="C432" s="45" t="s">
        <v>9232</v>
      </c>
      <c r="D432" s="87" t="s">
        <v>9452</v>
      </c>
      <c r="E432" s="1291">
        <v>3</v>
      </c>
      <c r="F432" s="1292">
        <v>5</v>
      </c>
      <c r="G432" s="1291">
        <v>5</v>
      </c>
      <c r="H432" s="1291">
        <v>1</v>
      </c>
      <c r="I432" s="1291">
        <v>2</v>
      </c>
      <c r="J432" s="1291">
        <v>4</v>
      </c>
      <c r="K432" s="1291">
        <v>1</v>
      </c>
      <c r="L432" s="2220" t="str">
        <f t="shared" si="19"/>
        <v>Habilidades PerceptivasVisión de Matrices</v>
      </c>
      <c r="M432" s="242"/>
      <c r="Z432" s="242"/>
    </row>
    <row r="433" spans="1:26" ht="12" customHeight="1" x14ac:dyDescent="0.2">
      <c r="A433" s="5889"/>
      <c r="B433" s="5887"/>
      <c r="C433" s="45" t="s">
        <v>9232</v>
      </c>
      <c r="D433" s="87" t="s">
        <v>9453</v>
      </c>
      <c r="E433" s="1291">
        <v>5</v>
      </c>
      <c r="F433" s="1292">
        <v>8</v>
      </c>
      <c r="G433" s="1291">
        <v>15</v>
      </c>
      <c r="H433" s="1291">
        <v>2</v>
      </c>
      <c r="I433" s="1291">
        <v>4</v>
      </c>
      <c r="J433" s="1291">
        <v>7</v>
      </c>
      <c r="K433" s="1291">
        <v>1</v>
      </c>
      <c r="L433" s="2220" t="str">
        <f t="shared" si="19"/>
        <v>Habilidades PerceptivasVer lo Sobrenatural</v>
      </c>
      <c r="M433" s="242"/>
      <c r="Z433" s="242"/>
    </row>
    <row r="434" spans="1:26" ht="12" customHeight="1" x14ac:dyDescent="0.2">
      <c r="A434" s="5889"/>
      <c r="B434" s="5887"/>
      <c r="C434" s="45" t="s">
        <v>9232</v>
      </c>
      <c r="D434" s="87" t="s">
        <v>9454</v>
      </c>
      <c r="E434" s="1291">
        <v>8</v>
      </c>
      <c r="F434" s="1292">
        <v>11</v>
      </c>
      <c r="G434" s="1291">
        <v>25</v>
      </c>
      <c r="H434" s="1291">
        <v>2</v>
      </c>
      <c r="I434" s="1291">
        <v>4</v>
      </c>
      <c r="J434" s="1291">
        <v>7</v>
      </c>
      <c r="K434" s="1291">
        <v>2</v>
      </c>
      <c r="L434" s="2220" t="str">
        <f t="shared" si="19"/>
        <v>Habilidades PerceptivasVer Realmente</v>
      </c>
      <c r="M434" s="242"/>
      <c r="Z434" s="242"/>
    </row>
    <row r="435" spans="1:26" ht="12" customHeight="1" x14ac:dyDescent="0.2">
      <c r="A435" s="5889"/>
      <c r="B435" s="5887"/>
      <c r="C435" s="45" t="s">
        <v>2997</v>
      </c>
      <c r="D435" s="87"/>
      <c r="E435" s="1291"/>
      <c r="F435" s="1292"/>
      <c r="G435" s="1291"/>
      <c r="H435" s="1291"/>
      <c r="I435" s="1291"/>
      <c r="J435" s="1291"/>
      <c r="K435" s="1291"/>
      <c r="L435" s="2220" t="str">
        <f t="shared" si="19"/>
        <v>&gt;&gt;EFECTOS VARIADOS</v>
      </c>
      <c r="M435" s="242"/>
      <c r="Z435" s="242"/>
    </row>
    <row r="436" spans="1:26" ht="12" customHeight="1" x14ac:dyDescent="0.2">
      <c r="A436" s="5889"/>
      <c r="B436" s="5887"/>
      <c r="C436" s="45" t="s">
        <v>9455</v>
      </c>
      <c r="D436" s="87"/>
      <c r="E436" s="1291"/>
      <c r="F436" s="1292"/>
      <c r="G436" s="1291"/>
      <c r="H436" s="1291"/>
      <c r="I436" s="1291"/>
      <c r="J436" s="1291"/>
      <c r="K436" s="1291"/>
      <c r="L436" s="2220" t="str">
        <f t="shared" si="19"/>
        <v>&gt; ATAQUE CAPAZ DE DAÑAR ENERGÍA</v>
      </c>
      <c r="M436" s="242"/>
      <c r="Z436" s="242"/>
    </row>
    <row r="437" spans="1:26" ht="12" customHeight="1" x14ac:dyDescent="0.2">
      <c r="A437" s="5889"/>
      <c r="B437" s="5887"/>
      <c r="C437" s="45" t="s">
        <v>9456</v>
      </c>
      <c r="D437" s="87"/>
      <c r="E437" s="1291">
        <v>1</v>
      </c>
      <c r="F437" s="1292">
        <v>2</v>
      </c>
      <c r="G437" s="1291">
        <v>5</v>
      </c>
      <c r="H437" s="1291">
        <v>1</v>
      </c>
      <c r="I437" s="1291">
        <v>2</v>
      </c>
      <c r="J437" s="1291">
        <v>4</v>
      </c>
      <c r="K437" s="1291">
        <v>1</v>
      </c>
      <c r="L437" s="2220" t="str">
        <f t="shared" si="19"/>
        <v>Ataque Capaz De Dañar Energía</v>
      </c>
      <c r="M437" s="242"/>
      <c r="Z437" s="242"/>
    </row>
    <row r="438" spans="1:26" ht="12" customHeight="1" x14ac:dyDescent="0.2">
      <c r="A438" s="5889"/>
      <c r="B438" s="5887"/>
      <c r="C438" s="45" t="s">
        <v>9457</v>
      </c>
      <c r="D438" s="87"/>
      <c r="E438" s="1291"/>
      <c r="F438" s="1292"/>
      <c r="G438" s="1291"/>
      <c r="H438" s="1291"/>
      <c r="I438" s="1291"/>
      <c r="J438" s="1291"/>
      <c r="K438" s="1291"/>
      <c r="L438" s="2220" t="str">
        <f t="shared" si="19"/>
        <v>&gt; ATAQUE ELEMENTAL</v>
      </c>
      <c r="M438" s="242"/>
      <c r="Z438" s="242"/>
    </row>
    <row r="439" spans="1:26" ht="12" customHeight="1" x14ac:dyDescent="0.2">
      <c r="A439" s="5889"/>
      <c r="B439" s="5887"/>
      <c r="C439" s="45" t="s">
        <v>9236</v>
      </c>
      <c r="D439" s="87" t="s">
        <v>1612</v>
      </c>
      <c r="E439" s="1291">
        <v>2</v>
      </c>
      <c r="F439" s="1292">
        <v>4</v>
      </c>
      <c r="G439" s="1291">
        <v>5</v>
      </c>
      <c r="H439" s="1291">
        <v>1</v>
      </c>
      <c r="I439" s="1291">
        <v>2</v>
      </c>
      <c r="J439" s="1291">
        <v>4</v>
      </c>
      <c r="K439" s="1291">
        <v>1</v>
      </c>
      <c r="L439" s="2220" t="str">
        <f t="shared" si="19"/>
        <v>Ataque ElementalAire</v>
      </c>
      <c r="M439" s="242"/>
      <c r="Z439" s="242"/>
    </row>
    <row r="440" spans="1:26" ht="12" customHeight="1" x14ac:dyDescent="0.2">
      <c r="A440" s="5889"/>
      <c r="B440" s="5887"/>
      <c r="C440" s="45" t="s">
        <v>9236</v>
      </c>
      <c r="D440" s="87" t="s">
        <v>1615</v>
      </c>
      <c r="E440" s="1291">
        <v>2</v>
      </c>
      <c r="F440" s="1292">
        <v>4</v>
      </c>
      <c r="G440" s="1291">
        <v>5</v>
      </c>
      <c r="H440" s="1291">
        <v>1</v>
      </c>
      <c r="I440" s="1291">
        <v>2</v>
      </c>
      <c r="J440" s="1291">
        <v>4</v>
      </c>
      <c r="K440" s="1291">
        <v>1</v>
      </c>
      <c r="L440" s="2220" t="str">
        <f t="shared" si="19"/>
        <v>Ataque ElementalAgua</v>
      </c>
      <c r="M440" s="242"/>
      <c r="Z440" s="242"/>
    </row>
    <row r="441" spans="1:26" ht="12" customHeight="1" x14ac:dyDescent="0.2">
      <c r="A441" s="5889"/>
      <c r="B441" s="5887"/>
      <c r="C441" s="45" t="s">
        <v>9236</v>
      </c>
      <c r="D441" s="87" t="s">
        <v>1619</v>
      </c>
      <c r="E441" s="1291">
        <v>2</v>
      </c>
      <c r="F441" s="1292">
        <v>4</v>
      </c>
      <c r="G441" s="1291">
        <v>5</v>
      </c>
      <c r="H441" s="1291">
        <v>1</v>
      </c>
      <c r="I441" s="1291">
        <v>2</v>
      </c>
      <c r="J441" s="1291">
        <v>4</v>
      </c>
      <c r="K441" s="1291">
        <v>1</v>
      </c>
      <c r="L441" s="2220" t="str">
        <f t="shared" si="19"/>
        <v>Ataque ElementalFuego</v>
      </c>
      <c r="M441" s="242"/>
      <c r="Z441" s="242"/>
    </row>
    <row r="442" spans="1:26" ht="12" customHeight="1" x14ac:dyDescent="0.2">
      <c r="A442" s="5889"/>
      <c r="B442" s="5887"/>
      <c r="C442" s="45" t="s">
        <v>9236</v>
      </c>
      <c r="D442" s="87" t="s">
        <v>1713</v>
      </c>
      <c r="E442" s="1291">
        <v>2</v>
      </c>
      <c r="F442" s="1292">
        <v>4</v>
      </c>
      <c r="G442" s="1291">
        <v>5</v>
      </c>
      <c r="H442" s="1291">
        <v>1</v>
      </c>
      <c r="I442" s="1291">
        <v>2</v>
      </c>
      <c r="J442" s="1291">
        <v>4</v>
      </c>
      <c r="K442" s="1291">
        <v>1</v>
      </c>
      <c r="L442" s="2220" t="str">
        <f t="shared" si="19"/>
        <v>Ataque ElementalTierra</v>
      </c>
      <c r="M442" s="242"/>
      <c r="Z442" s="242"/>
    </row>
    <row r="443" spans="1:26" ht="12" customHeight="1" x14ac:dyDescent="0.2">
      <c r="A443" s="5889"/>
      <c r="B443" s="5887"/>
      <c r="C443" s="45" t="s">
        <v>9236</v>
      </c>
      <c r="D443" s="87" t="s">
        <v>1708</v>
      </c>
      <c r="E443" s="1291">
        <v>2</v>
      </c>
      <c r="F443" s="1292">
        <v>4</v>
      </c>
      <c r="G443" s="1291">
        <v>5</v>
      </c>
      <c r="H443" s="1291">
        <v>1</v>
      </c>
      <c r="I443" s="1291">
        <v>2</v>
      </c>
      <c r="J443" s="1291">
        <v>4</v>
      </c>
      <c r="K443" s="1291">
        <v>1</v>
      </c>
      <c r="L443" s="2220" t="str">
        <f t="shared" si="19"/>
        <v>Ataque ElementalLuz</v>
      </c>
      <c r="M443" s="242"/>
      <c r="Z443" s="242"/>
    </row>
    <row r="444" spans="1:26" ht="12" customHeight="1" x14ac:dyDescent="0.2">
      <c r="A444" s="5889"/>
      <c r="B444" s="5887"/>
      <c r="C444" s="45" t="s">
        <v>9236</v>
      </c>
      <c r="D444" s="87" t="s">
        <v>1709</v>
      </c>
      <c r="E444" s="1291">
        <v>2</v>
      </c>
      <c r="F444" s="1292">
        <v>4</v>
      </c>
      <c r="G444" s="1291">
        <v>5</v>
      </c>
      <c r="H444" s="1291">
        <v>1</v>
      </c>
      <c r="I444" s="1291">
        <v>2</v>
      </c>
      <c r="J444" s="1291">
        <v>4</v>
      </c>
      <c r="K444" s="1291">
        <v>1</v>
      </c>
      <c r="L444" s="2220" t="str">
        <f t="shared" si="19"/>
        <v>Ataque ElementalOscuridad</v>
      </c>
      <c r="M444" s="242"/>
      <c r="Z444" s="242"/>
    </row>
    <row r="445" spans="1:26" ht="12" customHeight="1" x14ac:dyDescent="0.2">
      <c r="A445" s="5889"/>
      <c r="B445" s="5887"/>
      <c r="C445" s="45" t="s">
        <v>9458</v>
      </c>
      <c r="D445" s="87"/>
      <c r="E445" s="1291"/>
      <c r="F445" s="1292"/>
      <c r="G445" s="1291"/>
      <c r="H445" s="1291"/>
      <c r="I445" s="1291"/>
      <c r="J445" s="1291"/>
      <c r="K445" s="1291"/>
      <c r="L445" s="2220" t="str">
        <f t="shared" si="19"/>
        <v>&gt; ARMAS FÍSICAS DE KI</v>
      </c>
      <c r="M445" s="242"/>
      <c r="Z445" s="242"/>
    </row>
    <row r="446" spans="1:26" ht="12" customHeight="1" x14ac:dyDescent="0.2">
      <c r="A446" s="5889"/>
      <c r="B446" s="5887"/>
      <c r="C446" s="45" t="s">
        <v>9459</v>
      </c>
      <c r="D446" s="87" t="s">
        <v>7124</v>
      </c>
      <c r="E446" s="1291">
        <v>2</v>
      </c>
      <c r="F446" s="1292">
        <v>4</v>
      </c>
      <c r="G446" s="1291">
        <v>5</v>
      </c>
      <c r="H446" s="1291">
        <v>1</v>
      </c>
      <c r="I446" s="1291">
        <v>2</v>
      </c>
      <c r="J446" s="1291">
        <v>4</v>
      </c>
      <c r="K446" s="1291">
        <v>1</v>
      </c>
      <c r="L446" s="2220" t="str">
        <f t="shared" si="19"/>
        <v>Armas Físicas De Ki+0</v>
      </c>
      <c r="M446" s="242"/>
      <c r="Z446" s="242"/>
    </row>
    <row r="447" spans="1:26" ht="12" customHeight="1" x14ac:dyDescent="0.2">
      <c r="A447" s="5889"/>
      <c r="B447" s="5887"/>
      <c r="C447" s="45" t="s">
        <v>9459</v>
      </c>
      <c r="D447" s="87" t="s">
        <v>7125</v>
      </c>
      <c r="E447" s="1291">
        <v>4</v>
      </c>
      <c r="F447" s="1292">
        <v>6</v>
      </c>
      <c r="G447" s="1291">
        <v>5</v>
      </c>
      <c r="H447" s="1291">
        <v>1</v>
      </c>
      <c r="I447" s="1291">
        <v>2</v>
      </c>
      <c r="J447" s="1291">
        <v>4</v>
      </c>
      <c r="K447" s="1291">
        <v>1</v>
      </c>
      <c r="L447" s="2220" t="str">
        <f t="shared" si="19"/>
        <v>Armas Físicas De Ki+5</v>
      </c>
      <c r="M447" s="242"/>
      <c r="Z447" s="242"/>
    </row>
    <row r="448" spans="1:26" ht="12" customHeight="1" x14ac:dyDescent="0.2">
      <c r="A448" s="5889"/>
      <c r="B448" s="5887"/>
      <c r="C448" s="45" t="s">
        <v>9459</v>
      </c>
      <c r="D448" s="87" t="s">
        <v>7748</v>
      </c>
      <c r="E448" s="1291">
        <v>6</v>
      </c>
      <c r="F448" s="1292">
        <v>9</v>
      </c>
      <c r="G448" s="1291">
        <v>10</v>
      </c>
      <c r="H448" s="1291">
        <v>2</v>
      </c>
      <c r="I448" s="1291">
        <v>4</v>
      </c>
      <c r="J448" s="1291">
        <v>7</v>
      </c>
      <c r="K448" s="1291">
        <v>1</v>
      </c>
      <c r="L448" s="2220" t="str">
        <f t="shared" si="19"/>
        <v>Armas Físicas De Ki+10</v>
      </c>
      <c r="M448" s="242"/>
      <c r="Z448" s="242"/>
    </row>
    <row r="449" spans="1:26" ht="12" customHeight="1" x14ac:dyDescent="0.2">
      <c r="A449" s="5889"/>
      <c r="B449" s="5887"/>
      <c r="C449" s="45" t="s">
        <v>9459</v>
      </c>
      <c r="D449" s="87" t="s">
        <v>7891</v>
      </c>
      <c r="E449" s="1291">
        <v>8</v>
      </c>
      <c r="F449" s="1292">
        <v>11</v>
      </c>
      <c r="G449" s="1291">
        <v>15</v>
      </c>
      <c r="H449" s="1291">
        <v>3</v>
      </c>
      <c r="I449" s="1291">
        <v>6</v>
      </c>
      <c r="J449" s="1291">
        <v>11</v>
      </c>
      <c r="K449" s="1291">
        <v>2</v>
      </c>
      <c r="L449" s="2220" t="str">
        <f t="shared" si="19"/>
        <v>Armas Físicas De Ki+15</v>
      </c>
      <c r="M449" s="242"/>
      <c r="Z449" s="242"/>
    </row>
    <row r="450" spans="1:26" ht="12" customHeight="1" x14ac:dyDescent="0.2">
      <c r="A450" s="5889"/>
      <c r="B450" s="5887"/>
      <c r="C450" s="45" t="s">
        <v>9459</v>
      </c>
      <c r="D450" s="87" t="s">
        <v>2777</v>
      </c>
      <c r="E450" s="1291">
        <v>10</v>
      </c>
      <c r="F450" s="1292">
        <v>13</v>
      </c>
      <c r="G450" s="1291">
        <v>20</v>
      </c>
      <c r="H450" s="1291">
        <v>4</v>
      </c>
      <c r="I450" s="1291">
        <v>8</v>
      </c>
      <c r="J450" s="1291">
        <v>14</v>
      </c>
      <c r="K450" s="1291">
        <v>3</v>
      </c>
      <c r="L450" s="2220" t="str">
        <f t="shared" si="19"/>
        <v>Armas Físicas De Ki+20</v>
      </c>
      <c r="M450" s="242"/>
      <c r="Z450" s="242"/>
    </row>
    <row r="451" spans="1:26" ht="12" customHeight="1" x14ac:dyDescent="0.2">
      <c r="A451" s="5889"/>
      <c r="B451" s="5887"/>
      <c r="C451" s="45" t="s">
        <v>9459</v>
      </c>
      <c r="D451" s="87" t="s">
        <v>3230</v>
      </c>
      <c r="E451" s="1291">
        <v>2</v>
      </c>
      <c r="F451" s="1292">
        <v>2</v>
      </c>
      <c r="G451" s="1291">
        <v>10</v>
      </c>
      <c r="H451" s="1291">
        <v>1</v>
      </c>
      <c r="I451" s="1291">
        <v>2</v>
      </c>
      <c r="J451" s="1291">
        <v>4</v>
      </c>
      <c r="K451" s="1291"/>
      <c r="L451" s="2220" t="str">
        <f t="shared" si="19"/>
        <v>Armas Físicas De KiArma de Proyectil</v>
      </c>
      <c r="M451" s="242"/>
      <c r="Z451" s="242"/>
    </row>
    <row r="452" spans="1:26" ht="12" customHeight="1" x14ac:dyDescent="0.2">
      <c r="A452" s="5889"/>
      <c r="B452" s="5887"/>
      <c r="C452" s="45" t="s">
        <v>9459</v>
      </c>
      <c r="D452" s="87" t="s">
        <v>3231</v>
      </c>
      <c r="E452" s="1291">
        <v>1</v>
      </c>
      <c r="F452" s="1292">
        <v>1</v>
      </c>
      <c r="G452" s="1291">
        <v>5</v>
      </c>
      <c r="H452" s="1291">
        <v>1</v>
      </c>
      <c r="I452" s="1291">
        <v>2</v>
      </c>
      <c r="J452" s="1291">
        <v>4</v>
      </c>
      <c r="K452" s="1291"/>
      <c r="L452" s="2220" t="str">
        <f t="shared" si="19"/>
        <v>Armas Físicas De Ki1 Arma Adicional</v>
      </c>
      <c r="M452" s="242"/>
      <c r="Z452" s="242"/>
    </row>
    <row r="453" spans="1:26" ht="12" customHeight="1" x14ac:dyDescent="0.2">
      <c r="A453" s="5889"/>
      <c r="B453" s="5887"/>
      <c r="C453" s="45" t="s">
        <v>9459</v>
      </c>
      <c r="D453" s="87" t="s">
        <v>3232</v>
      </c>
      <c r="E453" s="1291">
        <v>2</v>
      </c>
      <c r="F453" s="1292">
        <v>2</v>
      </c>
      <c r="G453" s="1291">
        <v>10</v>
      </c>
      <c r="H453" s="1291">
        <v>2</v>
      </c>
      <c r="I453" s="1291">
        <v>4</v>
      </c>
      <c r="J453" s="1291">
        <v>7</v>
      </c>
      <c r="K453" s="1291"/>
      <c r="L453" s="2220" t="str">
        <f t="shared" si="19"/>
        <v>Armas Físicas De KiDe 2 a 3 Armas Adicionales</v>
      </c>
      <c r="M453" s="242"/>
      <c r="Z453" s="242"/>
    </row>
    <row r="454" spans="1:26" ht="12" customHeight="1" x14ac:dyDescent="0.2">
      <c r="A454" s="5889"/>
      <c r="B454" s="5887"/>
      <c r="C454" s="45" t="s">
        <v>9459</v>
      </c>
      <c r="D454" s="87" t="s">
        <v>3233</v>
      </c>
      <c r="E454" s="1291">
        <v>4</v>
      </c>
      <c r="F454" s="1292">
        <v>4</v>
      </c>
      <c r="G454" s="1291">
        <v>15</v>
      </c>
      <c r="H454" s="1291">
        <v>3</v>
      </c>
      <c r="I454" s="1291">
        <v>6</v>
      </c>
      <c r="J454" s="1291">
        <v>11</v>
      </c>
      <c r="K454" s="1291"/>
      <c r="L454" s="2220" t="str">
        <f t="shared" si="19"/>
        <v>Armas Físicas De KiDe 4 a 10 Armas Adicionales</v>
      </c>
      <c r="M454" s="242"/>
      <c r="Z454" s="242"/>
    </row>
    <row r="455" spans="1:26" ht="12" customHeight="1" x14ac:dyDescent="0.2">
      <c r="A455" s="5889"/>
      <c r="B455" s="5887"/>
      <c r="C455" s="45" t="s">
        <v>9459</v>
      </c>
      <c r="D455" s="87" t="s">
        <v>3234</v>
      </c>
      <c r="E455" s="1291">
        <v>6</v>
      </c>
      <c r="F455" s="1292">
        <v>6</v>
      </c>
      <c r="G455" s="1291">
        <v>20</v>
      </c>
      <c r="H455" s="1291">
        <v>4</v>
      </c>
      <c r="I455" s="1291">
        <v>8</v>
      </c>
      <c r="J455" s="1291">
        <v>14</v>
      </c>
      <c r="K455" s="1291"/>
      <c r="L455" s="2220" t="str">
        <f t="shared" si="19"/>
        <v>Armas Físicas De KiArmas Adicionales Ilimitadas</v>
      </c>
      <c r="M455" s="242"/>
      <c r="Z455" s="242"/>
    </row>
    <row r="456" spans="1:26" ht="12" customHeight="1" x14ac:dyDescent="0.2">
      <c r="A456" s="5889"/>
      <c r="B456" s="5887"/>
      <c r="C456" s="45" t="s">
        <v>9460</v>
      </c>
      <c r="D456" s="87"/>
      <c r="E456" s="1291"/>
      <c r="F456" s="1292"/>
      <c r="G456" s="1291"/>
      <c r="H456" s="1291"/>
      <c r="I456" s="1291"/>
      <c r="J456" s="1291"/>
      <c r="K456" s="1291"/>
      <c r="L456" s="2220" t="str">
        <f t="shared" si="19"/>
        <v>&gt; ATAQUE SOBRENATURAL</v>
      </c>
      <c r="M456" s="242"/>
      <c r="Z456" s="242"/>
    </row>
    <row r="457" spans="1:26" ht="12" customHeight="1" x14ac:dyDescent="0.2">
      <c r="A457" s="5889"/>
      <c r="B457" s="5887"/>
      <c r="C457" s="45" t="s">
        <v>3235</v>
      </c>
      <c r="D457" s="87"/>
      <c r="E457" s="1291">
        <v>5</v>
      </c>
      <c r="F457" s="1292">
        <v>8</v>
      </c>
      <c r="G457" s="1291">
        <v>10</v>
      </c>
      <c r="H457" s="1291">
        <v>1</v>
      </c>
      <c r="I457" s="1291">
        <v>2</v>
      </c>
      <c r="J457" s="1291">
        <v>4</v>
      </c>
      <c r="K457" s="1291">
        <v>1</v>
      </c>
      <c r="L457" s="2220" t="str">
        <f t="shared" si="19"/>
        <v>Ataque Sobrenatural</v>
      </c>
      <c r="M457" s="242"/>
      <c r="Z457" s="242"/>
    </row>
    <row r="458" spans="1:26" ht="12" customHeight="1" x14ac:dyDescent="0.2">
      <c r="A458" s="5889"/>
      <c r="B458" s="5887"/>
      <c r="C458" s="45" t="s">
        <v>9461</v>
      </c>
      <c r="D458" s="87"/>
      <c r="E458" s="1291"/>
      <c r="F458" s="1292"/>
      <c r="G458" s="1291"/>
      <c r="H458" s="1291"/>
      <c r="I458" s="1291"/>
      <c r="J458" s="1291"/>
      <c r="K458" s="1291"/>
      <c r="L458" s="2220" t="str">
        <f t="shared" si="19"/>
        <v>&gt; ABSORCIÓN DE KI</v>
      </c>
      <c r="M458" s="242"/>
      <c r="Z458" s="242"/>
    </row>
    <row r="459" spans="1:26" ht="12" customHeight="1" x14ac:dyDescent="0.2">
      <c r="A459" s="5889"/>
      <c r="B459" s="5887"/>
      <c r="C459" s="45" t="s">
        <v>9462</v>
      </c>
      <c r="D459" s="87" t="s">
        <v>9463</v>
      </c>
      <c r="E459" s="1291">
        <v>1</v>
      </c>
      <c r="F459" s="1292">
        <v>2</v>
      </c>
      <c r="G459" s="1291">
        <v>5</v>
      </c>
      <c r="H459" s="1291">
        <v>1</v>
      </c>
      <c r="I459" s="1291">
        <v>2</v>
      </c>
      <c r="J459" s="1291">
        <v>4</v>
      </c>
      <c r="K459" s="1291">
        <v>1</v>
      </c>
      <c r="L459" s="2220" t="str">
        <f t="shared" ref="L459:L487" si="20">C459&amp;D459</f>
        <v>Absorción De KiHasta 5 Ki</v>
      </c>
      <c r="M459" s="242"/>
      <c r="Z459" s="242"/>
    </row>
    <row r="460" spans="1:26" ht="12" customHeight="1" x14ac:dyDescent="0.2">
      <c r="A460" s="5889"/>
      <c r="B460" s="5887"/>
      <c r="C460" s="45" t="s">
        <v>9462</v>
      </c>
      <c r="D460" s="87" t="s">
        <v>9464</v>
      </c>
      <c r="E460" s="1291">
        <v>2</v>
      </c>
      <c r="F460" s="1292">
        <v>4</v>
      </c>
      <c r="G460" s="1291">
        <v>10</v>
      </c>
      <c r="H460" s="1291">
        <v>2</v>
      </c>
      <c r="I460" s="1291">
        <v>4</v>
      </c>
      <c r="J460" s="1291">
        <v>7</v>
      </c>
      <c r="K460" s="1291">
        <v>1</v>
      </c>
      <c r="L460" s="2220" t="str">
        <f t="shared" si="20"/>
        <v>Absorción De KiHasta 10 Ki</v>
      </c>
      <c r="M460" s="242"/>
      <c r="Z460" s="242"/>
    </row>
    <row r="461" spans="1:26" ht="12" customHeight="1" x14ac:dyDescent="0.2">
      <c r="A461" s="5889"/>
      <c r="B461" s="5887"/>
      <c r="C461" s="45" t="s">
        <v>9462</v>
      </c>
      <c r="D461" s="87" t="s">
        <v>9465</v>
      </c>
      <c r="E461" s="1291">
        <v>4</v>
      </c>
      <c r="F461" s="1292">
        <v>6</v>
      </c>
      <c r="G461" s="1291">
        <v>15</v>
      </c>
      <c r="H461" s="1291">
        <v>3</v>
      </c>
      <c r="I461" s="1291">
        <v>6</v>
      </c>
      <c r="J461" s="1291">
        <v>11</v>
      </c>
      <c r="K461" s="1291">
        <v>2</v>
      </c>
      <c r="L461" s="2220" t="str">
        <f t="shared" si="20"/>
        <v>Absorción De KiHasta 15 Ki</v>
      </c>
      <c r="M461" s="242"/>
      <c r="Z461" s="242"/>
    </row>
    <row r="462" spans="1:26" ht="12" customHeight="1" x14ac:dyDescent="0.2">
      <c r="A462" s="5889"/>
      <c r="B462" s="5887"/>
      <c r="C462" s="45" t="s">
        <v>9462</v>
      </c>
      <c r="D462" s="87" t="s">
        <v>9466</v>
      </c>
      <c r="E462" s="1291">
        <v>6</v>
      </c>
      <c r="F462" s="1292">
        <v>9</v>
      </c>
      <c r="G462" s="1291">
        <v>20</v>
      </c>
      <c r="H462" s="1291">
        <v>4</v>
      </c>
      <c r="I462" s="1291">
        <v>8</v>
      </c>
      <c r="J462" s="1291">
        <v>14</v>
      </c>
      <c r="K462" s="1291">
        <v>2</v>
      </c>
      <c r="L462" s="2220" t="str">
        <f t="shared" si="20"/>
        <v>Absorción De KiHasta 20 Ki</v>
      </c>
      <c r="M462" s="242"/>
      <c r="Z462" s="242"/>
    </row>
    <row r="463" spans="1:26" ht="12" customHeight="1" x14ac:dyDescent="0.2">
      <c r="A463" s="5889"/>
      <c r="B463" s="5887"/>
      <c r="C463" s="45" t="s">
        <v>9462</v>
      </c>
      <c r="D463" s="87" t="s">
        <v>9467</v>
      </c>
      <c r="E463" s="1291">
        <v>8</v>
      </c>
      <c r="F463" s="1292">
        <v>11</v>
      </c>
      <c r="G463" s="1291">
        <v>25</v>
      </c>
      <c r="H463" s="1291">
        <v>6</v>
      </c>
      <c r="I463" s="1291">
        <v>12</v>
      </c>
      <c r="J463" s="1291">
        <v>21</v>
      </c>
      <c r="K463" s="1291">
        <v>2</v>
      </c>
      <c r="L463" s="2220" t="str">
        <f t="shared" si="20"/>
        <v>Absorción De KiHasta 25 Ki</v>
      </c>
      <c r="M463" s="242"/>
      <c r="Z463" s="242"/>
    </row>
    <row r="464" spans="1:26" ht="12" customHeight="1" x14ac:dyDescent="0.2">
      <c r="A464" s="5889"/>
      <c r="B464" s="5887"/>
      <c r="C464" s="45" t="s">
        <v>9462</v>
      </c>
      <c r="D464" s="87" t="s">
        <v>5379</v>
      </c>
      <c r="E464" s="1291">
        <v>10</v>
      </c>
      <c r="F464" s="1292">
        <v>13</v>
      </c>
      <c r="G464" s="1291">
        <v>30</v>
      </c>
      <c r="H464" s="1291">
        <v>8</v>
      </c>
      <c r="I464" s="1291">
        <v>16</v>
      </c>
      <c r="J464" s="1291">
        <v>28</v>
      </c>
      <c r="K464" s="1291">
        <v>3</v>
      </c>
      <c r="L464" s="2220" t="str">
        <f t="shared" si="20"/>
        <v>Absorción De KiSin Límite</v>
      </c>
      <c r="M464" s="242"/>
      <c r="Z464" s="242"/>
    </row>
    <row r="465" spans="1:26" ht="12" customHeight="1" x14ac:dyDescent="0.2">
      <c r="A465" s="5889"/>
      <c r="B465" s="5887"/>
      <c r="C465" s="45" t="s">
        <v>9468</v>
      </c>
      <c r="D465" s="87"/>
      <c r="E465" s="1291"/>
      <c r="F465" s="1292"/>
      <c r="G465" s="1291"/>
      <c r="H465" s="1291"/>
      <c r="I465" s="1291"/>
      <c r="J465" s="1291"/>
      <c r="K465" s="1291"/>
      <c r="L465" s="2220" t="str">
        <f t="shared" si="20"/>
        <v>&gt; APRESAMIENTO</v>
      </c>
      <c r="M465" s="242"/>
      <c r="Z465" s="242"/>
    </row>
    <row r="466" spans="1:26" ht="12" customHeight="1" x14ac:dyDescent="0.2">
      <c r="A466" s="5889"/>
      <c r="B466" s="5887"/>
      <c r="C466" s="45" t="s">
        <v>3009</v>
      </c>
      <c r="D466" s="87" t="s">
        <v>9528</v>
      </c>
      <c r="E466" s="1291">
        <v>2</v>
      </c>
      <c r="F466" s="1292">
        <v>4</v>
      </c>
      <c r="G466" s="1291">
        <v>5</v>
      </c>
      <c r="H466" s="1291">
        <v>1</v>
      </c>
      <c r="I466" s="1291">
        <v>2</v>
      </c>
      <c r="J466" s="1291">
        <v>4</v>
      </c>
      <c r="K466" s="1291">
        <v>1</v>
      </c>
      <c r="L466" s="2220" t="str">
        <f t="shared" si="20"/>
        <v>ApresamientoFUE 4</v>
      </c>
      <c r="M466" s="242"/>
      <c r="Z466" s="242"/>
    </row>
    <row r="467" spans="1:26" ht="12" customHeight="1" x14ac:dyDescent="0.2">
      <c r="A467" s="5889"/>
      <c r="B467" s="5887"/>
      <c r="C467" s="45" t="s">
        <v>3009</v>
      </c>
      <c r="D467" s="87" t="s">
        <v>9529</v>
      </c>
      <c r="E467" s="1291">
        <v>3</v>
      </c>
      <c r="F467" s="1292">
        <v>5</v>
      </c>
      <c r="G467" s="1291">
        <v>10</v>
      </c>
      <c r="H467" s="1291">
        <v>2</v>
      </c>
      <c r="I467" s="1291">
        <v>4</v>
      </c>
      <c r="J467" s="1291">
        <v>7</v>
      </c>
      <c r="K467" s="1291">
        <v>1</v>
      </c>
      <c r="L467" s="2220" t="str">
        <f t="shared" si="20"/>
        <v>ApresamientoFUE 6</v>
      </c>
      <c r="M467" s="242"/>
      <c r="Z467" s="242"/>
    </row>
    <row r="468" spans="1:26" ht="12" customHeight="1" x14ac:dyDescent="0.2">
      <c r="A468" s="5889"/>
      <c r="B468" s="5887"/>
      <c r="C468" s="45" t="s">
        <v>3009</v>
      </c>
      <c r="D468" s="87" t="s">
        <v>9530</v>
      </c>
      <c r="E468" s="1291">
        <v>4</v>
      </c>
      <c r="F468" s="1292">
        <v>6</v>
      </c>
      <c r="G468" s="1291">
        <v>10</v>
      </c>
      <c r="H468" s="1291">
        <v>3</v>
      </c>
      <c r="I468" s="1291">
        <v>6</v>
      </c>
      <c r="J468" s="1291">
        <v>11</v>
      </c>
      <c r="K468" s="1291">
        <v>1</v>
      </c>
      <c r="L468" s="2220" t="str">
        <f t="shared" si="20"/>
        <v>ApresamientoFUE 8</v>
      </c>
      <c r="M468" s="242"/>
      <c r="Z468" s="242"/>
    </row>
    <row r="469" spans="1:26" ht="12" customHeight="1" x14ac:dyDescent="0.2">
      <c r="A469" s="5889"/>
      <c r="B469" s="5887"/>
      <c r="C469" s="45" t="s">
        <v>3009</v>
      </c>
      <c r="D469" s="87" t="s">
        <v>9531</v>
      </c>
      <c r="E469" s="1291">
        <v>5</v>
      </c>
      <c r="F469" s="1292">
        <v>8</v>
      </c>
      <c r="G469" s="1291">
        <v>15</v>
      </c>
      <c r="H469" s="1291">
        <v>4</v>
      </c>
      <c r="I469" s="1291">
        <v>8</v>
      </c>
      <c r="J469" s="1291">
        <v>14</v>
      </c>
      <c r="K469" s="1291">
        <v>1</v>
      </c>
      <c r="L469" s="2220" t="str">
        <f t="shared" si="20"/>
        <v>ApresamientoFUE 10</v>
      </c>
      <c r="M469" s="242"/>
      <c r="Z469" s="242"/>
    </row>
    <row r="470" spans="1:26" ht="12" customHeight="1" x14ac:dyDescent="0.2">
      <c r="A470" s="5889"/>
      <c r="B470" s="5887"/>
      <c r="C470" s="45" t="s">
        <v>3009</v>
      </c>
      <c r="D470" s="87" t="s">
        <v>9532</v>
      </c>
      <c r="E470" s="1291">
        <v>6</v>
      </c>
      <c r="F470" s="1292">
        <v>9</v>
      </c>
      <c r="G470" s="1291">
        <v>20</v>
      </c>
      <c r="H470" s="1291">
        <v>5</v>
      </c>
      <c r="I470" s="1291">
        <v>10</v>
      </c>
      <c r="J470" s="1291">
        <v>18</v>
      </c>
      <c r="K470" s="1291">
        <v>1</v>
      </c>
      <c r="L470" s="2220" t="str">
        <f t="shared" si="20"/>
        <v>ApresamientoFUE 12</v>
      </c>
      <c r="M470" s="242"/>
      <c r="Z470" s="242"/>
    </row>
    <row r="471" spans="1:26" ht="12" customHeight="1" x14ac:dyDescent="0.2">
      <c r="A471" s="5889"/>
      <c r="B471" s="5887"/>
      <c r="C471" s="45" t="s">
        <v>3009</v>
      </c>
      <c r="D471" s="87" t="s">
        <v>9533</v>
      </c>
      <c r="E471" s="1291">
        <v>8</v>
      </c>
      <c r="F471" s="1292">
        <v>11</v>
      </c>
      <c r="G471" s="1291">
        <v>25</v>
      </c>
      <c r="H471" s="1291">
        <v>6</v>
      </c>
      <c r="I471" s="1291">
        <v>12</v>
      </c>
      <c r="J471" s="1291">
        <v>21</v>
      </c>
      <c r="K471" s="1291">
        <v>2</v>
      </c>
      <c r="L471" s="2220" t="str">
        <f t="shared" si="20"/>
        <v>ApresamientoFUE 14</v>
      </c>
      <c r="M471" s="242"/>
      <c r="Z471" s="242"/>
    </row>
    <row r="472" spans="1:26" ht="12" customHeight="1" x14ac:dyDescent="0.2">
      <c r="A472" s="5889"/>
      <c r="B472" s="5887"/>
      <c r="C472" s="45" t="s">
        <v>3009</v>
      </c>
      <c r="D472" s="87" t="s">
        <v>9534</v>
      </c>
      <c r="E472" s="1291">
        <v>10</v>
      </c>
      <c r="F472" s="1292">
        <v>13</v>
      </c>
      <c r="G472" s="1291">
        <v>30</v>
      </c>
      <c r="H472" s="1291">
        <v>7</v>
      </c>
      <c r="I472" s="1291">
        <v>14</v>
      </c>
      <c r="J472" s="1291">
        <v>25</v>
      </c>
      <c r="K472" s="1291">
        <v>2</v>
      </c>
      <c r="L472" s="2220" t="str">
        <f t="shared" si="20"/>
        <v>ApresamientoFUE 16</v>
      </c>
      <c r="M472" s="242"/>
      <c r="Z472" s="242"/>
    </row>
    <row r="473" spans="1:26" ht="12" customHeight="1" x14ac:dyDescent="0.2">
      <c r="A473" s="5889"/>
      <c r="B473" s="5887"/>
      <c r="C473" s="45" t="s">
        <v>3009</v>
      </c>
      <c r="D473" s="87" t="s">
        <v>9535</v>
      </c>
      <c r="E473" s="1291">
        <v>14</v>
      </c>
      <c r="F473" s="1292">
        <v>18</v>
      </c>
      <c r="G473" s="1291">
        <v>35</v>
      </c>
      <c r="H473" s="1291">
        <v>8</v>
      </c>
      <c r="I473" s="1291">
        <v>16</v>
      </c>
      <c r="J473" s="1291">
        <v>28</v>
      </c>
      <c r="K473" s="1291">
        <v>3</v>
      </c>
      <c r="L473" s="2220" t="str">
        <f t="shared" si="20"/>
        <v>ApresamientoFUE 18</v>
      </c>
      <c r="M473" s="242"/>
      <c r="Z473" s="242"/>
    </row>
    <row r="474" spans="1:26" ht="12" customHeight="1" x14ac:dyDescent="0.2">
      <c r="A474" s="5889"/>
      <c r="B474" s="5887"/>
      <c r="C474" s="45" t="s">
        <v>3009</v>
      </c>
      <c r="D474" s="87" t="s">
        <v>9536</v>
      </c>
      <c r="E474" s="1291">
        <v>18</v>
      </c>
      <c r="F474" s="1292">
        <v>22</v>
      </c>
      <c r="G474" s="1291">
        <v>40</v>
      </c>
      <c r="H474" s="1291">
        <v>10</v>
      </c>
      <c r="I474" s="1291">
        <v>20</v>
      </c>
      <c r="J474" s="1291">
        <v>35</v>
      </c>
      <c r="K474" s="1291">
        <v>3</v>
      </c>
      <c r="L474" s="2220" t="str">
        <f t="shared" si="20"/>
        <v>ApresamientoFUE 20</v>
      </c>
      <c r="M474" s="242"/>
      <c r="Z474" s="242"/>
    </row>
    <row r="475" spans="1:26" ht="12" customHeight="1" x14ac:dyDescent="0.2">
      <c r="A475" s="5889"/>
      <c r="B475" s="5887"/>
      <c r="C475" s="45" t="s">
        <v>3009</v>
      </c>
      <c r="D475" s="87" t="s">
        <v>3236</v>
      </c>
      <c r="E475" s="1291">
        <v>1</v>
      </c>
      <c r="F475" s="1292">
        <v>1</v>
      </c>
      <c r="G475" s="1291">
        <v>5</v>
      </c>
      <c r="H475" s="1291">
        <v>1</v>
      </c>
      <c r="I475" s="1291">
        <v>2</v>
      </c>
      <c r="J475" s="1291">
        <v>4</v>
      </c>
      <c r="K475" s="1291"/>
      <c r="L475" s="2220" t="str">
        <f t="shared" si="20"/>
        <v>ApresamientoPresa Existencial</v>
      </c>
      <c r="M475" s="242"/>
      <c r="Z475" s="242"/>
    </row>
    <row r="476" spans="1:26" ht="12" customHeight="1" x14ac:dyDescent="0.2">
      <c r="A476" s="5889"/>
      <c r="B476" s="5887"/>
      <c r="C476" s="45" t="s">
        <v>9469</v>
      </c>
      <c r="D476" s="87"/>
      <c r="E476" s="1291"/>
      <c r="F476" s="1292"/>
      <c r="G476" s="1291"/>
      <c r="H476" s="1291"/>
      <c r="I476" s="1291"/>
      <c r="J476" s="1291"/>
      <c r="K476" s="1291"/>
      <c r="L476" s="2220" t="str">
        <f t="shared" si="20"/>
        <v>&gt; CHOQUE FÍSICO</v>
      </c>
      <c r="M476" s="242"/>
      <c r="Z476" s="242"/>
    </row>
    <row r="477" spans="1:26" ht="12" customHeight="1" x14ac:dyDescent="0.2">
      <c r="A477" s="5889"/>
      <c r="B477" s="5887"/>
      <c r="C477" s="45" t="s">
        <v>3237</v>
      </c>
      <c r="D477" s="87"/>
      <c r="E477" s="1291">
        <v>1</v>
      </c>
      <c r="F477" s="1292">
        <v>2</v>
      </c>
      <c r="G477" s="1291">
        <v>5</v>
      </c>
      <c r="H477" s="1291">
        <v>1</v>
      </c>
      <c r="I477" s="1291">
        <v>2</v>
      </c>
      <c r="J477" s="1291">
        <v>4</v>
      </c>
      <c r="K477" s="1291">
        <v>1</v>
      </c>
      <c r="L477" s="2220" t="str">
        <f t="shared" si="20"/>
        <v>Choque Físico</v>
      </c>
      <c r="M477" s="242"/>
      <c r="Z477" s="242"/>
    </row>
    <row r="478" spans="1:26" ht="12" customHeight="1" x14ac:dyDescent="0.2">
      <c r="A478" s="5889"/>
      <c r="B478" s="5887"/>
      <c r="C478" s="45" t="s">
        <v>9470</v>
      </c>
      <c r="D478" s="87"/>
      <c r="E478" s="1291"/>
      <c r="F478" s="1292"/>
      <c r="G478" s="1291"/>
      <c r="H478" s="1291"/>
      <c r="I478" s="1291"/>
      <c r="J478" s="1291"/>
      <c r="K478" s="1291"/>
      <c r="L478" s="2220" t="str">
        <f t="shared" si="20"/>
        <v>&gt; ACUMULACIÓN</v>
      </c>
      <c r="M478" s="242"/>
      <c r="Z478" s="242"/>
    </row>
    <row r="479" spans="1:26" ht="12" customHeight="1" x14ac:dyDescent="0.2">
      <c r="A479" s="5889"/>
      <c r="B479" s="5887"/>
      <c r="C479" s="45" t="s">
        <v>1695</v>
      </c>
      <c r="D479" s="87" t="s">
        <v>9471</v>
      </c>
      <c r="E479" s="1291">
        <v>2</v>
      </c>
      <c r="F479" s="1292">
        <v>4</v>
      </c>
      <c r="G479" s="1291">
        <v>5</v>
      </c>
      <c r="H479" s="1291">
        <v>1</v>
      </c>
      <c r="I479" s="1291">
        <v>2</v>
      </c>
      <c r="J479" s="1291">
        <v>4</v>
      </c>
      <c r="K479" s="1291">
        <v>1</v>
      </c>
      <c r="L479" s="2220" t="str">
        <f t="shared" si="20"/>
        <v>Acumulación100 PV</v>
      </c>
      <c r="M479" s="242"/>
      <c r="Z479" s="242"/>
    </row>
    <row r="480" spans="1:26" ht="12" customHeight="1" x14ac:dyDescent="0.2">
      <c r="A480" s="5889"/>
      <c r="B480" s="5887"/>
      <c r="C480" s="45" t="s">
        <v>1695</v>
      </c>
      <c r="D480" s="87" t="s">
        <v>9472</v>
      </c>
      <c r="E480" s="1291">
        <v>3</v>
      </c>
      <c r="F480" s="1292">
        <v>5</v>
      </c>
      <c r="G480" s="1291">
        <v>5</v>
      </c>
      <c r="H480" s="1291">
        <v>1</v>
      </c>
      <c r="I480" s="1291">
        <v>2</v>
      </c>
      <c r="J480" s="1291">
        <v>4</v>
      </c>
      <c r="K480" s="1291">
        <v>1</v>
      </c>
      <c r="L480" s="2220" t="str">
        <f t="shared" si="20"/>
        <v>Acumulación200 PV</v>
      </c>
      <c r="M480" s="242"/>
      <c r="Z480" s="242"/>
    </row>
    <row r="481" spans="1:26" ht="12" customHeight="1" x14ac:dyDescent="0.2">
      <c r="A481" s="5889"/>
      <c r="B481" s="5887"/>
      <c r="C481" s="45" t="s">
        <v>1695</v>
      </c>
      <c r="D481" s="87" t="s">
        <v>9473</v>
      </c>
      <c r="E481" s="1291">
        <v>4</v>
      </c>
      <c r="F481" s="1292">
        <v>6</v>
      </c>
      <c r="G481" s="1291">
        <v>10</v>
      </c>
      <c r="H481" s="1291">
        <v>2</v>
      </c>
      <c r="I481" s="1291">
        <v>4</v>
      </c>
      <c r="J481" s="1291">
        <v>7</v>
      </c>
      <c r="K481" s="1291">
        <v>1</v>
      </c>
      <c r="L481" s="2220" t="str">
        <f t="shared" si="20"/>
        <v>Acumulación300 PV</v>
      </c>
      <c r="M481" s="242"/>
      <c r="Z481" s="242"/>
    </row>
    <row r="482" spans="1:26" ht="12" customHeight="1" x14ac:dyDescent="0.2">
      <c r="A482" s="5889"/>
      <c r="B482" s="5887"/>
      <c r="C482" s="45" t="s">
        <v>1695</v>
      </c>
      <c r="D482" s="87" t="s">
        <v>9474</v>
      </c>
      <c r="E482" s="1291">
        <v>5</v>
      </c>
      <c r="F482" s="1292">
        <v>8</v>
      </c>
      <c r="G482" s="1291">
        <v>15</v>
      </c>
      <c r="H482" s="1291">
        <v>3</v>
      </c>
      <c r="I482" s="1291">
        <v>6</v>
      </c>
      <c r="J482" s="1291">
        <v>11</v>
      </c>
      <c r="K482" s="1291">
        <v>1</v>
      </c>
      <c r="L482" s="2220" t="str">
        <f t="shared" si="20"/>
        <v>Acumulación400 PV</v>
      </c>
      <c r="M482" s="242"/>
      <c r="Z482" s="242"/>
    </row>
    <row r="483" spans="1:26" ht="12" customHeight="1" x14ac:dyDescent="0.2">
      <c r="A483" s="5889"/>
      <c r="B483" s="5887"/>
      <c r="C483" s="45" t="s">
        <v>1695</v>
      </c>
      <c r="D483" s="87" t="s">
        <v>9475</v>
      </c>
      <c r="E483" s="1291">
        <v>8</v>
      </c>
      <c r="F483" s="1292">
        <v>11</v>
      </c>
      <c r="G483" s="1291">
        <v>20</v>
      </c>
      <c r="H483" s="1291">
        <v>4</v>
      </c>
      <c r="I483" s="1291">
        <v>8</v>
      </c>
      <c r="J483" s="1291">
        <v>14</v>
      </c>
      <c r="K483" s="1291">
        <v>1</v>
      </c>
      <c r="L483" s="2220" t="str">
        <f t="shared" si="20"/>
        <v>Acumulación600 PV</v>
      </c>
      <c r="M483" s="242"/>
      <c r="Z483" s="242"/>
    </row>
    <row r="484" spans="1:26" ht="12" customHeight="1" x14ac:dyDescent="0.2">
      <c r="A484" s="5889"/>
      <c r="B484" s="5887"/>
      <c r="C484" s="45" t="s">
        <v>1695</v>
      </c>
      <c r="D484" s="87" t="s">
        <v>9476</v>
      </c>
      <c r="E484" s="1291">
        <v>12</v>
      </c>
      <c r="F484" s="1292">
        <v>15</v>
      </c>
      <c r="G484" s="1291">
        <v>25</v>
      </c>
      <c r="H484" s="1291">
        <v>5</v>
      </c>
      <c r="I484" s="1291">
        <v>10</v>
      </c>
      <c r="J484" s="1291">
        <v>18</v>
      </c>
      <c r="K484" s="1291">
        <v>1</v>
      </c>
      <c r="L484" s="2220" t="str">
        <f t="shared" si="20"/>
        <v>Acumulación800 PV</v>
      </c>
      <c r="M484" s="242"/>
      <c r="Z484" s="242"/>
    </row>
    <row r="485" spans="1:26" ht="12" customHeight="1" x14ac:dyDescent="0.2">
      <c r="A485" s="5889"/>
      <c r="B485" s="5887"/>
      <c r="C485" s="45" t="s">
        <v>1695</v>
      </c>
      <c r="D485" s="87" t="s">
        <v>9477</v>
      </c>
      <c r="E485" s="1291">
        <v>14</v>
      </c>
      <c r="F485" s="1292">
        <v>18</v>
      </c>
      <c r="G485" s="1291">
        <v>30</v>
      </c>
      <c r="H485" s="1291">
        <v>8</v>
      </c>
      <c r="I485" s="1291">
        <v>16</v>
      </c>
      <c r="J485" s="1291">
        <v>28</v>
      </c>
      <c r="K485" s="1291">
        <v>2</v>
      </c>
      <c r="L485" s="2220" t="str">
        <f t="shared" si="20"/>
        <v>Acumulación1.000 PV</v>
      </c>
      <c r="M485" s="242"/>
      <c r="Z485" s="242"/>
    </row>
    <row r="486" spans="1:26" ht="12" customHeight="1" x14ac:dyDescent="0.2">
      <c r="A486" s="5889"/>
      <c r="B486" s="5887"/>
      <c r="C486" s="45" t="s">
        <v>1695</v>
      </c>
      <c r="D486" s="87" t="s">
        <v>9478</v>
      </c>
      <c r="E486" s="1291">
        <v>18</v>
      </c>
      <c r="F486" s="1292">
        <v>22</v>
      </c>
      <c r="G486" s="1291">
        <v>35</v>
      </c>
      <c r="H486" s="1291">
        <v>10</v>
      </c>
      <c r="I486" s="1291">
        <v>20</v>
      </c>
      <c r="J486" s="1291">
        <v>35</v>
      </c>
      <c r="K486" s="1291">
        <v>2</v>
      </c>
      <c r="L486" s="2220" t="str">
        <f t="shared" si="20"/>
        <v>Acumulación1.200 PV</v>
      </c>
      <c r="M486" s="242"/>
      <c r="Z486" s="242"/>
    </row>
    <row r="487" spans="1:26" ht="12" customHeight="1" x14ac:dyDescent="0.2">
      <c r="A487" s="5889"/>
      <c r="B487" s="5887"/>
      <c r="C487" s="45" t="s">
        <v>1695</v>
      </c>
      <c r="D487" s="87" t="s">
        <v>9479</v>
      </c>
      <c r="E487" s="1291">
        <v>22</v>
      </c>
      <c r="F487" s="1292">
        <v>26</v>
      </c>
      <c r="G487" s="1291">
        <v>40</v>
      </c>
      <c r="H487" s="1291">
        <v>12</v>
      </c>
      <c r="I487" s="1291">
        <v>24</v>
      </c>
      <c r="J487" s="1291">
        <v>42</v>
      </c>
      <c r="K487" s="1291">
        <v>3</v>
      </c>
      <c r="L487" s="2220" t="str">
        <f t="shared" si="20"/>
        <v>Acumulación1.500 PV</v>
      </c>
      <c r="M487" s="242"/>
      <c r="Z487" s="242"/>
    </row>
    <row r="488" spans="1:26" ht="12" customHeight="1" x14ac:dyDescent="0.2">
      <c r="A488" s="5889"/>
      <c r="B488" s="5887"/>
      <c r="C488" s="45" t="s">
        <v>1695</v>
      </c>
      <c r="D488" s="87" t="s">
        <v>3238</v>
      </c>
      <c r="E488" s="1291">
        <v>1</v>
      </c>
      <c r="F488" s="1292">
        <v>1</v>
      </c>
      <c r="G488" s="1291">
        <v>5</v>
      </c>
      <c r="H488" s="1291">
        <v>1</v>
      </c>
      <c r="I488" s="1291">
        <v>2</v>
      </c>
      <c r="J488" s="1291">
        <v>4</v>
      </c>
      <c r="K488" s="1291"/>
      <c r="L488" s="2220" t="str">
        <f t="shared" ref="L488:L520" si="21">C488&amp;D488</f>
        <v>AcumulaciónRegeneración 100</v>
      </c>
      <c r="M488" s="242"/>
      <c r="Z488" s="242"/>
    </row>
    <row r="489" spans="1:26" ht="12" customHeight="1" x14ac:dyDescent="0.2">
      <c r="A489" s="5889"/>
      <c r="B489" s="5887"/>
      <c r="C489" s="45" t="s">
        <v>1695</v>
      </c>
      <c r="D489" s="87" t="s">
        <v>3239</v>
      </c>
      <c r="E489" s="1291">
        <v>2</v>
      </c>
      <c r="F489" s="1292">
        <v>2</v>
      </c>
      <c r="G489" s="1291">
        <v>10</v>
      </c>
      <c r="H489" s="1291">
        <v>2</v>
      </c>
      <c r="I489" s="1291">
        <v>4</v>
      </c>
      <c r="J489" s="1291">
        <v>7</v>
      </c>
      <c r="K489" s="1291"/>
      <c r="L489" s="2220" t="str">
        <f t="shared" si="21"/>
        <v>AcumulaciónRegeneración 250</v>
      </c>
      <c r="M489" s="242"/>
      <c r="Z489" s="242"/>
    </row>
    <row r="490" spans="1:26" ht="12" customHeight="1" x14ac:dyDescent="0.2">
      <c r="A490" s="5889"/>
      <c r="B490" s="5887"/>
      <c r="C490" s="45" t="s">
        <v>1695</v>
      </c>
      <c r="D490" s="87" t="s">
        <v>3240</v>
      </c>
      <c r="E490" s="1291">
        <v>4</v>
      </c>
      <c r="F490" s="1292">
        <v>4</v>
      </c>
      <c r="G490" s="1291">
        <v>15</v>
      </c>
      <c r="H490" s="1291">
        <v>3</v>
      </c>
      <c r="I490" s="1291">
        <v>6</v>
      </c>
      <c r="J490" s="1291">
        <v>11</v>
      </c>
      <c r="K490" s="1291"/>
      <c r="L490" s="2220" t="str">
        <f t="shared" si="21"/>
        <v>AcumulaciónRegeneración 500</v>
      </c>
      <c r="M490" s="242"/>
      <c r="Z490" s="242"/>
    </row>
    <row r="491" spans="1:26" ht="12" customHeight="1" x14ac:dyDescent="0.2">
      <c r="A491" s="5889"/>
      <c r="B491" s="5887"/>
      <c r="C491" s="45" t="s">
        <v>9480</v>
      </c>
      <c r="D491" s="87"/>
      <c r="E491" s="1291"/>
      <c r="F491" s="1292"/>
      <c r="G491" s="1291"/>
      <c r="H491" s="1291"/>
      <c r="I491" s="1291"/>
      <c r="J491" s="1291"/>
      <c r="K491" s="1291"/>
      <c r="L491" s="2220" t="str">
        <f t="shared" si="21"/>
        <v>&gt; ESPEJISMO</v>
      </c>
      <c r="M491" s="242"/>
      <c r="Z491" s="242"/>
    </row>
    <row r="492" spans="1:26" ht="12" customHeight="1" x14ac:dyDescent="0.2">
      <c r="A492" s="5889"/>
      <c r="B492" s="5887"/>
      <c r="C492" s="45" t="s">
        <v>3016</v>
      </c>
      <c r="D492" s="87" t="s">
        <v>9481</v>
      </c>
      <c r="E492" s="1291">
        <v>1</v>
      </c>
      <c r="F492" s="1292">
        <v>2</v>
      </c>
      <c r="G492" s="1291">
        <v>5</v>
      </c>
      <c r="H492" s="1291">
        <v>1</v>
      </c>
      <c r="I492" s="1291">
        <v>2</v>
      </c>
      <c r="J492" s="1291">
        <v>4</v>
      </c>
      <c r="K492" s="1291">
        <v>1</v>
      </c>
      <c r="L492" s="2220" t="str">
        <f t="shared" si="21"/>
        <v>Espejismo1 Imagen</v>
      </c>
      <c r="M492" s="242"/>
      <c r="Z492" s="242"/>
    </row>
    <row r="493" spans="1:26" ht="12" customHeight="1" x14ac:dyDescent="0.2">
      <c r="A493" s="5889"/>
      <c r="B493" s="5887"/>
      <c r="C493" s="45" t="s">
        <v>3016</v>
      </c>
      <c r="D493" s="87" t="s">
        <v>9482</v>
      </c>
      <c r="E493" s="1291">
        <v>2</v>
      </c>
      <c r="F493" s="1292">
        <v>4</v>
      </c>
      <c r="G493" s="1291">
        <v>5</v>
      </c>
      <c r="H493" s="1291">
        <v>2</v>
      </c>
      <c r="I493" s="1291">
        <v>4</v>
      </c>
      <c r="J493" s="1291">
        <v>7</v>
      </c>
      <c r="K493" s="1291">
        <v>1</v>
      </c>
      <c r="L493" s="2220" t="str">
        <f t="shared" si="21"/>
        <v>Espejismo2 Imágenes</v>
      </c>
      <c r="M493" s="242"/>
      <c r="Z493" s="242"/>
    </row>
    <row r="494" spans="1:26" ht="12" customHeight="1" x14ac:dyDescent="0.2">
      <c r="A494" s="5889"/>
      <c r="B494" s="5887"/>
      <c r="C494" s="45" t="s">
        <v>3016</v>
      </c>
      <c r="D494" s="87" t="s">
        <v>9483</v>
      </c>
      <c r="E494" s="1291">
        <v>4</v>
      </c>
      <c r="F494" s="1292">
        <v>6</v>
      </c>
      <c r="G494" s="1291">
        <v>10</v>
      </c>
      <c r="H494" s="1291">
        <v>3</v>
      </c>
      <c r="I494" s="1291">
        <v>6</v>
      </c>
      <c r="J494" s="1291">
        <v>11</v>
      </c>
      <c r="K494" s="1291">
        <v>1</v>
      </c>
      <c r="L494" s="2220" t="str">
        <f t="shared" si="21"/>
        <v>Espejismo4 Imágenes</v>
      </c>
      <c r="M494" s="242"/>
      <c r="Z494" s="242"/>
    </row>
    <row r="495" spans="1:26" ht="12" customHeight="1" x14ac:dyDescent="0.2">
      <c r="A495" s="5889"/>
      <c r="B495" s="5887"/>
      <c r="C495" s="45" t="s">
        <v>3016</v>
      </c>
      <c r="D495" s="87" t="s">
        <v>9484</v>
      </c>
      <c r="E495" s="1291">
        <v>6</v>
      </c>
      <c r="F495" s="1292">
        <v>9</v>
      </c>
      <c r="G495" s="1291">
        <v>10</v>
      </c>
      <c r="H495" s="1291">
        <v>4</v>
      </c>
      <c r="I495" s="1291">
        <v>8</v>
      </c>
      <c r="J495" s="1291">
        <v>14</v>
      </c>
      <c r="K495" s="1291">
        <v>1</v>
      </c>
      <c r="L495" s="2220" t="str">
        <f t="shared" si="21"/>
        <v>Espejismo6 Imágenes</v>
      </c>
      <c r="M495" s="242"/>
      <c r="Z495" s="242"/>
    </row>
    <row r="496" spans="1:26" ht="12" customHeight="1" x14ac:dyDescent="0.2">
      <c r="A496" s="5889"/>
      <c r="B496" s="5887"/>
      <c r="C496" s="45" t="s">
        <v>3016</v>
      </c>
      <c r="D496" s="87" t="s">
        <v>9485</v>
      </c>
      <c r="E496" s="1291">
        <v>8</v>
      </c>
      <c r="F496" s="1292">
        <v>11</v>
      </c>
      <c r="G496" s="1291">
        <v>15</v>
      </c>
      <c r="H496" s="1291">
        <v>6</v>
      </c>
      <c r="I496" s="1291">
        <v>12</v>
      </c>
      <c r="J496" s="1291">
        <v>21</v>
      </c>
      <c r="K496" s="1291">
        <v>2</v>
      </c>
      <c r="L496" s="2220" t="str">
        <f t="shared" si="21"/>
        <v>Espejismo10 Imágenes</v>
      </c>
      <c r="M496" s="242"/>
      <c r="Z496" s="242"/>
    </row>
    <row r="497" spans="1:26" ht="12" customHeight="1" x14ac:dyDescent="0.2">
      <c r="A497" s="5889"/>
      <c r="B497" s="5887"/>
      <c r="C497" s="45" t="s">
        <v>3016</v>
      </c>
      <c r="D497" s="87" t="s">
        <v>9486</v>
      </c>
      <c r="E497" s="1291">
        <v>10</v>
      </c>
      <c r="F497" s="1292">
        <v>13</v>
      </c>
      <c r="G497" s="1291">
        <v>20</v>
      </c>
      <c r="H497" s="1291">
        <v>8</v>
      </c>
      <c r="I497" s="1291">
        <v>16</v>
      </c>
      <c r="J497" s="1291">
        <v>28</v>
      </c>
      <c r="K497" s="1291">
        <v>2</v>
      </c>
      <c r="L497" s="2220" t="str">
        <f t="shared" si="21"/>
        <v>Espejismo15 Imágenes</v>
      </c>
      <c r="M497" s="242"/>
      <c r="Z497" s="242"/>
    </row>
    <row r="498" spans="1:26" ht="12" customHeight="1" x14ac:dyDescent="0.2">
      <c r="A498" s="5889"/>
      <c r="B498" s="5887"/>
      <c r="C498" s="45" t="s">
        <v>3016</v>
      </c>
      <c r="D498" s="87" t="s">
        <v>9487</v>
      </c>
      <c r="E498" s="1291">
        <v>12</v>
      </c>
      <c r="F498" s="1292">
        <v>15</v>
      </c>
      <c r="G498" s="1291">
        <v>25</v>
      </c>
      <c r="H498" s="1291">
        <v>10</v>
      </c>
      <c r="I498" s="1291">
        <v>20</v>
      </c>
      <c r="J498" s="1291">
        <v>35</v>
      </c>
      <c r="K498" s="1291">
        <v>2</v>
      </c>
      <c r="L498" s="2220" t="str">
        <f t="shared" si="21"/>
        <v>Espejismo20 Imágenes</v>
      </c>
      <c r="M498" s="242"/>
      <c r="Z498" s="242"/>
    </row>
    <row r="499" spans="1:26" ht="12" customHeight="1" x14ac:dyDescent="0.2">
      <c r="A499" s="5889"/>
      <c r="B499" s="5887"/>
      <c r="C499" s="45" t="s">
        <v>3016</v>
      </c>
      <c r="D499" s="87" t="s">
        <v>9488</v>
      </c>
      <c r="E499" s="1291">
        <v>14</v>
      </c>
      <c r="F499" s="1292">
        <v>18</v>
      </c>
      <c r="G499" s="1291">
        <v>30</v>
      </c>
      <c r="H499" s="1291">
        <v>12</v>
      </c>
      <c r="I499" s="1291">
        <v>24</v>
      </c>
      <c r="J499" s="1291">
        <v>42</v>
      </c>
      <c r="K499" s="1291">
        <v>3</v>
      </c>
      <c r="L499" s="2220" t="str">
        <f t="shared" si="21"/>
        <v>Espejismo25 Imágenes</v>
      </c>
      <c r="M499" s="242"/>
      <c r="Z499" s="242"/>
    </row>
    <row r="500" spans="1:26" ht="12" customHeight="1" x14ac:dyDescent="0.2">
      <c r="A500" s="5889"/>
      <c r="B500" s="5887"/>
      <c r="C500" s="45" t="s">
        <v>3016</v>
      </c>
      <c r="D500" s="87" t="s">
        <v>3241</v>
      </c>
      <c r="E500" s="1291">
        <v>1</v>
      </c>
      <c r="F500" s="1292">
        <v>1</v>
      </c>
      <c r="G500" s="1291">
        <v>5</v>
      </c>
      <c r="H500" s="1291">
        <v>1</v>
      </c>
      <c r="I500" s="1291">
        <v>2</v>
      </c>
      <c r="J500" s="1291">
        <v>4</v>
      </c>
      <c r="K500" s="1291">
        <v>1</v>
      </c>
      <c r="L500" s="2220" t="str">
        <f t="shared" si="21"/>
        <v>EspejismoIndetección Media (80)</v>
      </c>
      <c r="M500" s="242"/>
      <c r="Z500" s="242"/>
    </row>
    <row r="501" spans="1:26" ht="12" customHeight="1" x14ac:dyDescent="0.2">
      <c r="A501" s="5889"/>
      <c r="B501" s="5887"/>
      <c r="C501" s="45" t="s">
        <v>3016</v>
      </c>
      <c r="D501" s="87" t="s">
        <v>3242</v>
      </c>
      <c r="E501" s="1291">
        <v>2</v>
      </c>
      <c r="F501" s="1292">
        <v>2</v>
      </c>
      <c r="G501" s="1291">
        <v>10</v>
      </c>
      <c r="H501" s="1291">
        <v>1</v>
      </c>
      <c r="I501" s="1291">
        <v>2</v>
      </c>
      <c r="J501" s="1291">
        <v>4</v>
      </c>
      <c r="K501" s="1291">
        <v>1</v>
      </c>
      <c r="L501" s="2220" t="str">
        <f t="shared" si="21"/>
        <v>EspejismoIndetección Difícil (120)</v>
      </c>
      <c r="M501" s="242"/>
      <c r="Z501" s="242"/>
    </row>
    <row r="502" spans="1:26" ht="12" customHeight="1" x14ac:dyDescent="0.2">
      <c r="A502" s="5889"/>
      <c r="B502" s="5887"/>
      <c r="C502" s="45" t="s">
        <v>3016</v>
      </c>
      <c r="D502" s="87" t="s">
        <v>3243</v>
      </c>
      <c r="E502" s="1291">
        <v>3</v>
      </c>
      <c r="F502" s="1292">
        <v>3</v>
      </c>
      <c r="G502" s="1291">
        <v>10</v>
      </c>
      <c r="H502" s="1291">
        <v>2</v>
      </c>
      <c r="I502" s="1291">
        <v>4</v>
      </c>
      <c r="J502" s="1291">
        <v>7</v>
      </c>
      <c r="K502" s="1291">
        <v>1</v>
      </c>
      <c r="L502" s="2220" t="str">
        <f t="shared" si="21"/>
        <v>EspejismoIndetección Muy Difícil (140)</v>
      </c>
      <c r="M502" s="242"/>
      <c r="Z502" s="242"/>
    </row>
    <row r="503" spans="1:26" ht="12" customHeight="1" x14ac:dyDescent="0.2">
      <c r="A503" s="5889"/>
      <c r="B503" s="5887"/>
      <c r="C503" s="45" t="s">
        <v>3016</v>
      </c>
      <c r="D503" s="87" t="s">
        <v>3244</v>
      </c>
      <c r="E503" s="1291">
        <v>4</v>
      </c>
      <c r="F503" s="1292">
        <v>4</v>
      </c>
      <c r="G503" s="1291">
        <v>15</v>
      </c>
      <c r="H503" s="1291">
        <v>2</v>
      </c>
      <c r="I503" s="1291">
        <v>4</v>
      </c>
      <c r="J503" s="1291">
        <v>7</v>
      </c>
      <c r="K503" s="1291">
        <v>1</v>
      </c>
      <c r="L503" s="2220" t="str">
        <f t="shared" si="21"/>
        <v>EspejismoIndetección Absurdo (180)</v>
      </c>
      <c r="M503" s="242"/>
      <c r="Z503" s="242"/>
    </row>
    <row r="504" spans="1:26" ht="12" customHeight="1" x14ac:dyDescent="0.2">
      <c r="A504" s="5889"/>
      <c r="B504" s="5887"/>
      <c r="C504" s="45" t="s">
        <v>3016</v>
      </c>
      <c r="D504" s="87" t="s">
        <v>3245</v>
      </c>
      <c r="E504" s="1291">
        <v>5</v>
      </c>
      <c r="F504" s="1292">
        <v>5</v>
      </c>
      <c r="G504" s="1291">
        <v>15</v>
      </c>
      <c r="H504" s="1291">
        <v>3</v>
      </c>
      <c r="I504" s="1291">
        <v>6</v>
      </c>
      <c r="J504" s="1291">
        <v>11</v>
      </c>
      <c r="K504" s="1291">
        <v>1</v>
      </c>
      <c r="L504" s="2220" t="str">
        <f t="shared" si="21"/>
        <v>EspejismoIndetección Casi Imposible (240)</v>
      </c>
      <c r="M504" s="242"/>
      <c r="Z504" s="242"/>
    </row>
    <row r="505" spans="1:26" ht="12" customHeight="1" x14ac:dyDescent="0.2">
      <c r="A505" s="5889"/>
      <c r="B505" s="5887"/>
      <c r="C505" s="45" t="s">
        <v>3016</v>
      </c>
      <c r="D505" s="87" t="s">
        <v>3246</v>
      </c>
      <c r="E505" s="1291">
        <v>6</v>
      </c>
      <c r="F505" s="1292">
        <v>6</v>
      </c>
      <c r="G505" s="1291">
        <v>20</v>
      </c>
      <c r="H505" s="1291">
        <v>3</v>
      </c>
      <c r="I505" s="1291">
        <v>6</v>
      </c>
      <c r="J505" s="1291">
        <v>11</v>
      </c>
      <c r="K505" s="1291">
        <v>2</v>
      </c>
      <c r="L505" s="2220" t="str">
        <f t="shared" si="21"/>
        <v>EspejismoIndetección Imposible (280)</v>
      </c>
      <c r="M505" s="242"/>
      <c r="Z505" s="242"/>
    </row>
    <row r="506" spans="1:26" ht="12" customHeight="1" x14ac:dyDescent="0.2">
      <c r="A506" s="5889"/>
      <c r="B506" s="5887"/>
      <c r="C506" s="45" t="s">
        <v>3016</v>
      </c>
      <c r="D506" s="87" t="s">
        <v>3247</v>
      </c>
      <c r="E506" s="1291">
        <v>7</v>
      </c>
      <c r="F506" s="1292">
        <v>7</v>
      </c>
      <c r="G506" s="1291">
        <v>20</v>
      </c>
      <c r="H506" s="1291">
        <v>4</v>
      </c>
      <c r="I506" s="1291">
        <v>8</v>
      </c>
      <c r="J506" s="1291">
        <v>14</v>
      </c>
      <c r="K506" s="1291">
        <v>2</v>
      </c>
      <c r="L506" s="2220" t="str">
        <f t="shared" si="21"/>
        <v>EspejismoIndetección Inhumano (320)</v>
      </c>
      <c r="M506" s="242"/>
      <c r="Z506" s="242"/>
    </row>
    <row r="507" spans="1:26" ht="12" customHeight="1" x14ac:dyDescent="0.2">
      <c r="A507" s="5889"/>
      <c r="B507" s="5887"/>
      <c r="C507" s="45" t="s">
        <v>3016</v>
      </c>
      <c r="D507" s="87" t="s">
        <v>3248</v>
      </c>
      <c r="E507" s="1291">
        <v>8</v>
      </c>
      <c r="F507" s="1292">
        <v>8</v>
      </c>
      <c r="G507" s="1291">
        <v>30</v>
      </c>
      <c r="H507" s="1291">
        <v>4</v>
      </c>
      <c r="I507" s="1291">
        <v>8</v>
      </c>
      <c r="J507" s="1291">
        <v>14</v>
      </c>
      <c r="K507" s="1291">
        <v>3</v>
      </c>
      <c r="L507" s="2220" t="str">
        <f t="shared" si="21"/>
        <v>EspejismoIndetección Zen (440)</v>
      </c>
      <c r="M507" s="242"/>
      <c r="Z507" s="242"/>
    </row>
    <row r="508" spans="1:26" ht="12" customHeight="1" x14ac:dyDescent="0.2">
      <c r="A508" s="5889"/>
      <c r="B508" s="5887"/>
      <c r="C508" s="45" t="s">
        <v>3016</v>
      </c>
      <c r="D508" s="87" t="s">
        <v>3249</v>
      </c>
      <c r="E508" s="1291">
        <v>2</v>
      </c>
      <c r="F508" s="1292">
        <v>2</v>
      </c>
      <c r="G508" s="1291">
        <v>10</v>
      </c>
      <c r="H508" s="1291">
        <v>2</v>
      </c>
      <c r="I508" s="1291">
        <v>4</v>
      </c>
      <c r="J508" s="1291">
        <v>7</v>
      </c>
      <c r="K508" s="1291">
        <v>1</v>
      </c>
      <c r="L508" s="2220" t="str">
        <f t="shared" si="21"/>
        <v>EspejismoModificación de Aspecto</v>
      </c>
      <c r="M508" s="242"/>
      <c r="Z508" s="242"/>
    </row>
    <row r="509" spans="1:26" ht="12" customHeight="1" x14ac:dyDescent="0.2">
      <c r="A509" s="5889"/>
      <c r="B509" s="5887"/>
      <c r="C509" s="45" t="s">
        <v>3016</v>
      </c>
      <c r="D509" s="87" t="s">
        <v>9625</v>
      </c>
      <c r="E509" s="1291">
        <v>3</v>
      </c>
      <c r="F509" s="1292">
        <v>3</v>
      </c>
      <c r="G509" s="1291">
        <v>10</v>
      </c>
      <c r="H509" s="1291">
        <v>2</v>
      </c>
      <c r="I509" s="1291">
        <v>4</v>
      </c>
      <c r="J509" s="1291">
        <v>7</v>
      </c>
      <c r="K509" s="1291">
        <v>1</v>
      </c>
      <c r="L509" s="2220" t="str">
        <f t="shared" si="21"/>
        <v>EspejismoIlusión Fantasmal RP 140</v>
      </c>
      <c r="M509" s="242"/>
      <c r="Z509" s="242"/>
    </row>
    <row r="510" spans="1:26" ht="12" customHeight="1" x14ac:dyDescent="0.2">
      <c r="A510" s="5889"/>
      <c r="B510" s="5887"/>
      <c r="C510" s="45" t="s">
        <v>3016</v>
      </c>
      <c r="D510" s="87" t="s">
        <v>9626</v>
      </c>
      <c r="E510" s="1291">
        <v>4</v>
      </c>
      <c r="F510" s="1292">
        <v>4</v>
      </c>
      <c r="G510" s="1291">
        <v>15</v>
      </c>
      <c r="H510" s="1291">
        <v>3</v>
      </c>
      <c r="I510" s="1291">
        <v>6</v>
      </c>
      <c r="J510" s="1291">
        <v>11</v>
      </c>
      <c r="K510" s="1291">
        <v>1</v>
      </c>
      <c r="L510" s="2220" t="str">
        <f t="shared" si="21"/>
        <v>EspejismoIlusión Fantasmal RP 180</v>
      </c>
      <c r="M510" s="242"/>
      <c r="Z510" s="242"/>
    </row>
    <row r="511" spans="1:26" ht="12" customHeight="1" x14ac:dyDescent="0.2">
      <c r="A511" s="5889"/>
      <c r="B511" s="5887"/>
      <c r="C511" s="45" t="s">
        <v>3016</v>
      </c>
      <c r="D511" s="87" t="s">
        <v>9627</v>
      </c>
      <c r="E511" s="1291">
        <v>6</v>
      </c>
      <c r="F511" s="1292">
        <v>6</v>
      </c>
      <c r="G511" s="1291">
        <v>20</v>
      </c>
      <c r="H511" s="1291">
        <v>4</v>
      </c>
      <c r="I511" s="1291">
        <v>8</v>
      </c>
      <c r="J511" s="1291">
        <v>14</v>
      </c>
      <c r="K511" s="1291">
        <v>1</v>
      </c>
      <c r="L511" s="2220" t="str">
        <f t="shared" si="21"/>
        <v>EspejismoIlusión Fantasmal RP 240</v>
      </c>
      <c r="M511" s="242"/>
      <c r="Z511" s="242"/>
    </row>
    <row r="512" spans="1:26" ht="12" customHeight="1" x14ac:dyDescent="0.2">
      <c r="A512" s="5889"/>
      <c r="B512" s="5887"/>
      <c r="C512" s="45" t="s">
        <v>9489</v>
      </c>
      <c r="D512" s="87"/>
      <c r="E512" s="1291"/>
      <c r="F512" s="1292"/>
      <c r="G512" s="1291"/>
      <c r="H512" s="1291"/>
      <c r="I512" s="1291"/>
      <c r="J512" s="1291"/>
      <c r="K512" s="1291"/>
      <c r="L512" s="2220" t="str">
        <f t="shared" si="21"/>
        <v>&gt; ESCUDO DE ENERGÍA</v>
      </c>
      <c r="M512" s="242"/>
      <c r="Z512" s="242"/>
    </row>
    <row r="513" spans="1:26" ht="12" customHeight="1" x14ac:dyDescent="0.2">
      <c r="A513" s="5889"/>
      <c r="B513" s="5887"/>
      <c r="C513" s="45" t="s">
        <v>9490</v>
      </c>
      <c r="D513" s="87" t="s">
        <v>9471</v>
      </c>
      <c r="E513" s="1291">
        <v>2</v>
      </c>
      <c r="F513" s="1292">
        <v>4</v>
      </c>
      <c r="G513" s="1291">
        <v>5</v>
      </c>
      <c r="H513" s="1291">
        <v>1</v>
      </c>
      <c r="I513" s="1291">
        <v>2</v>
      </c>
      <c r="J513" s="1291">
        <v>4</v>
      </c>
      <c r="K513" s="1291">
        <v>1</v>
      </c>
      <c r="L513" s="2220" t="str">
        <f t="shared" si="21"/>
        <v>Escudo De Energía100 PV</v>
      </c>
      <c r="M513" s="242"/>
      <c r="Z513" s="242"/>
    </row>
    <row r="514" spans="1:26" ht="12" customHeight="1" x14ac:dyDescent="0.2">
      <c r="A514" s="5889"/>
      <c r="B514" s="5887"/>
      <c r="C514" s="45" t="s">
        <v>9490</v>
      </c>
      <c r="D514" s="87" t="s">
        <v>9472</v>
      </c>
      <c r="E514" s="1291">
        <v>3</v>
      </c>
      <c r="F514" s="1292">
        <v>5</v>
      </c>
      <c r="G514" s="1291">
        <v>5</v>
      </c>
      <c r="H514" s="1291">
        <v>1</v>
      </c>
      <c r="I514" s="1291">
        <v>2</v>
      </c>
      <c r="J514" s="1291">
        <v>4</v>
      </c>
      <c r="K514" s="1291">
        <v>1</v>
      </c>
      <c r="L514" s="2220" t="str">
        <f t="shared" si="21"/>
        <v>Escudo De Energía200 PV</v>
      </c>
      <c r="M514" s="242"/>
      <c r="Z514" s="242"/>
    </row>
    <row r="515" spans="1:26" ht="12" customHeight="1" x14ac:dyDescent="0.2">
      <c r="A515" s="5889"/>
      <c r="B515" s="5887"/>
      <c r="C515" s="45" t="s">
        <v>9490</v>
      </c>
      <c r="D515" s="87" t="s">
        <v>9473</v>
      </c>
      <c r="E515" s="1291">
        <v>4</v>
      </c>
      <c r="F515" s="1292">
        <v>6</v>
      </c>
      <c r="G515" s="1291">
        <v>10</v>
      </c>
      <c r="H515" s="1291">
        <v>2</v>
      </c>
      <c r="I515" s="1291">
        <v>4</v>
      </c>
      <c r="J515" s="1291">
        <v>7</v>
      </c>
      <c r="K515" s="1291">
        <v>1</v>
      </c>
      <c r="L515" s="2220" t="str">
        <f t="shared" si="21"/>
        <v>Escudo De Energía300 PV</v>
      </c>
      <c r="M515" s="242"/>
      <c r="Z515" s="242"/>
    </row>
    <row r="516" spans="1:26" ht="12" customHeight="1" x14ac:dyDescent="0.2">
      <c r="A516" s="5889"/>
      <c r="B516" s="5887"/>
      <c r="C516" s="45" t="s">
        <v>9490</v>
      </c>
      <c r="D516" s="87" t="s">
        <v>9474</v>
      </c>
      <c r="E516" s="1291">
        <v>5</v>
      </c>
      <c r="F516" s="1292">
        <v>8</v>
      </c>
      <c r="G516" s="1291">
        <v>15</v>
      </c>
      <c r="H516" s="1291">
        <v>3</v>
      </c>
      <c r="I516" s="1291">
        <v>6</v>
      </c>
      <c r="J516" s="1291">
        <v>11</v>
      </c>
      <c r="K516" s="1291">
        <v>1</v>
      </c>
      <c r="L516" s="2220" t="str">
        <f t="shared" si="21"/>
        <v>Escudo De Energía400 PV</v>
      </c>
      <c r="M516" s="242"/>
      <c r="Z516" s="242"/>
    </row>
    <row r="517" spans="1:26" ht="12" customHeight="1" x14ac:dyDescent="0.2">
      <c r="A517" s="5889"/>
      <c r="B517" s="5887"/>
      <c r="C517" s="45" t="s">
        <v>9490</v>
      </c>
      <c r="D517" s="87" t="s">
        <v>9491</v>
      </c>
      <c r="E517" s="1291">
        <v>8</v>
      </c>
      <c r="F517" s="1292">
        <v>11</v>
      </c>
      <c r="G517" s="1291">
        <v>20</v>
      </c>
      <c r="H517" s="1291">
        <v>4</v>
      </c>
      <c r="I517" s="1291">
        <v>8</v>
      </c>
      <c r="J517" s="1291">
        <v>14</v>
      </c>
      <c r="K517" s="1291">
        <v>1</v>
      </c>
      <c r="L517" s="2220" t="str">
        <f t="shared" si="21"/>
        <v>Escudo De Energía500 PV</v>
      </c>
      <c r="M517" s="242"/>
      <c r="Z517" s="242"/>
    </row>
    <row r="518" spans="1:26" ht="12" customHeight="1" x14ac:dyDescent="0.2">
      <c r="A518" s="5889"/>
      <c r="B518" s="5887"/>
      <c r="C518" s="45" t="s">
        <v>9490</v>
      </c>
      <c r="D518" s="87" t="s">
        <v>9476</v>
      </c>
      <c r="E518" s="1291">
        <v>12</v>
      </c>
      <c r="F518" s="1292">
        <v>15</v>
      </c>
      <c r="G518" s="1291">
        <v>25</v>
      </c>
      <c r="H518" s="1291">
        <v>5</v>
      </c>
      <c r="I518" s="1291">
        <v>10</v>
      </c>
      <c r="J518" s="1291">
        <v>18</v>
      </c>
      <c r="K518" s="1291">
        <v>2</v>
      </c>
      <c r="L518" s="2220" t="str">
        <f t="shared" si="21"/>
        <v>Escudo De Energía800 PV</v>
      </c>
      <c r="M518" s="242"/>
      <c r="Z518" s="242"/>
    </row>
    <row r="519" spans="1:26" ht="12" customHeight="1" x14ac:dyDescent="0.2">
      <c r="A519" s="5889"/>
      <c r="B519" s="5887"/>
      <c r="C519" s="45" t="s">
        <v>9490</v>
      </c>
      <c r="D519" s="87" t="s">
        <v>9477</v>
      </c>
      <c r="E519" s="1291">
        <v>14</v>
      </c>
      <c r="F519" s="1292">
        <v>18</v>
      </c>
      <c r="G519" s="1291">
        <v>30</v>
      </c>
      <c r="H519" s="1291">
        <v>8</v>
      </c>
      <c r="I519" s="1291">
        <v>16</v>
      </c>
      <c r="J519" s="1291">
        <v>28</v>
      </c>
      <c r="K519" s="1291">
        <v>2</v>
      </c>
      <c r="L519" s="2220" t="str">
        <f t="shared" si="21"/>
        <v>Escudo De Energía1.000 PV</v>
      </c>
      <c r="M519" s="242"/>
      <c r="Z519" s="242"/>
    </row>
    <row r="520" spans="1:26" ht="12" customHeight="1" x14ac:dyDescent="0.2">
      <c r="A520" s="5889"/>
      <c r="B520" s="5887"/>
      <c r="C520" s="45" t="s">
        <v>9490</v>
      </c>
      <c r="D520" s="87" t="s">
        <v>9492</v>
      </c>
      <c r="E520" s="1291">
        <v>18</v>
      </c>
      <c r="F520" s="1292">
        <v>22</v>
      </c>
      <c r="G520" s="1291">
        <v>35</v>
      </c>
      <c r="H520" s="1291">
        <v>10</v>
      </c>
      <c r="I520" s="1291">
        <v>20</v>
      </c>
      <c r="J520" s="1291">
        <v>35</v>
      </c>
      <c r="K520" s="1291">
        <v>2</v>
      </c>
      <c r="L520" s="2220" t="str">
        <f t="shared" si="21"/>
        <v>Escudo De Energía1.250 PV</v>
      </c>
      <c r="M520" s="242"/>
      <c r="Z520" s="242"/>
    </row>
    <row r="521" spans="1:26" ht="12" customHeight="1" x14ac:dyDescent="0.2">
      <c r="A521" s="5889"/>
      <c r="B521" s="5887"/>
      <c r="C521" s="45" t="s">
        <v>9490</v>
      </c>
      <c r="D521" s="87" t="s">
        <v>9479</v>
      </c>
      <c r="E521" s="1291">
        <v>22</v>
      </c>
      <c r="F521" s="1292">
        <v>26</v>
      </c>
      <c r="G521" s="1291">
        <v>40</v>
      </c>
      <c r="H521" s="1291">
        <v>12</v>
      </c>
      <c r="I521" s="1291">
        <v>24</v>
      </c>
      <c r="J521" s="1291">
        <v>42</v>
      </c>
      <c r="K521" s="1291">
        <v>3</v>
      </c>
      <c r="L521" s="2220" t="str">
        <f t="shared" ref="L521:L584" si="22">C521&amp;D521</f>
        <v>Escudo De Energía1.500 PV</v>
      </c>
      <c r="M521" s="242"/>
      <c r="Z521" s="242"/>
    </row>
    <row r="522" spans="1:26" ht="12" customHeight="1" x14ac:dyDescent="0.2">
      <c r="A522" s="5889"/>
      <c r="B522" s="5887"/>
      <c r="C522" s="45" t="s">
        <v>9490</v>
      </c>
      <c r="D522" s="87" t="s">
        <v>9493</v>
      </c>
      <c r="E522" s="1291">
        <v>26</v>
      </c>
      <c r="F522" s="1292">
        <v>32</v>
      </c>
      <c r="G522" s="1291">
        <v>45</v>
      </c>
      <c r="H522" s="1291">
        <v>14</v>
      </c>
      <c r="I522" s="1291">
        <v>28</v>
      </c>
      <c r="J522" s="1291">
        <v>49</v>
      </c>
      <c r="K522" s="1291">
        <v>3</v>
      </c>
      <c r="L522" s="2220" t="str">
        <f t="shared" si="22"/>
        <v>Escudo De Energía2.000 PV</v>
      </c>
      <c r="M522" s="242"/>
      <c r="Z522" s="242"/>
    </row>
    <row r="523" spans="1:26" ht="12" customHeight="1" x14ac:dyDescent="0.2">
      <c r="A523" s="5889"/>
      <c r="B523" s="5887"/>
      <c r="C523" s="45" t="s">
        <v>9490</v>
      </c>
      <c r="D523" s="87" t="s">
        <v>3238</v>
      </c>
      <c r="E523" s="1291">
        <v>1</v>
      </c>
      <c r="F523" s="1292">
        <v>1</v>
      </c>
      <c r="G523" s="1291">
        <v>5</v>
      </c>
      <c r="H523" s="1291">
        <v>1</v>
      </c>
      <c r="I523" s="1291">
        <v>2</v>
      </c>
      <c r="J523" s="1291">
        <v>4</v>
      </c>
      <c r="K523" s="1291"/>
      <c r="L523" s="2220" t="str">
        <f t="shared" si="22"/>
        <v>Escudo De EnergíaRegeneración 100</v>
      </c>
      <c r="M523" s="242"/>
      <c r="Z523" s="242"/>
    </row>
    <row r="524" spans="1:26" ht="12" customHeight="1" x14ac:dyDescent="0.2">
      <c r="A524" s="5889"/>
      <c r="B524" s="5887"/>
      <c r="C524" s="45" t="s">
        <v>9490</v>
      </c>
      <c r="D524" s="87" t="s">
        <v>3239</v>
      </c>
      <c r="E524" s="1291">
        <v>2</v>
      </c>
      <c r="F524" s="1292">
        <v>2</v>
      </c>
      <c r="G524" s="1291">
        <v>10</v>
      </c>
      <c r="H524" s="1291">
        <v>2</v>
      </c>
      <c r="I524" s="1291">
        <v>4</v>
      </c>
      <c r="J524" s="1291">
        <v>7</v>
      </c>
      <c r="K524" s="1291"/>
      <c r="L524" s="2220" t="str">
        <f t="shared" si="22"/>
        <v>Escudo De EnergíaRegeneración 250</v>
      </c>
      <c r="M524" s="242"/>
      <c r="Z524" s="242"/>
    </row>
    <row r="525" spans="1:26" ht="12" customHeight="1" x14ac:dyDescent="0.2">
      <c r="A525" s="5889"/>
      <c r="B525" s="5887"/>
      <c r="C525" s="45" t="s">
        <v>9490</v>
      </c>
      <c r="D525" s="87" t="s">
        <v>3240</v>
      </c>
      <c r="E525" s="1291">
        <v>4</v>
      </c>
      <c r="F525" s="1292">
        <v>4</v>
      </c>
      <c r="G525" s="1291">
        <v>15</v>
      </c>
      <c r="H525" s="1291">
        <v>3</v>
      </c>
      <c r="I525" s="1291">
        <v>6</v>
      </c>
      <c r="J525" s="1291">
        <v>11</v>
      </c>
      <c r="K525" s="1291"/>
      <c r="L525" s="2220" t="str">
        <f t="shared" si="22"/>
        <v>Escudo De EnergíaRegeneración 500</v>
      </c>
      <c r="M525" s="242"/>
      <c r="Z525" s="242"/>
    </row>
    <row r="526" spans="1:26" ht="12" customHeight="1" x14ac:dyDescent="0.2">
      <c r="A526" s="5889"/>
      <c r="B526" s="5887"/>
      <c r="C526" s="45" t="s">
        <v>9494</v>
      </c>
      <c r="D526" s="87"/>
      <c r="E526" s="1291"/>
      <c r="F526" s="1292"/>
      <c r="G526" s="1291"/>
      <c r="H526" s="1291"/>
      <c r="I526" s="1291"/>
      <c r="J526" s="1291"/>
      <c r="K526" s="1291"/>
      <c r="L526" s="2220" t="str">
        <f t="shared" si="22"/>
        <v>&gt; ESTADOS SOBRENATURALES</v>
      </c>
      <c r="M526" s="242"/>
      <c r="Z526" s="242"/>
    </row>
    <row r="527" spans="1:26" ht="12" customHeight="1" x14ac:dyDescent="0.2">
      <c r="A527" s="5889"/>
      <c r="B527" s="5887"/>
      <c r="C527" s="45" t="s">
        <v>9248</v>
      </c>
      <c r="D527" s="87" t="s">
        <v>9495</v>
      </c>
      <c r="E527" s="1291">
        <v>1</v>
      </c>
      <c r="F527" s="1292">
        <v>2</v>
      </c>
      <c r="G527" s="1291">
        <v>5</v>
      </c>
      <c r="H527" s="1291">
        <v>1</v>
      </c>
      <c r="I527" s="1291">
        <v>2</v>
      </c>
      <c r="J527" s="1291">
        <v>4</v>
      </c>
      <c r="K527" s="1291">
        <v>1</v>
      </c>
      <c r="L527" s="2220" t="str">
        <f t="shared" si="22"/>
        <v>Estados SobrenaturalesRF 40</v>
      </c>
      <c r="M527" s="242"/>
      <c r="Z527" s="242"/>
    </row>
    <row r="528" spans="1:26" ht="12" customHeight="1" x14ac:dyDescent="0.2">
      <c r="A528" s="5889"/>
      <c r="B528" s="5887"/>
      <c r="C528" s="45" t="s">
        <v>9248</v>
      </c>
      <c r="D528" s="87" t="s">
        <v>9496</v>
      </c>
      <c r="E528" s="1291">
        <v>2</v>
      </c>
      <c r="F528" s="1292">
        <v>4</v>
      </c>
      <c r="G528" s="1291">
        <v>5</v>
      </c>
      <c r="H528" s="1291">
        <v>1</v>
      </c>
      <c r="I528" s="1291">
        <v>2</v>
      </c>
      <c r="J528" s="1291">
        <v>4</v>
      </c>
      <c r="K528" s="1291">
        <v>1</v>
      </c>
      <c r="L528" s="2220" t="str">
        <f t="shared" si="22"/>
        <v>Estados SobrenaturalesRF 60</v>
      </c>
      <c r="M528" s="242"/>
      <c r="Z528" s="242"/>
    </row>
    <row r="529" spans="1:26" ht="12" customHeight="1" x14ac:dyDescent="0.2">
      <c r="A529" s="5889"/>
      <c r="B529" s="5887"/>
      <c r="C529" s="45" t="s">
        <v>9248</v>
      </c>
      <c r="D529" s="87" t="s">
        <v>9497</v>
      </c>
      <c r="E529" s="1291">
        <v>3</v>
      </c>
      <c r="F529" s="1292">
        <v>5</v>
      </c>
      <c r="G529" s="1291">
        <v>10</v>
      </c>
      <c r="H529" s="1291">
        <v>2</v>
      </c>
      <c r="I529" s="1291">
        <v>4</v>
      </c>
      <c r="J529" s="1291">
        <v>7</v>
      </c>
      <c r="K529" s="1291">
        <v>1</v>
      </c>
      <c r="L529" s="2220" t="str">
        <f t="shared" si="22"/>
        <v>Estados SobrenaturalesRF 80</v>
      </c>
      <c r="M529" s="242"/>
      <c r="Z529" s="242"/>
    </row>
    <row r="530" spans="1:26" ht="12" customHeight="1" x14ac:dyDescent="0.2">
      <c r="A530" s="5889"/>
      <c r="B530" s="5887"/>
      <c r="C530" s="45" t="s">
        <v>9248</v>
      </c>
      <c r="D530" s="87" t="s">
        <v>9498</v>
      </c>
      <c r="E530" s="1291">
        <v>5</v>
      </c>
      <c r="F530" s="1292">
        <v>8</v>
      </c>
      <c r="G530" s="1291">
        <v>15</v>
      </c>
      <c r="H530" s="1291">
        <v>3</v>
      </c>
      <c r="I530" s="1291">
        <v>6</v>
      </c>
      <c r="J530" s="1291">
        <v>11</v>
      </c>
      <c r="K530" s="1291">
        <v>1</v>
      </c>
      <c r="L530" s="2220" t="str">
        <f t="shared" si="22"/>
        <v>Estados SobrenaturalesRF 100</v>
      </c>
      <c r="M530" s="242"/>
      <c r="Z530" s="242"/>
    </row>
    <row r="531" spans="1:26" ht="12" customHeight="1" x14ac:dyDescent="0.2">
      <c r="A531" s="5889"/>
      <c r="B531" s="5887"/>
      <c r="C531" s="45" t="s">
        <v>9248</v>
      </c>
      <c r="D531" s="87" t="s">
        <v>9499</v>
      </c>
      <c r="E531" s="1291">
        <v>6</v>
      </c>
      <c r="F531" s="1292">
        <v>9</v>
      </c>
      <c r="G531" s="1291">
        <v>20</v>
      </c>
      <c r="H531" s="1291">
        <v>4</v>
      </c>
      <c r="I531" s="1291">
        <v>8</v>
      </c>
      <c r="J531" s="1291">
        <v>14</v>
      </c>
      <c r="K531" s="1291">
        <v>1</v>
      </c>
      <c r="L531" s="2220" t="str">
        <f t="shared" si="22"/>
        <v>Estados SobrenaturalesRF 120</v>
      </c>
      <c r="M531" s="242"/>
      <c r="Z531" s="242"/>
    </row>
    <row r="532" spans="1:26" ht="12" customHeight="1" x14ac:dyDescent="0.2">
      <c r="A532" s="5889"/>
      <c r="B532" s="5887"/>
      <c r="C532" s="45" t="s">
        <v>9248</v>
      </c>
      <c r="D532" s="87" t="s">
        <v>9500</v>
      </c>
      <c r="E532" s="1291">
        <v>8</v>
      </c>
      <c r="F532" s="1292">
        <v>11</v>
      </c>
      <c r="G532" s="1291">
        <v>20</v>
      </c>
      <c r="H532" s="1291">
        <v>5</v>
      </c>
      <c r="I532" s="1291">
        <v>10</v>
      </c>
      <c r="J532" s="1291">
        <v>18</v>
      </c>
      <c r="K532" s="1291">
        <v>2</v>
      </c>
      <c r="L532" s="2220" t="str">
        <f t="shared" si="22"/>
        <v>Estados SobrenaturalesRF 140</v>
      </c>
      <c r="M532" s="242"/>
      <c r="Z532" s="242"/>
    </row>
    <row r="533" spans="1:26" ht="12" customHeight="1" x14ac:dyDescent="0.2">
      <c r="A533" s="5889"/>
      <c r="B533" s="5887"/>
      <c r="C533" s="45" t="s">
        <v>9248</v>
      </c>
      <c r="D533" s="87" t="s">
        <v>9501</v>
      </c>
      <c r="E533" s="1291">
        <v>14</v>
      </c>
      <c r="F533" s="1292">
        <v>18</v>
      </c>
      <c r="G533" s="1291">
        <v>35</v>
      </c>
      <c r="H533" s="1291">
        <v>6</v>
      </c>
      <c r="I533" s="1291">
        <v>12</v>
      </c>
      <c r="J533" s="1291">
        <v>21</v>
      </c>
      <c r="K533" s="1291">
        <v>2</v>
      </c>
      <c r="L533" s="2220" t="str">
        <f t="shared" si="22"/>
        <v>Estados SobrenaturalesRF 160</v>
      </c>
      <c r="M533" s="242"/>
      <c r="Z533" s="242"/>
    </row>
    <row r="534" spans="1:26" ht="12" customHeight="1" x14ac:dyDescent="0.2">
      <c r="A534" s="5889"/>
      <c r="B534" s="5887"/>
      <c r="C534" s="45" t="s">
        <v>9248</v>
      </c>
      <c r="D534" s="87" t="s">
        <v>9502</v>
      </c>
      <c r="E534" s="1291">
        <v>20</v>
      </c>
      <c r="F534" s="1292">
        <v>24</v>
      </c>
      <c r="G534" s="1291">
        <v>50</v>
      </c>
      <c r="H534" s="1291">
        <v>8</v>
      </c>
      <c r="I534" s="1291">
        <v>16</v>
      </c>
      <c r="J534" s="1291">
        <v>28</v>
      </c>
      <c r="K534" s="1291">
        <v>3</v>
      </c>
      <c r="L534" s="2220" t="str">
        <f t="shared" si="22"/>
        <v>Estados SobrenaturalesRF 180</v>
      </c>
      <c r="M534" s="242"/>
      <c r="Z534" s="242"/>
    </row>
    <row r="535" spans="1:26" ht="12" customHeight="1" x14ac:dyDescent="0.2">
      <c r="A535" s="5889"/>
      <c r="B535" s="5887"/>
      <c r="C535" s="45" t="s">
        <v>9248</v>
      </c>
      <c r="D535" s="87" t="s">
        <v>9503</v>
      </c>
      <c r="E535" s="1291">
        <v>28</v>
      </c>
      <c r="F535" s="1292">
        <v>32</v>
      </c>
      <c r="G535" s="1291">
        <v>80</v>
      </c>
      <c r="H535" s="1291">
        <v>10</v>
      </c>
      <c r="I535" s="1291">
        <v>20</v>
      </c>
      <c r="J535" s="1291">
        <v>35</v>
      </c>
      <c r="K535" s="1291">
        <v>3</v>
      </c>
      <c r="L535" s="2220" t="str">
        <f t="shared" si="22"/>
        <v>Estados SobrenaturalesRF 200</v>
      </c>
      <c r="M535" s="242"/>
      <c r="Z535" s="242"/>
    </row>
    <row r="536" spans="1:26" ht="12" customHeight="1" x14ac:dyDescent="0.2">
      <c r="A536" s="5889"/>
      <c r="B536" s="5887"/>
      <c r="C536" s="45" t="s">
        <v>9248</v>
      </c>
      <c r="D536" s="87" t="s">
        <v>8759</v>
      </c>
      <c r="E536" s="1291">
        <v>6</v>
      </c>
      <c r="F536" s="1292">
        <v>6</v>
      </c>
      <c r="G536" s="1291">
        <v>15</v>
      </c>
      <c r="H536" s="1291"/>
      <c r="I536" s="1291"/>
      <c r="J536" s="1291"/>
      <c r="K536" s="1291">
        <v>1</v>
      </c>
      <c r="L536" s="2220" t="str">
        <f t="shared" si="22"/>
        <v>Estados SobrenaturalesEstado añadido: Ceguera</v>
      </c>
      <c r="M536" s="242"/>
      <c r="Z536" s="242"/>
    </row>
    <row r="537" spans="1:26" ht="12" customHeight="1" x14ac:dyDescent="0.2">
      <c r="A537" s="5889"/>
      <c r="B537" s="5887"/>
      <c r="C537" s="45" t="s">
        <v>9248</v>
      </c>
      <c r="D537" s="87" t="s">
        <v>8760</v>
      </c>
      <c r="E537" s="1291">
        <v>14</v>
      </c>
      <c r="F537" s="1292">
        <v>14</v>
      </c>
      <c r="G537" s="1291">
        <v>40</v>
      </c>
      <c r="H537" s="1291"/>
      <c r="I537" s="1291"/>
      <c r="J537" s="1291"/>
      <c r="K537" s="1291">
        <v>2</v>
      </c>
      <c r="L537" s="2220" t="str">
        <f t="shared" si="22"/>
        <v>Estados SobrenaturalesEstado añadido: Coma</v>
      </c>
      <c r="M537" s="242"/>
      <c r="Z537" s="242"/>
    </row>
    <row r="538" spans="1:26" ht="12" customHeight="1" x14ac:dyDescent="0.2">
      <c r="A538" s="5889"/>
      <c r="B538" s="5887"/>
      <c r="C538" s="45" t="s">
        <v>9248</v>
      </c>
      <c r="D538" s="87" t="s">
        <v>8761</v>
      </c>
      <c r="E538" s="1291">
        <v>14</v>
      </c>
      <c r="F538" s="1292">
        <v>14</v>
      </c>
      <c r="G538" s="1291">
        <v>40</v>
      </c>
      <c r="H538" s="1291"/>
      <c r="I538" s="1291"/>
      <c r="J538" s="1291"/>
      <c r="K538" s="1291">
        <v>2</v>
      </c>
      <c r="L538" s="2220" t="str">
        <f t="shared" si="22"/>
        <v>Estados SobrenaturalesEstado añadido: Control</v>
      </c>
      <c r="M538" s="242"/>
      <c r="Z538" s="242"/>
    </row>
    <row r="539" spans="1:26" ht="12" customHeight="1" x14ac:dyDescent="0.2">
      <c r="A539" s="5889"/>
      <c r="B539" s="5887"/>
      <c r="C539" s="45" t="s">
        <v>9248</v>
      </c>
      <c r="D539" s="87" t="s">
        <v>8762</v>
      </c>
      <c r="E539" s="1291">
        <v>1</v>
      </c>
      <c r="F539" s="1292">
        <v>1</v>
      </c>
      <c r="G539" s="1291">
        <v>5</v>
      </c>
      <c r="H539" s="1291"/>
      <c r="I539" s="1291"/>
      <c r="J539" s="1291"/>
      <c r="K539" s="1291">
        <v>1</v>
      </c>
      <c r="L539" s="2220" t="str">
        <f t="shared" si="22"/>
        <v>Estados SobrenaturalesEstado añadido: Daño</v>
      </c>
      <c r="M539" s="242"/>
      <c r="Z539" s="242"/>
    </row>
    <row r="540" spans="1:26" ht="12" customHeight="1" x14ac:dyDescent="0.2">
      <c r="A540" s="5889"/>
      <c r="B540" s="5887"/>
      <c r="C540" s="45" t="s">
        <v>9248</v>
      </c>
      <c r="D540" s="87" t="s">
        <v>8763</v>
      </c>
      <c r="E540" s="1291">
        <v>5</v>
      </c>
      <c r="F540" s="1292">
        <v>5</v>
      </c>
      <c r="G540" s="1291">
        <v>10</v>
      </c>
      <c r="H540" s="1291"/>
      <c r="I540" s="1291"/>
      <c r="J540" s="1291"/>
      <c r="K540" s="1291">
        <v>1</v>
      </c>
      <c r="L540" s="2220" t="str">
        <f t="shared" si="22"/>
        <v>Estados SobrenaturalesEstado añadido: Doble Daño</v>
      </c>
      <c r="M540" s="242"/>
      <c r="Z540" s="242"/>
    </row>
    <row r="541" spans="1:26" ht="12" customHeight="1" x14ac:dyDescent="0.2">
      <c r="A541" s="5889"/>
      <c r="B541" s="5887"/>
      <c r="C541" s="45" t="s">
        <v>9248</v>
      </c>
      <c r="D541" s="87" t="s">
        <v>8764</v>
      </c>
      <c r="E541" s="1291">
        <v>3</v>
      </c>
      <c r="F541" s="1292">
        <v>3</v>
      </c>
      <c r="G541" s="1291">
        <v>10</v>
      </c>
      <c r="H541" s="1291"/>
      <c r="I541" s="1291"/>
      <c r="J541" s="1291"/>
      <c r="K541" s="1291">
        <v>1</v>
      </c>
      <c r="L541" s="2220" t="str">
        <f t="shared" si="22"/>
        <v>Estados SobrenaturalesEstado añadido: Dolor</v>
      </c>
      <c r="M541" s="242"/>
      <c r="Z541" s="242"/>
    </row>
    <row r="542" spans="1:26" ht="12" customHeight="1" x14ac:dyDescent="0.2">
      <c r="A542" s="5889"/>
      <c r="B542" s="5887"/>
      <c r="C542" s="45" t="s">
        <v>9248</v>
      </c>
      <c r="D542" s="87" t="s">
        <v>8765</v>
      </c>
      <c r="E542" s="1291">
        <v>6</v>
      </c>
      <c r="F542" s="1292">
        <v>6</v>
      </c>
      <c r="G542" s="1291">
        <v>15</v>
      </c>
      <c r="H542" s="1291"/>
      <c r="I542" s="1291"/>
      <c r="J542" s="1291"/>
      <c r="K542" s="1291">
        <v>1</v>
      </c>
      <c r="L542" s="2220" t="str">
        <f t="shared" si="22"/>
        <v>Estados SobrenaturalesEstado añadido: Dolor Extremo</v>
      </c>
      <c r="M542" s="242"/>
      <c r="Z542" s="242"/>
    </row>
    <row r="543" spans="1:26" ht="12" customHeight="1" x14ac:dyDescent="0.2">
      <c r="A543" s="5889"/>
      <c r="B543" s="5887"/>
      <c r="C543" s="45" t="s">
        <v>9248</v>
      </c>
      <c r="D543" s="87" t="s">
        <v>8766</v>
      </c>
      <c r="E543" s="1291">
        <v>8</v>
      </c>
      <c r="F543" s="1292">
        <v>8</v>
      </c>
      <c r="G543" s="1291">
        <v>15</v>
      </c>
      <c r="H543" s="1291"/>
      <c r="I543" s="1291"/>
      <c r="J543" s="1291"/>
      <c r="K543" s="1291">
        <v>2</v>
      </c>
      <c r="L543" s="2220" t="str">
        <f t="shared" si="22"/>
        <v>Estados SobrenaturalesEstado añadido: Drenaje de Vida</v>
      </c>
      <c r="M543" s="242"/>
      <c r="Z543" s="242"/>
    </row>
    <row r="544" spans="1:26" ht="12" customHeight="1" x14ac:dyDescent="0.2">
      <c r="A544" s="5889"/>
      <c r="B544" s="5887"/>
      <c r="C544" s="45" t="s">
        <v>9248</v>
      </c>
      <c r="D544" s="87" t="s">
        <v>8767</v>
      </c>
      <c r="E544" s="1291">
        <v>8</v>
      </c>
      <c r="F544" s="1292">
        <v>8</v>
      </c>
      <c r="G544" s="1291">
        <v>20</v>
      </c>
      <c r="H544" s="1291"/>
      <c r="I544" s="1291"/>
      <c r="J544" s="1291"/>
      <c r="K544" s="1291">
        <v>1</v>
      </c>
      <c r="L544" s="2220" t="str">
        <f t="shared" si="22"/>
        <v>Estados SobrenaturalesEstado añadido: Drenaje de Ki</v>
      </c>
      <c r="M544" s="242"/>
      <c r="Z544" s="242"/>
    </row>
    <row r="545" spans="1:26" ht="12" customHeight="1" x14ac:dyDescent="0.2">
      <c r="A545" s="5889"/>
      <c r="B545" s="5887"/>
      <c r="C545" s="45" t="s">
        <v>9248</v>
      </c>
      <c r="D545" s="87" t="s">
        <v>8768</v>
      </c>
      <c r="E545" s="1291">
        <v>6</v>
      </c>
      <c r="F545" s="1292">
        <v>6</v>
      </c>
      <c r="G545" s="1291">
        <v>10</v>
      </c>
      <c r="H545" s="1291"/>
      <c r="I545" s="1291"/>
      <c r="J545" s="1291"/>
      <c r="K545" s="1291">
        <v>1</v>
      </c>
      <c r="L545" s="2220" t="str">
        <f t="shared" si="22"/>
        <v>Estados SobrenaturalesEstado añadido: Fascinación</v>
      </c>
      <c r="M545" s="242"/>
      <c r="Z545" s="242"/>
    </row>
    <row r="546" spans="1:26" ht="12" customHeight="1" x14ac:dyDescent="0.2">
      <c r="A546" s="5889"/>
      <c r="B546" s="5887"/>
      <c r="C546" s="45" t="s">
        <v>9248</v>
      </c>
      <c r="D546" s="87" t="s">
        <v>8769</v>
      </c>
      <c r="E546" s="1291">
        <v>7</v>
      </c>
      <c r="F546" s="1292">
        <v>7</v>
      </c>
      <c r="G546" s="1291">
        <v>10</v>
      </c>
      <c r="H546" s="1291"/>
      <c r="I546" s="1291"/>
      <c r="J546" s="1291"/>
      <c r="K546" s="1291">
        <v>1</v>
      </c>
      <c r="L546" s="2220" t="str">
        <f t="shared" si="22"/>
        <v>Estados SobrenaturalesEstado añadido: Ilusión</v>
      </c>
      <c r="M546" s="242"/>
      <c r="Z546" s="242"/>
    </row>
    <row r="547" spans="1:26" ht="12" customHeight="1" x14ac:dyDescent="0.2">
      <c r="A547" s="5889"/>
      <c r="B547" s="5887"/>
      <c r="C547" s="45" t="s">
        <v>9248</v>
      </c>
      <c r="D547" s="87" t="s">
        <v>8770</v>
      </c>
      <c r="E547" s="1291">
        <v>11</v>
      </c>
      <c r="F547" s="1292">
        <v>11</v>
      </c>
      <c r="G547" s="1291">
        <v>20</v>
      </c>
      <c r="H547" s="1291"/>
      <c r="I547" s="1291"/>
      <c r="J547" s="1291"/>
      <c r="K547" s="1291">
        <v>1</v>
      </c>
      <c r="L547" s="2220" t="str">
        <f t="shared" si="22"/>
        <v>Estados SobrenaturalesEstado añadido: Ilusión Fantasmal</v>
      </c>
      <c r="M547" s="242"/>
      <c r="Z547" s="242"/>
    </row>
    <row r="548" spans="1:26" ht="12" customHeight="1" x14ac:dyDescent="0.2">
      <c r="A548" s="5889"/>
      <c r="B548" s="5887"/>
      <c r="C548" s="45" t="s">
        <v>9248</v>
      </c>
      <c r="D548" s="87" t="s">
        <v>8771</v>
      </c>
      <c r="E548" s="1291">
        <v>9</v>
      </c>
      <c r="F548" s="1292">
        <v>9</v>
      </c>
      <c r="G548" s="1291">
        <v>15</v>
      </c>
      <c r="H548" s="1291"/>
      <c r="I548" s="1291"/>
      <c r="J548" s="1291"/>
      <c r="K548" s="1291">
        <v>1</v>
      </c>
      <c r="L548" s="2220" t="str">
        <f t="shared" si="22"/>
        <v>Estados SobrenaturalesEstado añadido: Ilusión Mayor</v>
      </c>
      <c r="M548" s="242"/>
      <c r="Z548" s="242"/>
    </row>
    <row r="549" spans="1:26" ht="12" customHeight="1" x14ac:dyDescent="0.2">
      <c r="A549" s="5889"/>
      <c r="B549" s="5887"/>
      <c r="C549" s="45" t="s">
        <v>9248</v>
      </c>
      <c r="D549" s="87" t="s">
        <v>8772</v>
      </c>
      <c r="E549" s="1291">
        <v>12</v>
      </c>
      <c r="F549" s="1292">
        <v>12</v>
      </c>
      <c r="G549" s="1291">
        <v>35</v>
      </c>
      <c r="H549" s="1291"/>
      <c r="I549" s="1291"/>
      <c r="J549" s="1291"/>
      <c r="K549" s="1291">
        <v>2</v>
      </c>
      <c r="L549" s="2220" t="str">
        <f t="shared" si="22"/>
        <v>Estados SobrenaturalesEstado añadido: Inconsciencia</v>
      </c>
      <c r="M549" s="242"/>
      <c r="Z549" s="242"/>
    </row>
    <row r="550" spans="1:26" ht="12" customHeight="1" x14ac:dyDescent="0.2">
      <c r="A550" s="5889"/>
      <c r="B550" s="5887"/>
      <c r="C550" s="45" t="s">
        <v>9248</v>
      </c>
      <c r="D550" s="87" t="s">
        <v>8773</v>
      </c>
      <c r="E550" s="1291">
        <v>3</v>
      </c>
      <c r="F550" s="1292">
        <v>3</v>
      </c>
      <c r="G550" s="1291">
        <v>10</v>
      </c>
      <c r="H550" s="1291"/>
      <c r="I550" s="1291"/>
      <c r="J550" s="1291"/>
      <c r="K550" s="1291">
        <v>1</v>
      </c>
      <c r="L550" s="2220" t="str">
        <f t="shared" si="22"/>
        <v>Estados SobrenaturalesEstado añadido: Miedo</v>
      </c>
      <c r="M550" s="242"/>
      <c r="Z550" s="242"/>
    </row>
    <row r="551" spans="1:26" ht="12" customHeight="1" x14ac:dyDescent="0.2">
      <c r="A551" s="5889"/>
      <c r="B551" s="5887"/>
      <c r="C551" s="45" t="s">
        <v>9248</v>
      </c>
      <c r="D551" s="87" t="s">
        <v>8774</v>
      </c>
      <c r="E551" s="1291">
        <v>20</v>
      </c>
      <c r="F551" s="1292">
        <v>20</v>
      </c>
      <c r="G551" s="1291">
        <v>50</v>
      </c>
      <c r="H551" s="1291"/>
      <c r="I551" s="1291"/>
      <c r="J551" s="1291"/>
      <c r="K551" s="1291">
        <v>3</v>
      </c>
      <c r="L551" s="2220" t="str">
        <f t="shared" si="22"/>
        <v>Estados SobrenaturalesEstado añadido: Muerte</v>
      </c>
      <c r="M551" s="242"/>
      <c r="Z551" s="242"/>
    </row>
    <row r="552" spans="1:26" ht="12" customHeight="1" x14ac:dyDescent="0.2">
      <c r="A552" s="5889"/>
      <c r="B552" s="5887"/>
      <c r="C552" s="45" t="s">
        <v>9248</v>
      </c>
      <c r="D552" s="87" t="s">
        <v>8775</v>
      </c>
      <c r="E552" s="1291">
        <v>6</v>
      </c>
      <c r="F552" s="1292">
        <v>6</v>
      </c>
      <c r="G552" s="1291">
        <v>10</v>
      </c>
      <c r="H552" s="1291"/>
      <c r="I552" s="1291"/>
      <c r="J552" s="1291"/>
      <c r="K552" s="1291">
        <v>1</v>
      </c>
      <c r="L552" s="2220" t="str">
        <f t="shared" si="22"/>
        <v>Estados SobrenaturalesEstado añadido: Paralización Parcial</v>
      </c>
      <c r="M552" s="242"/>
      <c r="Z552" s="242"/>
    </row>
    <row r="553" spans="1:26" ht="12" customHeight="1" x14ac:dyDescent="0.2">
      <c r="A553" s="5889"/>
      <c r="B553" s="5887"/>
      <c r="C553" s="45" t="s">
        <v>9248</v>
      </c>
      <c r="D553" s="87" t="s">
        <v>8776</v>
      </c>
      <c r="E553" s="1291">
        <v>12</v>
      </c>
      <c r="F553" s="1292">
        <v>12</v>
      </c>
      <c r="G553" s="1291">
        <v>20</v>
      </c>
      <c r="H553" s="1291"/>
      <c r="I553" s="1291"/>
      <c r="J553" s="1291"/>
      <c r="K553" s="1291">
        <v>2</v>
      </c>
      <c r="L553" s="2220" t="str">
        <f t="shared" si="22"/>
        <v>Estados SobrenaturalesEstado añadido: Paralización Total</v>
      </c>
      <c r="M553" s="242"/>
      <c r="Z553" s="242"/>
    </row>
    <row r="554" spans="1:26" ht="12" customHeight="1" x14ac:dyDescent="0.2">
      <c r="A554" s="5889"/>
      <c r="B554" s="5887"/>
      <c r="C554" s="45" t="s">
        <v>9248</v>
      </c>
      <c r="D554" s="87" t="s">
        <v>9504</v>
      </c>
      <c r="E554" s="1291">
        <v>4</v>
      </c>
      <c r="F554" s="1292">
        <v>4</v>
      </c>
      <c r="G554" s="1291">
        <v>5</v>
      </c>
      <c r="H554" s="1291"/>
      <c r="I554" s="1291"/>
      <c r="J554" s="1291"/>
      <c r="K554" s="1291">
        <v>1</v>
      </c>
      <c r="L554" s="2220" t="str">
        <f t="shared" si="22"/>
        <v>Estados SobrenaturalesEstado añadido: Pen. a la Acción Mayor</v>
      </c>
      <c r="M554" s="242"/>
      <c r="Z554" s="242"/>
    </row>
    <row r="555" spans="1:26" ht="12" customHeight="1" x14ac:dyDescent="0.2">
      <c r="A555" s="5889"/>
      <c r="B555" s="5887"/>
      <c r="C555" s="45" t="s">
        <v>9248</v>
      </c>
      <c r="D555" s="87" t="s">
        <v>9505</v>
      </c>
      <c r="E555" s="1291">
        <v>1</v>
      </c>
      <c r="F555" s="1292">
        <v>1</v>
      </c>
      <c r="G555" s="1291">
        <v>5</v>
      </c>
      <c r="H555" s="1291"/>
      <c r="I555" s="1291"/>
      <c r="J555" s="1291"/>
      <c r="K555" s="1291">
        <v>1</v>
      </c>
      <c r="L555" s="2220" t="str">
        <f t="shared" si="22"/>
        <v>Estados SobrenaturalesEstado añadido: Pen. a la Acción Menor</v>
      </c>
      <c r="M555" s="242"/>
      <c r="Z555" s="242"/>
    </row>
    <row r="556" spans="1:26" ht="12" customHeight="1" x14ac:dyDescent="0.2">
      <c r="A556" s="5889"/>
      <c r="B556" s="5887"/>
      <c r="C556" s="45" t="s">
        <v>9248</v>
      </c>
      <c r="D556" s="87" t="s">
        <v>9506</v>
      </c>
      <c r="E556" s="1291">
        <v>5</v>
      </c>
      <c r="F556" s="1292">
        <v>5</v>
      </c>
      <c r="G556" s="1291">
        <v>15</v>
      </c>
      <c r="H556" s="1291"/>
      <c r="I556" s="1291"/>
      <c r="J556" s="1291"/>
      <c r="K556" s="1291">
        <v>1</v>
      </c>
      <c r="L556" s="2220" t="str">
        <f t="shared" si="22"/>
        <v>Estados SobrenaturalesEstado añadido: Reducción de Car.</v>
      </c>
      <c r="M556" s="242"/>
      <c r="Z556" s="242"/>
    </row>
    <row r="557" spans="1:26" ht="12" customHeight="1" x14ac:dyDescent="0.2">
      <c r="A557" s="5889"/>
      <c r="B557" s="5887"/>
      <c r="C557" s="45" t="s">
        <v>9248</v>
      </c>
      <c r="D557" s="87" t="s">
        <v>9507</v>
      </c>
      <c r="E557" s="1291">
        <v>2</v>
      </c>
      <c r="F557" s="1292">
        <v>2</v>
      </c>
      <c r="G557" s="1291">
        <v>10</v>
      </c>
      <c r="H557" s="1291"/>
      <c r="I557" s="1291"/>
      <c r="J557" s="1291"/>
      <c r="K557" s="1291">
        <v>1</v>
      </c>
      <c r="L557" s="2220" t="str">
        <f t="shared" si="22"/>
        <v>Estados SobrenaturalesEstado añadido: Reducción de una Car.</v>
      </c>
      <c r="M557" s="242"/>
      <c r="Z557" s="242"/>
    </row>
    <row r="558" spans="1:26" ht="12" customHeight="1" x14ac:dyDescent="0.2">
      <c r="A558" s="5889"/>
      <c r="B558" s="5887"/>
      <c r="C558" s="45" t="s">
        <v>9248</v>
      </c>
      <c r="D558" s="87" t="s">
        <v>8777</v>
      </c>
      <c r="E558" s="1291">
        <v>2</v>
      </c>
      <c r="F558" s="1292">
        <v>2</v>
      </c>
      <c r="G558" s="1291">
        <v>10</v>
      </c>
      <c r="H558" s="1291"/>
      <c r="I558" s="1291"/>
      <c r="J558" s="1291"/>
      <c r="K558" s="1291">
        <v>1</v>
      </c>
      <c r="L558" s="2220" t="str">
        <f t="shared" si="22"/>
        <v>Estados SobrenaturalesEstado añadido: Reducción de RF</v>
      </c>
      <c r="M558" s="242"/>
      <c r="Z558" s="242"/>
    </row>
    <row r="559" spans="1:26" ht="12" customHeight="1" x14ac:dyDescent="0.2">
      <c r="A559" s="5889"/>
      <c r="B559" s="5887"/>
      <c r="C559" s="45" t="s">
        <v>9248</v>
      </c>
      <c r="D559" s="87" t="s">
        <v>8778</v>
      </c>
      <c r="E559" s="1291">
        <v>2</v>
      </c>
      <c r="F559" s="1292">
        <v>2</v>
      </c>
      <c r="G559" s="1291">
        <v>10</v>
      </c>
      <c r="H559" s="1291"/>
      <c r="I559" s="1291"/>
      <c r="J559" s="1291"/>
      <c r="K559" s="1291">
        <v>1</v>
      </c>
      <c r="L559" s="2220" t="str">
        <f t="shared" si="22"/>
        <v>Estados SobrenaturalesEstado añadido: Reducción de RP</v>
      </c>
      <c r="M559" s="242"/>
      <c r="Z559" s="242"/>
    </row>
    <row r="560" spans="1:26" ht="12" customHeight="1" x14ac:dyDescent="0.2">
      <c r="A560" s="5889"/>
      <c r="B560" s="5887"/>
      <c r="C560" s="45" t="s">
        <v>9248</v>
      </c>
      <c r="D560" s="87" t="s">
        <v>8779</v>
      </c>
      <c r="E560" s="1291">
        <v>6</v>
      </c>
      <c r="F560" s="1292">
        <v>6</v>
      </c>
      <c r="G560" s="1291">
        <v>15</v>
      </c>
      <c r="H560" s="1291"/>
      <c r="I560" s="1291"/>
      <c r="J560" s="1291"/>
      <c r="K560" s="1291">
        <v>1</v>
      </c>
      <c r="L560" s="2220" t="str">
        <f t="shared" si="22"/>
        <v>Estados SobrenaturalesEstado añadido: Terror</v>
      </c>
      <c r="M560" s="242"/>
      <c r="Z560" s="242"/>
    </row>
    <row r="561" spans="1:26" ht="12" customHeight="1" x14ac:dyDescent="0.2">
      <c r="A561" s="5889"/>
      <c r="B561" s="5887"/>
      <c r="C561" s="45" t="s">
        <v>9248</v>
      </c>
      <c r="D561" s="87" t="s">
        <v>9508</v>
      </c>
      <c r="E561" s="1291">
        <v>0</v>
      </c>
      <c r="F561" s="1292">
        <v>0</v>
      </c>
      <c r="G561" s="1291">
        <v>0</v>
      </c>
      <c r="H561" s="1291"/>
      <c r="I561" s="1291"/>
      <c r="J561" s="1291"/>
      <c r="K561" s="1291">
        <v>1</v>
      </c>
      <c r="L561" s="2220" t="str">
        <f t="shared" si="22"/>
        <v>Estados SobrenaturalesCondición: Conseguir dar un ataque</v>
      </c>
      <c r="M561" s="242"/>
      <c r="Z561" s="242"/>
    </row>
    <row r="562" spans="1:26" ht="12" customHeight="1" x14ac:dyDescent="0.2">
      <c r="A562" s="5889"/>
      <c r="B562" s="5887"/>
      <c r="C562" s="45" t="s">
        <v>9248</v>
      </c>
      <c r="D562" s="87" t="s">
        <v>9509</v>
      </c>
      <c r="E562" s="1291">
        <v>1</v>
      </c>
      <c r="F562" s="1292">
        <v>1</v>
      </c>
      <c r="G562" s="1291">
        <v>10</v>
      </c>
      <c r="H562" s="1291"/>
      <c r="I562" s="1291"/>
      <c r="J562" s="1291"/>
      <c r="K562" s="1291">
        <v>1</v>
      </c>
      <c r="L562" s="2220" t="str">
        <f t="shared" si="22"/>
        <v>Estados SobrenaturalesCondición: Conseguir dar un Beso</v>
      </c>
      <c r="M562" s="242"/>
      <c r="Z562" s="242"/>
    </row>
    <row r="563" spans="1:26" ht="12" customHeight="1" x14ac:dyDescent="0.2">
      <c r="A563" s="5889"/>
      <c r="B563" s="5887"/>
      <c r="C563" s="45" t="s">
        <v>9248</v>
      </c>
      <c r="D563" s="87" t="s">
        <v>9510</v>
      </c>
      <c r="E563" s="1291">
        <v>2</v>
      </c>
      <c r="F563" s="1292">
        <v>2</v>
      </c>
      <c r="G563" s="1291">
        <v>5</v>
      </c>
      <c r="H563" s="1291"/>
      <c r="I563" s="1291"/>
      <c r="J563" s="1291"/>
      <c r="K563" s="1291">
        <v>1</v>
      </c>
      <c r="L563" s="2220" t="str">
        <f t="shared" si="22"/>
        <v>Estados SobrenaturalesCondición: Contacto Físico</v>
      </c>
      <c r="M563" s="242"/>
      <c r="Z563" s="242"/>
    </row>
    <row r="564" spans="1:26" ht="12" customHeight="1" x14ac:dyDescent="0.2">
      <c r="A564" s="5889"/>
      <c r="B564" s="5887"/>
      <c r="C564" s="45" t="s">
        <v>9248</v>
      </c>
      <c r="D564" s="87" t="s">
        <v>9511</v>
      </c>
      <c r="E564" s="1291">
        <v>8</v>
      </c>
      <c r="F564" s="1292">
        <v>8</v>
      </c>
      <c r="G564" s="1291">
        <v>15</v>
      </c>
      <c r="H564" s="1291"/>
      <c r="I564" s="1291"/>
      <c r="J564" s="1291"/>
      <c r="K564" s="1291">
        <v>1</v>
      </c>
      <c r="L564" s="2220" t="str">
        <f t="shared" si="22"/>
        <v>Estados SobrenaturalesCondición: Contacto Visual Mutuo</v>
      </c>
      <c r="M564" s="242"/>
      <c r="Z564" s="242"/>
    </row>
    <row r="565" spans="1:26" ht="12" customHeight="1" x14ac:dyDescent="0.2">
      <c r="A565" s="5889"/>
      <c r="B565" s="5887"/>
      <c r="C565" s="45" t="s">
        <v>9248</v>
      </c>
      <c r="D565" s="87" t="s">
        <v>9512</v>
      </c>
      <c r="E565" s="1291">
        <v>12</v>
      </c>
      <c r="F565" s="1292">
        <v>12</v>
      </c>
      <c r="G565" s="1291">
        <v>30</v>
      </c>
      <c r="H565" s="1291"/>
      <c r="I565" s="1291"/>
      <c r="J565" s="1291"/>
      <c r="K565" s="1291">
        <v>2</v>
      </c>
      <c r="L565" s="2220" t="str">
        <f t="shared" si="22"/>
        <v>Estados SobrenaturalesCondición: Contacto Visual (Un Blanco)</v>
      </c>
      <c r="M565" s="242"/>
      <c r="Z565" s="242"/>
    </row>
    <row r="566" spans="1:26" ht="12" customHeight="1" x14ac:dyDescent="0.2">
      <c r="A566" s="5889"/>
      <c r="B566" s="5887"/>
      <c r="C566" s="45" t="s">
        <v>9248</v>
      </c>
      <c r="D566" s="87" t="s">
        <v>9513</v>
      </c>
      <c r="E566" s="1291">
        <v>16</v>
      </c>
      <c r="F566" s="1292">
        <v>16</v>
      </c>
      <c r="G566" s="1291">
        <v>40</v>
      </c>
      <c r="H566" s="1291"/>
      <c r="I566" s="1291"/>
      <c r="J566" s="1291"/>
      <c r="K566" s="1291">
        <v>3</v>
      </c>
      <c r="L566" s="2220" t="str">
        <f t="shared" si="22"/>
        <v>Estados SobrenaturalesCondición: Contacto Visual (Varios)</v>
      </c>
      <c r="M566" s="242"/>
      <c r="Z566" s="242"/>
    </row>
    <row r="567" spans="1:26" ht="12" customHeight="1" x14ac:dyDescent="0.2">
      <c r="A567" s="5889"/>
      <c r="B567" s="5887"/>
      <c r="C567" s="45" t="s">
        <v>9248</v>
      </c>
      <c r="D567" s="87" t="s">
        <v>9514</v>
      </c>
      <c r="E567" s="1291">
        <v>20</v>
      </c>
      <c r="F567" s="1292">
        <v>20</v>
      </c>
      <c r="G567" s="1291">
        <v>50</v>
      </c>
      <c r="H567" s="1291"/>
      <c r="I567" s="1291"/>
      <c r="J567" s="1291"/>
      <c r="K567" s="1291">
        <v>3</v>
      </c>
      <c r="L567" s="2220" t="str">
        <f t="shared" si="22"/>
        <v>Estados SobrenaturalesCondición: Por el Aire</v>
      </c>
      <c r="M567" s="242"/>
      <c r="Z567" s="242"/>
    </row>
    <row r="568" spans="1:26" ht="12" customHeight="1" x14ac:dyDescent="0.2">
      <c r="A568" s="5889"/>
      <c r="B568" s="5887"/>
      <c r="C568" s="45" t="s">
        <v>9248</v>
      </c>
      <c r="D568" s="87" t="s">
        <v>9515</v>
      </c>
      <c r="E568" s="1291">
        <v>13</v>
      </c>
      <c r="F568" s="1292">
        <v>13</v>
      </c>
      <c r="G568" s="1291">
        <v>35</v>
      </c>
      <c r="H568" s="1291"/>
      <c r="I568" s="1291"/>
      <c r="J568" s="1291"/>
      <c r="K568" s="1291">
        <v>2</v>
      </c>
      <c r="L568" s="2220" t="str">
        <f t="shared" si="22"/>
        <v>Estados SobrenaturalesCondición: Por Sonido (Un Blanco)</v>
      </c>
      <c r="M568" s="242"/>
      <c r="Z568" s="242"/>
    </row>
    <row r="569" spans="1:26" ht="12" customHeight="1" x14ac:dyDescent="0.2">
      <c r="A569" s="5889"/>
      <c r="B569" s="5887"/>
      <c r="C569" s="45" t="s">
        <v>9248</v>
      </c>
      <c r="D569" s="87" t="s">
        <v>9516</v>
      </c>
      <c r="E569" s="1291">
        <v>18</v>
      </c>
      <c r="F569" s="1292">
        <v>18</v>
      </c>
      <c r="G569" s="1291">
        <v>45</v>
      </c>
      <c r="H569" s="1291"/>
      <c r="I569" s="1291"/>
      <c r="J569" s="1291"/>
      <c r="K569" s="1291">
        <v>3</v>
      </c>
      <c r="L569" s="2220" t="str">
        <f t="shared" si="22"/>
        <v>Estados SobrenaturalesCondición: Por Sonido (Varios Blancos)</v>
      </c>
      <c r="M569" s="242"/>
      <c r="Z569" s="242"/>
    </row>
    <row r="570" spans="1:26" ht="12" customHeight="1" x14ac:dyDescent="0.2">
      <c r="A570" s="5889"/>
      <c r="B570" s="5887"/>
      <c r="C570" s="45" t="s">
        <v>9248</v>
      </c>
      <c r="D570" s="87" t="s">
        <v>9517</v>
      </c>
      <c r="E570" s="1291">
        <v>12</v>
      </c>
      <c r="F570" s="1292">
        <v>12</v>
      </c>
      <c r="G570" s="1291">
        <v>30</v>
      </c>
      <c r="H570" s="1291"/>
      <c r="I570" s="1291"/>
      <c r="J570" s="1291"/>
      <c r="K570" s="1291">
        <v>2</v>
      </c>
      <c r="L570" s="2220" t="str">
        <f t="shared" si="22"/>
        <v>Estados SobrenaturalesCondición: Por Superficie</v>
      </c>
      <c r="M570" s="242"/>
      <c r="Z570" s="242"/>
    </row>
    <row r="571" spans="1:26" ht="12" customHeight="1" x14ac:dyDescent="0.2">
      <c r="A571" s="5889"/>
      <c r="B571" s="5887"/>
      <c r="C571" s="45" t="s">
        <v>9248</v>
      </c>
      <c r="D571" s="87" t="s">
        <v>9518</v>
      </c>
      <c r="E571" s="1291">
        <v>18</v>
      </c>
      <c r="F571" s="1292">
        <v>18</v>
      </c>
      <c r="G571" s="1291">
        <v>45</v>
      </c>
      <c r="H571" s="1291"/>
      <c r="I571" s="1291"/>
      <c r="J571" s="1291"/>
      <c r="K571" s="1291">
        <v>3</v>
      </c>
      <c r="L571" s="2220" t="str">
        <f t="shared" si="22"/>
        <v>Estados SobrenaturalesCondición: Por Toda Superficie</v>
      </c>
      <c r="M571" s="242"/>
      <c r="Z571" s="242"/>
    </row>
    <row r="572" spans="1:26" ht="12" customHeight="1" x14ac:dyDescent="0.2">
      <c r="A572" s="5889"/>
      <c r="B572" s="5887"/>
      <c r="C572" s="45" t="s">
        <v>9248</v>
      </c>
      <c r="D572" s="87" t="s">
        <v>9519</v>
      </c>
      <c r="E572" s="1291">
        <v>1</v>
      </c>
      <c r="F572" s="1292">
        <v>1</v>
      </c>
      <c r="G572" s="1291">
        <v>5</v>
      </c>
      <c r="H572" s="1291"/>
      <c r="I572" s="1291"/>
      <c r="J572" s="1291"/>
      <c r="K572" s="1291">
        <v>1</v>
      </c>
      <c r="L572" s="2220" t="str">
        <f t="shared" si="22"/>
        <v>Estados SobrenaturalesDistancia: 1 metro</v>
      </c>
      <c r="M572" s="242"/>
      <c r="Z572" s="242"/>
    </row>
    <row r="573" spans="1:26" ht="12" customHeight="1" x14ac:dyDescent="0.2">
      <c r="A573" s="5889"/>
      <c r="B573" s="5887"/>
      <c r="C573" s="45" t="s">
        <v>9248</v>
      </c>
      <c r="D573" s="87" t="s">
        <v>9520</v>
      </c>
      <c r="E573" s="1291">
        <v>3</v>
      </c>
      <c r="F573" s="1292">
        <v>3</v>
      </c>
      <c r="G573" s="1291">
        <v>5</v>
      </c>
      <c r="H573" s="1291"/>
      <c r="I573" s="1291"/>
      <c r="J573" s="1291"/>
      <c r="K573" s="1291">
        <v>1</v>
      </c>
      <c r="L573" s="2220" t="str">
        <f t="shared" si="22"/>
        <v>Estados SobrenaturalesDistancia: 5 metros</v>
      </c>
      <c r="M573" s="242"/>
      <c r="Z573" s="242"/>
    </row>
    <row r="574" spans="1:26" ht="12" customHeight="1" x14ac:dyDescent="0.2">
      <c r="A574" s="5889"/>
      <c r="B574" s="5887"/>
      <c r="C574" s="45" t="s">
        <v>9248</v>
      </c>
      <c r="D574" s="87" t="s">
        <v>9521</v>
      </c>
      <c r="E574" s="1291">
        <v>5</v>
      </c>
      <c r="F574" s="1292">
        <v>5</v>
      </c>
      <c r="G574" s="1291">
        <v>10</v>
      </c>
      <c r="H574" s="1291"/>
      <c r="I574" s="1291"/>
      <c r="J574" s="1291"/>
      <c r="K574" s="1291">
        <v>1</v>
      </c>
      <c r="L574" s="2220" t="str">
        <f t="shared" si="22"/>
        <v>Estados SobrenaturalesDistancia: 10 metros</v>
      </c>
      <c r="M574" s="242"/>
      <c r="Z574" s="242"/>
    </row>
    <row r="575" spans="1:26" ht="12" customHeight="1" x14ac:dyDescent="0.2">
      <c r="A575" s="5889"/>
      <c r="B575" s="5887"/>
      <c r="C575" s="45" t="s">
        <v>9248</v>
      </c>
      <c r="D575" s="87" t="s">
        <v>9522</v>
      </c>
      <c r="E575" s="1291">
        <v>8</v>
      </c>
      <c r="F575" s="1292">
        <v>8</v>
      </c>
      <c r="G575" s="1291">
        <v>10</v>
      </c>
      <c r="H575" s="1291"/>
      <c r="I575" s="1291"/>
      <c r="J575" s="1291"/>
      <c r="K575" s="1291">
        <v>1</v>
      </c>
      <c r="L575" s="2220" t="str">
        <f t="shared" si="22"/>
        <v>Estados SobrenaturalesDistancia: 25 metros</v>
      </c>
      <c r="M575" s="242"/>
      <c r="Z575" s="242"/>
    </row>
    <row r="576" spans="1:26" ht="12" customHeight="1" x14ac:dyDescent="0.2">
      <c r="A576" s="5889"/>
      <c r="B576" s="5887"/>
      <c r="C576" s="45" t="s">
        <v>9248</v>
      </c>
      <c r="D576" s="87" t="s">
        <v>9523</v>
      </c>
      <c r="E576" s="1291">
        <v>12</v>
      </c>
      <c r="F576" s="1292">
        <v>12</v>
      </c>
      <c r="G576" s="1291">
        <v>15</v>
      </c>
      <c r="H576" s="1291"/>
      <c r="I576" s="1291"/>
      <c r="J576" s="1291"/>
      <c r="K576" s="1291">
        <v>2</v>
      </c>
      <c r="L576" s="2220" t="str">
        <f t="shared" si="22"/>
        <v>Estados SobrenaturalesDistancia: 50 metros</v>
      </c>
      <c r="M576" s="242"/>
      <c r="Z576" s="242"/>
    </row>
    <row r="577" spans="1:26" ht="12" customHeight="1" x14ac:dyDescent="0.2">
      <c r="A577" s="5889"/>
      <c r="B577" s="5887"/>
      <c r="C577" s="45" t="s">
        <v>9248</v>
      </c>
      <c r="D577" s="87" t="s">
        <v>9524</v>
      </c>
      <c r="E577" s="1291">
        <v>15</v>
      </c>
      <c r="F577" s="1292">
        <v>15</v>
      </c>
      <c r="G577" s="1291">
        <v>20</v>
      </c>
      <c r="H577" s="1291"/>
      <c r="I577" s="1291"/>
      <c r="J577" s="1291"/>
      <c r="K577" s="1291">
        <v>2</v>
      </c>
      <c r="L577" s="2220" t="str">
        <f t="shared" si="22"/>
        <v>Estados SobrenaturalesDistancia: 100 metros</v>
      </c>
      <c r="M577" s="242"/>
      <c r="Z577" s="242"/>
    </row>
    <row r="578" spans="1:26" ht="12" customHeight="1" x14ac:dyDescent="0.2">
      <c r="A578" s="5889"/>
      <c r="B578" s="5887"/>
      <c r="C578" s="45" t="s">
        <v>9248</v>
      </c>
      <c r="D578" s="87" t="s">
        <v>9525</v>
      </c>
      <c r="E578" s="1291">
        <v>20</v>
      </c>
      <c r="F578" s="1292">
        <v>20</v>
      </c>
      <c r="G578" s="1291">
        <v>25</v>
      </c>
      <c r="H578" s="1291"/>
      <c r="I578" s="1291"/>
      <c r="J578" s="1291"/>
      <c r="K578" s="1291">
        <v>3</v>
      </c>
      <c r="L578" s="2220" t="str">
        <f t="shared" si="22"/>
        <v>Estados SobrenaturalesDistancia: 150 metros</v>
      </c>
      <c r="M578" s="242"/>
      <c r="Z578" s="242"/>
    </row>
    <row r="579" spans="1:26" ht="12" customHeight="1" x14ac:dyDescent="0.2">
      <c r="A579" s="5889"/>
      <c r="B579" s="5887"/>
      <c r="C579" s="45" t="s">
        <v>9248</v>
      </c>
      <c r="D579" s="87" t="s">
        <v>9526</v>
      </c>
      <c r="E579" s="1291">
        <v>25</v>
      </c>
      <c r="F579" s="1292">
        <v>25</v>
      </c>
      <c r="G579" s="1291">
        <v>30</v>
      </c>
      <c r="H579" s="1291"/>
      <c r="I579" s="1291"/>
      <c r="J579" s="1291"/>
      <c r="K579" s="1291">
        <v>3</v>
      </c>
      <c r="L579" s="2220" t="str">
        <f t="shared" si="22"/>
        <v>Estados SobrenaturalesDistancia: 500 metros</v>
      </c>
      <c r="M579" s="242"/>
      <c r="Z579" s="242"/>
    </row>
    <row r="580" spans="1:26" ht="12" customHeight="1" x14ac:dyDescent="0.2">
      <c r="A580" s="5889"/>
      <c r="B580" s="5887"/>
      <c r="C580" s="45" t="s">
        <v>9527</v>
      </c>
      <c r="D580" s="87"/>
      <c r="E580" s="1291"/>
      <c r="F580" s="1292"/>
      <c r="G580" s="1291"/>
      <c r="H580" s="1291"/>
      <c r="I580" s="1291"/>
      <c r="J580" s="1291"/>
      <c r="K580" s="1291"/>
      <c r="L580" s="2220" t="str">
        <f t="shared" si="22"/>
        <v>&gt; IMPACTO</v>
      </c>
      <c r="M580" s="242"/>
      <c r="Z580" s="242"/>
    </row>
    <row r="581" spans="1:26" ht="12" customHeight="1" x14ac:dyDescent="0.2">
      <c r="A581" s="5889"/>
      <c r="B581" s="5887"/>
      <c r="C581" s="45" t="s">
        <v>3022</v>
      </c>
      <c r="D581" s="87" t="s">
        <v>9528</v>
      </c>
      <c r="E581" s="1291">
        <v>1</v>
      </c>
      <c r="F581" s="1292">
        <v>2</v>
      </c>
      <c r="G581" s="1291">
        <v>5</v>
      </c>
      <c r="H581" s="1291">
        <v>1</v>
      </c>
      <c r="I581" s="1291">
        <v>2</v>
      </c>
      <c r="J581" s="1291">
        <v>4</v>
      </c>
      <c r="K581" s="1291">
        <v>1</v>
      </c>
      <c r="L581" s="2220" t="str">
        <f t="shared" si="22"/>
        <v>ImpactoFUE 4</v>
      </c>
      <c r="M581" s="242"/>
      <c r="Z581" s="242"/>
    </row>
    <row r="582" spans="1:26" ht="12" customHeight="1" x14ac:dyDescent="0.2">
      <c r="A582" s="5889"/>
      <c r="B582" s="5887"/>
      <c r="C582" s="45" t="s">
        <v>3022</v>
      </c>
      <c r="D582" s="87" t="s">
        <v>9529</v>
      </c>
      <c r="E582" s="1291">
        <v>2</v>
      </c>
      <c r="F582" s="1292">
        <v>4</v>
      </c>
      <c r="G582" s="1291">
        <v>5</v>
      </c>
      <c r="H582" s="1291">
        <v>2</v>
      </c>
      <c r="I582" s="1291">
        <v>4</v>
      </c>
      <c r="J582" s="1291">
        <v>7</v>
      </c>
      <c r="K582" s="1291">
        <v>1</v>
      </c>
      <c r="L582" s="2220" t="str">
        <f t="shared" si="22"/>
        <v>ImpactoFUE 6</v>
      </c>
      <c r="M582" s="242"/>
      <c r="Z582" s="242"/>
    </row>
    <row r="583" spans="1:26" ht="12" customHeight="1" x14ac:dyDescent="0.2">
      <c r="A583" s="5889"/>
      <c r="B583" s="5887"/>
      <c r="C583" s="45" t="s">
        <v>3022</v>
      </c>
      <c r="D583" s="87" t="s">
        <v>9530</v>
      </c>
      <c r="E583" s="1291">
        <v>3</v>
      </c>
      <c r="F583" s="1292">
        <v>5</v>
      </c>
      <c r="G583" s="1291">
        <v>10</v>
      </c>
      <c r="H583" s="1291">
        <v>3</v>
      </c>
      <c r="I583" s="1291">
        <v>6</v>
      </c>
      <c r="J583" s="1291">
        <v>11</v>
      </c>
      <c r="K583" s="1291">
        <v>1</v>
      </c>
      <c r="L583" s="2220" t="str">
        <f t="shared" si="22"/>
        <v>ImpactoFUE 8</v>
      </c>
      <c r="M583" s="242"/>
      <c r="Z583" s="242"/>
    </row>
    <row r="584" spans="1:26" ht="12" customHeight="1" x14ac:dyDescent="0.2">
      <c r="A584" s="5889"/>
      <c r="B584" s="5887"/>
      <c r="C584" s="45" t="s">
        <v>3022</v>
      </c>
      <c r="D584" s="87" t="s">
        <v>9531</v>
      </c>
      <c r="E584" s="1291">
        <v>4</v>
      </c>
      <c r="F584" s="1292">
        <v>6</v>
      </c>
      <c r="G584" s="1291">
        <v>10</v>
      </c>
      <c r="H584" s="1291">
        <v>4</v>
      </c>
      <c r="I584" s="1291">
        <v>8</v>
      </c>
      <c r="J584" s="1291">
        <v>14</v>
      </c>
      <c r="K584" s="1291">
        <v>1</v>
      </c>
      <c r="L584" s="2220" t="str">
        <f t="shared" si="22"/>
        <v>ImpactoFUE 10</v>
      </c>
      <c r="M584" s="242"/>
      <c r="Z584" s="242"/>
    </row>
    <row r="585" spans="1:26" ht="12" customHeight="1" x14ac:dyDescent="0.2">
      <c r="A585" s="5889"/>
      <c r="B585" s="5887"/>
      <c r="C585" s="45" t="s">
        <v>3022</v>
      </c>
      <c r="D585" s="87" t="s">
        <v>9532</v>
      </c>
      <c r="E585" s="1291">
        <v>5</v>
      </c>
      <c r="F585" s="1292">
        <v>8</v>
      </c>
      <c r="G585" s="1291">
        <v>15</v>
      </c>
      <c r="H585" s="1291">
        <v>5</v>
      </c>
      <c r="I585" s="1291">
        <v>10</v>
      </c>
      <c r="J585" s="1291">
        <v>18</v>
      </c>
      <c r="K585" s="1291">
        <v>1</v>
      </c>
      <c r="L585" s="2220" t="str">
        <f t="shared" ref="L585:L636" si="23">C585&amp;D585</f>
        <v>ImpactoFUE 12</v>
      </c>
      <c r="M585" s="242"/>
      <c r="Z585" s="242"/>
    </row>
    <row r="586" spans="1:26" ht="12" customHeight="1" x14ac:dyDescent="0.2">
      <c r="A586" s="5889"/>
      <c r="B586" s="5887"/>
      <c r="C586" s="45" t="s">
        <v>3022</v>
      </c>
      <c r="D586" s="87" t="s">
        <v>9533</v>
      </c>
      <c r="E586" s="1291">
        <v>6</v>
      </c>
      <c r="F586" s="1292">
        <v>9</v>
      </c>
      <c r="G586" s="1291">
        <v>20</v>
      </c>
      <c r="H586" s="1291">
        <v>6</v>
      </c>
      <c r="I586" s="1291">
        <v>12</v>
      </c>
      <c r="J586" s="1291">
        <v>21</v>
      </c>
      <c r="K586" s="1291">
        <v>2</v>
      </c>
      <c r="L586" s="2220" t="str">
        <f t="shared" si="23"/>
        <v>ImpactoFUE 14</v>
      </c>
      <c r="M586" s="242"/>
      <c r="Z586" s="242"/>
    </row>
    <row r="587" spans="1:26" ht="12" customHeight="1" x14ac:dyDescent="0.2">
      <c r="A587" s="5889"/>
      <c r="B587" s="5887"/>
      <c r="C587" s="45" t="s">
        <v>3022</v>
      </c>
      <c r="D587" s="87" t="s">
        <v>9534</v>
      </c>
      <c r="E587" s="1291">
        <v>8</v>
      </c>
      <c r="F587" s="1292">
        <v>11</v>
      </c>
      <c r="G587" s="1291">
        <v>25</v>
      </c>
      <c r="H587" s="1291">
        <v>7</v>
      </c>
      <c r="I587" s="1291">
        <v>14</v>
      </c>
      <c r="J587" s="1291">
        <v>25</v>
      </c>
      <c r="K587" s="1291">
        <v>2</v>
      </c>
      <c r="L587" s="2220" t="str">
        <f t="shared" si="23"/>
        <v>ImpactoFUE 16</v>
      </c>
      <c r="M587" s="242"/>
      <c r="Z587" s="242"/>
    </row>
    <row r="588" spans="1:26" ht="12" customHeight="1" x14ac:dyDescent="0.2">
      <c r="A588" s="5889"/>
      <c r="B588" s="5887"/>
      <c r="C588" s="45" t="s">
        <v>3022</v>
      </c>
      <c r="D588" s="87" t="s">
        <v>9535</v>
      </c>
      <c r="E588" s="1291">
        <v>10</v>
      </c>
      <c r="F588" s="1292">
        <v>13</v>
      </c>
      <c r="G588" s="1291">
        <v>30</v>
      </c>
      <c r="H588" s="1291">
        <v>8</v>
      </c>
      <c r="I588" s="1291">
        <v>16</v>
      </c>
      <c r="J588" s="1291">
        <v>28</v>
      </c>
      <c r="K588" s="1291">
        <v>3</v>
      </c>
      <c r="L588" s="2220" t="str">
        <f t="shared" si="23"/>
        <v>ImpactoFUE 18</v>
      </c>
      <c r="M588" s="242"/>
      <c r="Z588" s="242"/>
    </row>
    <row r="589" spans="1:26" ht="12" customHeight="1" x14ac:dyDescent="0.2">
      <c r="A589" s="5889"/>
      <c r="B589" s="5887"/>
      <c r="C589" s="45" t="s">
        <v>3022</v>
      </c>
      <c r="D589" s="87" t="s">
        <v>9536</v>
      </c>
      <c r="E589" s="1291">
        <v>12</v>
      </c>
      <c r="F589" s="1292">
        <v>15</v>
      </c>
      <c r="G589" s="1291">
        <v>35</v>
      </c>
      <c r="H589" s="1291">
        <v>10</v>
      </c>
      <c r="I589" s="1291">
        <v>20</v>
      </c>
      <c r="J589" s="1291">
        <v>35</v>
      </c>
      <c r="K589" s="1291">
        <v>3</v>
      </c>
      <c r="L589" s="2220" t="str">
        <f t="shared" si="23"/>
        <v>ImpactoFUE 20</v>
      </c>
      <c r="M589" s="242"/>
      <c r="Z589" s="242"/>
    </row>
    <row r="590" spans="1:26" ht="12" customHeight="1" x14ac:dyDescent="0.2">
      <c r="A590" s="5889"/>
      <c r="B590" s="5887"/>
      <c r="C590" s="45" t="s">
        <v>3022</v>
      </c>
      <c r="D590" s="87" t="s">
        <v>7336</v>
      </c>
      <c r="E590" s="1291">
        <v>1</v>
      </c>
      <c r="F590" s="1292">
        <v>1</v>
      </c>
      <c r="G590" s="1291">
        <v>5</v>
      </c>
      <c r="H590" s="1291">
        <v>1</v>
      </c>
      <c r="I590" s="1291">
        <v>2</v>
      </c>
      <c r="J590" s="1291">
        <v>4</v>
      </c>
      <c r="K590" s="1291">
        <v>1</v>
      </c>
      <c r="L590" s="2220" t="str">
        <f t="shared" si="23"/>
        <v>ImpactoAtraer</v>
      </c>
      <c r="M590" s="242"/>
      <c r="Z590" s="242"/>
    </row>
    <row r="591" spans="1:26" ht="12" customHeight="1" x14ac:dyDescent="0.2">
      <c r="A591" s="5889"/>
      <c r="B591" s="5887"/>
      <c r="C591" s="45" t="s">
        <v>9537</v>
      </c>
      <c r="D591" s="87"/>
      <c r="E591" s="1291"/>
      <c r="F591" s="1292"/>
      <c r="G591" s="1291"/>
      <c r="H591" s="1291"/>
      <c r="I591" s="1291"/>
      <c r="J591" s="1291"/>
      <c r="K591" s="1291"/>
      <c r="L591" s="2220" t="str">
        <f t="shared" si="23"/>
        <v>&gt; INTERRUPCIÓN</v>
      </c>
      <c r="M591" s="242"/>
      <c r="Z591" s="242"/>
    </row>
    <row r="592" spans="1:26" ht="12" customHeight="1" x14ac:dyDescent="0.2">
      <c r="A592" s="5889"/>
      <c r="B592" s="5887"/>
      <c r="C592" s="45" t="s">
        <v>3026</v>
      </c>
      <c r="D592" s="87" t="s">
        <v>9538</v>
      </c>
      <c r="E592" s="1291">
        <v>1</v>
      </c>
      <c r="F592" s="1292">
        <v>2</v>
      </c>
      <c r="G592" s="1291">
        <v>5</v>
      </c>
      <c r="H592" s="1291">
        <v>1</v>
      </c>
      <c r="I592" s="1291">
        <v>2</v>
      </c>
      <c r="J592" s="1291">
        <v>4</v>
      </c>
      <c r="K592" s="1291">
        <v>1</v>
      </c>
      <c r="L592" s="2220" t="str">
        <f t="shared" si="23"/>
        <v>InterrupciónRF = Daño</v>
      </c>
      <c r="M592" s="242"/>
      <c r="Z592" s="242"/>
    </row>
    <row r="593" spans="1:26" ht="12" customHeight="1" x14ac:dyDescent="0.2">
      <c r="A593" s="5889"/>
      <c r="B593" s="5887"/>
      <c r="C593" s="45" t="s">
        <v>3026</v>
      </c>
      <c r="D593" s="87" t="s">
        <v>9539</v>
      </c>
      <c r="E593" s="1291">
        <v>2</v>
      </c>
      <c r="F593" s="1292">
        <v>4</v>
      </c>
      <c r="G593" s="1291">
        <v>10</v>
      </c>
      <c r="H593" s="1291">
        <v>2</v>
      </c>
      <c r="I593" s="1291">
        <v>4</v>
      </c>
      <c r="J593" s="1291">
        <v>7</v>
      </c>
      <c r="K593" s="1291">
        <v>1</v>
      </c>
      <c r="L593" s="2220" t="str">
        <f t="shared" si="23"/>
        <v>InterrupciónRF = Daño +20</v>
      </c>
      <c r="M593" s="242"/>
      <c r="Z593" s="242"/>
    </row>
    <row r="594" spans="1:26" ht="12" customHeight="1" x14ac:dyDescent="0.2">
      <c r="A594" s="5889"/>
      <c r="B594" s="5887"/>
      <c r="C594" s="45" t="s">
        <v>3026</v>
      </c>
      <c r="D594" s="87" t="s">
        <v>9540</v>
      </c>
      <c r="E594" s="1291">
        <v>4</v>
      </c>
      <c r="F594" s="1292">
        <v>6</v>
      </c>
      <c r="G594" s="1291">
        <v>15</v>
      </c>
      <c r="H594" s="1291">
        <v>3</v>
      </c>
      <c r="I594" s="1291">
        <v>6</v>
      </c>
      <c r="J594" s="1291">
        <v>11</v>
      </c>
      <c r="K594" s="1291">
        <v>1</v>
      </c>
      <c r="L594" s="2220" t="str">
        <f t="shared" si="23"/>
        <v>InterrupciónRF = Daño +40</v>
      </c>
      <c r="M594" s="242"/>
      <c r="Z594" s="242"/>
    </row>
    <row r="595" spans="1:26" ht="12" customHeight="1" x14ac:dyDescent="0.2">
      <c r="A595" s="5889"/>
      <c r="B595" s="5887"/>
      <c r="C595" s="45" t="s">
        <v>3026</v>
      </c>
      <c r="D595" s="87" t="s">
        <v>9541</v>
      </c>
      <c r="E595" s="1291">
        <v>6</v>
      </c>
      <c r="F595" s="1292">
        <v>9</v>
      </c>
      <c r="G595" s="1291">
        <v>20</v>
      </c>
      <c r="H595" s="1291">
        <v>4</v>
      </c>
      <c r="I595" s="1291">
        <v>8</v>
      </c>
      <c r="J595" s="1291">
        <v>14</v>
      </c>
      <c r="K595" s="1291">
        <v>1</v>
      </c>
      <c r="L595" s="2220" t="str">
        <f t="shared" si="23"/>
        <v>InterrupciónRF = Daño +60</v>
      </c>
      <c r="M595" s="242"/>
      <c r="Z595" s="242"/>
    </row>
    <row r="596" spans="1:26" ht="12" customHeight="1" x14ac:dyDescent="0.2">
      <c r="A596" s="5889"/>
      <c r="B596" s="5887"/>
      <c r="C596" s="45" t="s">
        <v>3026</v>
      </c>
      <c r="D596" s="87" t="s">
        <v>9542</v>
      </c>
      <c r="E596" s="1291">
        <v>8</v>
      </c>
      <c r="F596" s="1292">
        <v>11</v>
      </c>
      <c r="G596" s="1291">
        <v>25</v>
      </c>
      <c r="H596" s="1291">
        <v>6</v>
      </c>
      <c r="I596" s="1291">
        <v>12</v>
      </c>
      <c r="J596" s="1291">
        <v>21</v>
      </c>
      <c r="K596" s="1291">
        <v>2</v>
      </c>
      <c r="L596" s="2220" t="str">
        <f t="shared" si="23"/>
        <v>InterrupciónRF = Daño +80</v>
      </c>
      <c r="M596" s="242"/>
      <c r="Z596" s="242"/>
    </row>
    <row r="597" spans="1:26" ht="12" customHeight="1" x14ac:dyDescent="0.2">
      <c r="A597" s="5889"/>
      <c r="B597" s="5887"/>
      <c r="C597" s="45" t="s">
        <v>3026</v>
      </c>
      <c r="D597" s="87" t="s">
        <v>9543</v>
      </c>
      <c r="E597" s="1291">
        <v>12</v>
      </c>
      <c r="F597" s="1292">
        <v>15</v>
      </c>
      <c r="G597" s="1291">
        <v>30</v>
      </c>
      <c r="H597" s="1291">
        <v>8</v>
      </c>
      <c r="I597" s="1291">
        <v>16</v>
      </c>
      <c r="J597" s="1291">
        <v>28</v>
      </c>
      <c r="K597" s="1291">
        <v>2</v>
      </c>
      <c r="L597" s="2220" t="str">
        <f t="shared" si="23"/>
        <v>InterrupciónRF = Daño +100</v>
      </c>
      <c r="M597" s="242"/>
      <c r="Z597" s="242"/>
    </row>
    <row r="598" spans="1:26" ht="12" customHeight="1" x14ac:dyDescent="0.2">
      <c r="A598" s="5889"/>
      <c r="B598" s="5887"/>
      <c r="C598" s="45" t="s">
        <v>3026</v>
      </c>
      <c r="D598" s="87" t="s">
        <v>9544</v>
      </c>
      <c r="E598" s="1291">
        <v>16</v>
      </c>
      <c r="F598" s="1292">
        <v>20</v>
      </c>
      <c r="G598" s="1291">
        <v>35</v>
      </c>
      <c r="H598" s="1291">
        <v>10</v>
      </c>
      <c r="I598" s="1291">
        <v>20</v>
      </c>
      <c r="J598" s="1291">
        <v>35</v>
      </c>
      <c r="K598" s="1291">
        <v>3</v>
      </c>
      <c r="L598" s="2220" t="str">
        <f t="shared" si="23"/>
        <v>InterrupciónRF = Daño +120</v>
      </c>
      <c r="M598" s="242"/>
      <c r="Z598" s="242"/>
    </row>
    <row r="599" spans="1:26" ht="12" customHeight="1" x14ac:dyDescent="0.2">
      <c r="A599" s="5889"/>
      <c r="B599" s="5887"/>
      <c r="C599" s="45" t="s">
        <v>3026</v>
      </c>
      <c r="D599" s="87" t="s">
        <v>3255</v>
      </c>
      <c r="E599" s="1291">
        <v>2</v>
      </c>
      <c r="F599" s="1292">
        <v>2</v>
      </c>
      <c r="G599" s="1291">
        <v>5</v>
      </c>
      <c r="H599" s="1291">
        <v>1</v>
      </c>
      <c r="I599" s="1291">
        <v>2</v>
      </c>
      <c r="J599" s="1291">
        <v>4</v>
      </c>
      <c r="K599" s="1291">
        <v>1</v>
      </c>
      <c r="L599" s="2220" t="str">
        <f t="shared" si="23"/>
        <v>InterrupciónInterrumpe Ki</v>
      </c>
      <c r="M599" s="242"/>
      <c r="Z599" s="242"/>
    </row>
    <row r="600" spans="1:26" ht="12" customHeight="1" x14ac:dyDescent="0.2">
      <c r="A600" s="5889"/>
      <c r="B600" s="5887"/>
      <c r="C600" s="45" t="s">
        <v>3026</v>
      </c>
      <c r="D600" s="87" t="s">
        <v>3256</v>
      </c>
      <c r="E600" s="1291">
        <v>2</v>
      </c>
      <c r="F600" s="1292">
        <v>2</v>
      </c>
      <c r="G600" s="1291">
        <v>5</v>
      </c>
      <c r="H600" s="1291">
        <v>1</v>
      </c>
      <c r="I600" s="1291">
        <v>2</v>
      </c>
      <c r="J600" s="1291">
        <v>4</v>
      </c>
      <c r="K600" s="1291">
        <v>1</v>
      </c>
      <c r="L600" s="2220" t="str">
        <f t="shared" si="23"/>
        <v>InterrupciónInterrumpe Magia</v>
      </c>
      <c r="M600" s="242"/>
      <c r="Z600" s="242"/>
    </row>
    <row r="601" spans="1:26" ht="12" customHeight="1" x14ac:dyDescent="0.2">
      <c r="A601" s="5889"/>
      <c r="B601" s="5887"/>
      <c r="C601" s="45" t="s">
        <v>3026</v>
      </c>
      <c r="D601" s="87" t="s">
        <v>3257</v>
      </c>
      <c r="E601" s="1291">
        <v>2</v>
      </c>
      <c r="F601" s="1292">
        <v>2</v>
      </c>
      <c r="G601" s="1291">
        <v>5</v>
      </c>
      <c r="H601" s="1291">
        <v>1</v>
      </c>
      <c r="I601" s="1291">
        <v>2</v>
      </c>
      <c r="J601" s="1291">
        <v>4</v>
      </c>
      <c r="K601" s="1291">
        <v>1</v>
      </c>
      <c r="L601" s="2220" t="str">
        <f t="shared" si="23"/>
        <v>InterrupciónInterrumpe Psíquica</v>
      </c>
      <c r="M601" s="242"/>
      <c r="Z601" s="242"/>
    </row>
    <row r="602" spans="1:26" ht="12" customHeight="1" x14ac:dyDescent="0.2">
      <c r="A602" s="5889"/>
      <c r="B602" s="5887"/>
      <c r="C602" s="45" t="s">
        <v>9545</v>
      </c>
      <c r="D602" s="87"/>
      <c r="E602" s="1291"/>
      <c r="F602" s="1292"/>
      <c r="G602" s="1291"/>
      <c r="H602" s="1291"/>
      <c r="I602" s="1291"/>
      <c r="J602" s="1291"/>
      <c r="K602" s="1291"/>
      <c r="L602" s="2220" t="str">
        <f t="shared" si="23"/>
        <v>&gt; INTANGIBILIDAD</v>
      </c>
      <c r="M602" s="242"/>
      <c r="Z602" s="242"/>
    </row>
    <row r="603" spans="1:26" ht="12" customHeight="1" x14ac:dyDescent="0.2">
      <c r="A603" s="5889"/>
      <c r="B603" s="5887"/>
      <c r="C603" s="45" t="s">
        <v>3029</v>
      </c>
      <c r="D603" s="87"/>
      <c r="E603" s="1291">
        <v>3</v>
      </c>
      <c r="F603" s="1292">
        <v>5</v>
      </c>
      <c r="G603" s="1291">
        <v>10</v>
      </c>
      <c r="H603" s="1291">
        <v>2</v>
      </c>
      <c r="I603" s="1291">
        <v>4</v>
      </c>
      <c r="J603" s="1291">
        <v>7</v>
      </c>
      <c r="K603" s="1291">
        <v>1</v>
      </c>
      <c r="L603" s="2220" t="str">
        <f t="shared" si="23"/>
        <v>Intangibilidad</v>
      </c>
      <c r="M603" s="242"/>
      <c r="Z603" s="242"/>
    </row>
    <row r="604" spans="1:26" ht="12" customHeight="1" x14ac:dyDescent="0.2">
      <c r="A604" s="5889"/>
      <c r="B604" s="5887"/>
      <c r="C604" s="45" t="s">
        <v>3029</v>
      </c>
      <c r="D604" s="87" t="s">
        <v>3258</v>
      </c>
      <c r="E604" s="1291">
        <v>1</v>
      </c>
      <c r="F604" s="1292">
        <v>1</v>
      </c>
      <c r="G604" s="1291">
        <v>5</v>
      </c>
      <c r="H604" s="1291">
        <v>1</v>
      </c>
      <c r="I604" s="1291">
        <v>2</v>
      </c>
      <c r="J604" s="1291">
        <v>4</v>
      </c>
      <c r="K604" s="1291">
        <v>1</v>
      </c>
      <c r="L604" s="2220" t="str">
        <f t="shared" si="23"/>
        <v>IntangibilidadPresencia Simple</v>
      </c>
      <c r="M604" s="242"/>
      <c r="Z604" s="242"/>
    </row>
    <row r="605" spans="1:26" ht="12" customHeight="1" x14ac:dyDescent="0.2">
      <c r="A605" s="5889"/>
      <c r="B605" s="5887"/>
      <c r="C605" s="45" t="s">
        <v>3029</v>
      </c>
      <c r="D605" s="87" t="s">
        <v>3259</v>
      </c>
      <c r="E605" s="1291">
        <v>3</v>
      </c>
      <c r="F605" s="1292">
        <v>3</v>
      </c>
      <c r="G605" s="1291">
        <v>10</v>
      </c>
      <c r="H605" s="1291">
        <v>2</v>
      </c>
      <c r="I605" s="1291">
        <v>4</v>
      </c>
      <c r="J605" s="1291">
        <v>7</v>
      </c>
      <c r="K605" s="1291">
        <v>1</v>
      </c>
      <c r="L605" s="2220" t="str">
        <f t="shared" si="23"/>
        <v>IntangibilidadPresencia Extendida</v>
      </c>
      <c r="M605" s="242"/>
      <c r="Z605" s="242"/>
    </row>
    <row r="606" spans="1:26" ht="12" customHeight="1" x14ac:dyDescent="0.2">
      <c r="A606" s="5889"/>
      <c r="B606" s="5887"/>
      <c r="C606" s="45" t="s">
        <v>3029</v>
      </c>
      <c r="D606" s="87" t="s">
        <v>3260</v>
      </c>
      <c r="E606" s="1291">
        <v>2</v>
      </c>
      <c r="F606" s="1292">
        <v>2</v>
      </c>
      <c r="G606" s="1291">
        <v>10</v>
      </c>
      <c r="H606" s="1291">
        <v>2</v>
      </c>
      <c r="I606" s="1291">
        <v>4</v>
      </c>
      <c r="J606" s="1291">
        <v>7</v>
      </c>
      <c r="K606" s="1291">
        <v>1</v>
      </c>
      <c r="L606" s="2220" t="str">
        <f t="shared" si="23"/>
        <v>IntangibilidadFusión</v>
      </c>
      <c r="M606" s="242"/>
      <c r="Z606" s="242"/>
    </row>
    <row r="607" spans="1:26" ht="12" customHeight="1" x14ac:dyDescent="0.2">
      <c r="A607" s="5889"/>
      <c r="B607" s="5887"/>
      <c r="C607" s="45" t="s">
        <v>9546</v>
      </c>
      <c r="D607" s="87"/>
      <c r="E607" s="1291"/>
      <c r="F607" s="1292"/>
      <c r="G607" s="1291"/>
      <c r="H607" s="1291"/>
      <c r="I607" s="1291"/>
      <c r="J607" s="1291"/>
      <c r="K607" s="1291"/>
      <c r="L607" s="2220" t="str">
        <f t="shared" si="23"/>
        <v>&gt; MARCA</v>
      </c>
      <c r="M607" s="242"/>
      <c r="Z607" s="242"/>
    </row>
    <row r="608" spans="1:26" ht="12" customHeight="1" x14ac:dyDescent="0.2">
      <c r="A608" s="5889"/>
      <c r="B608" s="5887"/>
      <c r="C608" s="45" t="s">
        <v>3032</v>
      </c>
      <c r="D608" s="87" t="s">
        <v>8633</v>
      </c>
      <c r="E608" s="1291">
        <v>4</v>
      </c>
      <c r="F608" s="1292">
        <v>6</v>
      </c>
      <c r="G608" s="1291">
        <v>10</v>
      </c>
      <c r="H608" s="1291">
        <v>2</v>
      </c>
      <c r="I608" s="1291">
        <v>4</v>
      </c>
      <c r="J608" s="1291">
        <v>7</v>
      </c>
      <c r="K608" s="1291">
        <v>1</v>
      </c>
      <c r="L608" s="2220" t="str">
        <f t="shared" si="23"/>
        <v>MarcaMenor</v>
      </c>
      <c r="M608" s="242"/>
      <c r="Z608" s="242"/>
    </row>
    <row r="609" spans="1:26" ht="12" customHeight="1" x14ac:dyDescent="0.2">
      <c r="A609" s="5889"/>
      <c r="B609" s="5887"/>
      <c r="C609" s="45" t="s">
        <v>3032</v>
      </c>
      <c r="D609" s="87" t="s">
        <v>8632</v>
      </c>
      <c r="E609" s="1291">
        <v>10</v>
      </c>
      <c r="F609" s="1292">
        <v>13</v>
      </c>
      <c r="G609" s="1291">
        <v>25</v>
      </c>
      <c r="H609" s="1291">
        <v>4</v>
      </c>
      <c r="I609" s="1291">
        <v>8</v>
      </c>
      <c r="J609" s="1291">
        <v>14</v>
      </c>
      <c r="K609" s="1291">
        <v>2</v>
      </c>
      <c r="L609" s="2220" t="str">
        <f t="shared" si="23"/>
        <v>MarcaMayor</v>
      </c>
      <c r="M609" s="242"/>
      <c r="Z609" s="242"/>
    </row>
    <row r="610" spans="1:26" ht="12" customHeight="1" x14ac:dyDescent="0.2">
      <c r="A610" s="5889"/>
      <c r="B610" s="5887"/>
      <c r="C610" s="45" t="s">
        <v>3032</v>
      </c>
      <c r="D610" s="87" t="s">
        <v>3261</v>
      </c>
      <c r="E610" s="1291">
        <v>4</v>
      </c>
      <c r="F610" s="1292">
        <v>4</v>
      </c>
      <c r="G610" s="1291">
        <v>10</v>
      </c>
      <c r="H610" s="1291"/>
      <c r="I610" s="1291"/>
      <c r="J610" s="1291"/>
      <c r="K610" s="1291">
        <v>1</v>
      </c>
      <c r="L610" s="2220" t="str">
        <f t="shared" si="23"/>
        <v>MarcaPermanencia Prolongada</v>
      </c>
      <c r="M610" s="242"/>
      <c r="Z610" s="242"/>
    </row>
    <row r="611" spans="1:26" ht="12" customHeight="1" x14ac:dyDescent="0.2">
      <c r="A611" s="5889"/>
      <c r="B611" s="5887"/>
      <c r="C611" s="45" t="s">
        <v>3032</v>
      </c>
      <c r="D611" s="87" t="s">
        <v>3262</v>
      </c>
      <c r="E611" s="1291">
        <v>10</v>
      </c>
      <c r="F611" s="1292">
        <v>10</v>
      </c>
      <c r="G611" s="1291">
        <v>30</v>
      </c>
      <c r="H611" s="1291">
        <v>2</v>
      </c>
      <c r="I611" s="1291">
        <v>4</v>
      </c>
      <c r="J611" s="1291">
        <v>7</v>
      </c>
      <c r="K611" s="1291">
        <v>1</v>
      </c>
      <c r="L611" s="2220" t="str">
        <f t="shared" si="23"/>
        <v>MarcaPermanencia Eterna</v>
      </c>
      <c r="M611" s="242"/>
      <c r="Z611" s="242"/>
    </row>
    <row r="612" spans="1:26" ht="12" customHeight="1" x14ac:dyDescent="0.2">
      <c r="A612" s="5889"/>
      <c r="B612" s="5887"/>
      <c r="C612" s="45" t="s">
        <v>9547</v>
      </c>
      <c r="D612" s="87"/>
      <c r="E612" s="1291"/>
      <c r="F612" s="1292"/>
      <c r="G612" s="1291"/>
      <c r="H612" s="1291"/>
      <c r="I612" s="1291"/>
      <c r="J612" s="1291"/>
      <c r="K612" s="1291"/>
      <c r="L612" s="2220" t="str">
        <f t="shared" si="23"/>
        <v>&gt; POTENCIAR CRÍTICO</v>
      </c>
      <c r="M612" s="242"/>
      <c r="Z612" s="242"/>
    </row>
    <row r="613" spans="1:26" ht="12" customHeight="1" x14ac:dyDescent="0.2">
      <c r="A613" s="5889"/>
      <c r="B613" s="5887"/>
      <c r="C613" s="45" t="s">
        <v>9256</v>
      </c>
      <c r="D613" s="87" t="s">
        <v>7748</v>
      </c>
      <c r="E613" s="1291">
        <v>2</v>
      </c>
      <c r="F613" s="1292">
        <v>4</v>
      </c>
      <c r="G613" s="1291">
        <v>5</v>
      </c>
      <c r="H613" s="1291">
        <v>1</v>
      </c>
      <c r="I613" s="1291">
        <v>2</v>
      </c>
      <c r="J613" s="1291">
        <v>4</v>
      </c>
      <c r="K613" s="1291">
        <v>1</v>
      </c>
      <c r="L613" s="2220" t="str">
        <f t="shared" si="23"/>
        <v>Potenciar Crítico+10</v>
      </c>
      <c r="M613" s="242"/>
      <c r="Z613" s="242"/>
    </row>
    <row r="614" spans="1:26" ht="12" customHeight="1" x14ac:dyDescent="0.2">
      <c r="A614" s="5889"/>
      <c r="B614" s="5887"/>
      <c r="C614" s="45" t="s">
        <v>9256</v>
      </c>
      <c r="D614" s="87" t="s">
        <v>7892</v>
      </c>
      <c r="E614" s="1291">
        <v>3</v>
      </c>
      <c r="F614" s="1292">
        <v>5</v>
      </c>
      <c r="G614" s="1291">
        <v>5</v>
      </c>
      <c r="H614" s="1291">
        <v>2</v>
      </c>
      <c r="I614" s="1291">
        <v>4</v>
      </c>
      <c r="J614" s="1291">
        <v>7</v>
      </c>
      <c r="K614" s="1291">
        <v>1</v>
      </c>
      <c r="L614" s="2220" t="str">
        <f t="shared" si="23"/>
        <v>Potenciar Crítico+25</v>
      </c>
      <c r="M614" s="242"/>
      <c r="Z614" s="242"/>
    </row>
    <row r="615" spans="1:26" ht="12" customHeight="1" x14ac:dyDescent="0.2">
      <c r="A615" s="5889"/>
      <c r="B615" s="5887"/>
      <c r="C615" s="45" t="s">
        <v>9256</v>
      </c>
      <c r="D615" s="87" t="s">
        <v>7750</v>
      </c>
      <c r="E615" s="1291">
        <v>4</v>
      </c>
      <c r="F615" s="1292">
        <v>6</v>
      </c>
      <c r="G615" s="1291">
        <v>10</v>
      </c>
      <c r="H615" s="1291">
        <v>3</v>
      </c>
      <c r="I615" s="1291">
        <v>6</v>
      </c>
      <c r="J615" s="1291">
        <v>11</v>
      </c>
      <c r="K615" s="1291">
        <v>1</v>
      </c>
      <c r="L615" s="2220" t="str">
        <f t="shared" si="23"/>
        <v>Potenciar Crítico+40</v>
      </c>
      <c r="M615" s="242"/>
      <c r="Z615" s="242"/>
    </row>
    <row r="616" spans="1:26" ht="12" customHeight="1" x14ac:dyDescent="0.2">
      <c r="A616" s="5889"/>
      <c r="B616" s="5887"/>
      <c r="C616" s="45" t="s">
        <v>9256</v>
      </c>
      <c r="D616" s="87" t="s">
        <v>7751</v>
      </c>
      <c r="E616" s="1291">
        <v>5</v>
      </c>
      <c r="F616" s="1292">
        <v>8</v>
      </c>
      <c r="G616" s="1291">
        <v>15</v>
      </c>
      <c r="H616" s="1291">
        <v>4</v>
      </c>
      <c r="I616" s="1291">
        <v>8</v>
      </c>
      <c r="J616" s="1291">
        <v>14</v>
      </c>
      <c r="K616" s="1291">
        <v>1</v>
      </c>
      <c r="L616" s="2220" t="str">
        <f t="shared" si="23"/>
        <v>Potenciar Crítico+50</v>
      </c>
      <c r="M616" s="242"/>
      <c r="Z616" s="242"/>
    </row>
    <row r="617" spans="1:26" ht="12" customHeight="1" x14ac:dyDescent="0.2">
      <c r="A617" s="5889"/>
      <c r="B617" s="5887"/>
      <c r="C617" s="45" t="s">
        <v>9256</v>
      </c>
      <c r="D617" s="87" t="s">
        <v>9125</v>
      </c>
      <c r="E617" s="1291">
        <v>8</v>
      </c>
      <c r="F617" s="1292">
        <v>11</v>
      </c>
      <c r="G617" s="1291">
        <v>20</v>
      </c>
      <c r="H617" s="1291">
        <v>6</v>
      </c>
      <c r="I617" s="1291">
        <v>12</v>
      </c>
      <c r="J617" s="1291">
        <v>21</v>
      </c>
      <c r="K617" s="1291">
        <v>1</v>
      </c>
      <c r="L617" s="2220" t="str">
        <f t="shared" si="23"/>
        <v>Potenciar Crítico+75</v>
      </c>
      <c r="M617" s="242"/>
      <c r="Z617" s="242"/>
    </row>
    <row r="618" spans="1:26" ht="12" customHeight="1" x14ac:dyDescent="0.2">
      <c r="A618" s="5889"/>
      <c r="B618" s="5887"/>
      <c r="C618" s="45" t="s">
        <v>9256</v>
      </c>
      <c r="D618" s="87" t="s">
        <v>9129</v>
      </c>
      <c r="E618" s="1291">
        <v>12</v>
      </c>
      <c r="F618" s="1292">
        <v>15</v>
      </c>
      <c r="G618" s="1291">
        <v>25</v>
      </c>
      <c r="H618" s="1291">
        <v>8</v>
      </c>
      <c r="I618" s="1291">
        <v>16</v>
      </c>
      <c r="J618" s="1291">
        <v>28</v>
      </c>
      <c r="K618" s="1291">
        <v>1</v>
      </c>
      <c r="L618" s="2220" t="str">
        <f t="shared" si="23"/>
        <v>Potenciar Crítico+90</v>
      </c>
      <c r="M618" s="242"/>
      <c r="Z618" s="242"/>
    </row>
    <row r="619" spans="1:26" ht="12" customHeight="1" x14ac:dyDescent="0.2">
      <c r="A619" s="5889"/>
      <c r="B619" s="5887"/>
      <c r="C619" s="45" t="s">
        <v>9256</v>
      </c>
      <c r="D619" s="87" t="s">
        <v>9132</v>
      </c>
      <c r="E619" s="1291">
        <v>14</v>
      </c>
      <c r="F619" s="1292">
        <v>18</v>
      </c>
      <c r="G619" s="1291">
        <v>30</v>
      </c>
      <c r="H619" s="1291">
        <v>10</v>
      </c>
      <c r="I619" s="1291">
        <v>20</v>
      </c>
      <c r="J619" s="1291">
        <v>35</v>
      </c>
      <c r="K619" s="1291">
        <v>1</v>
      </c>
      <c r="L619" s="2220" t="str">
        <f t="shared" si="23"/>
        <v>Potenciar Crítico+100</v>
      </c>
      <c r="M619" s="242"/>
      <c r="Z619" s="242"/>
    </row>
    <row r="620" spans="1:26" ht="12" customHeight="1" x14ac:dyDescent="0.2">
      <c r="A620" s="5889"/>
      <c r="B620" s="5887"/>
      <c r="C620" s="45" t="s">
        <v>9256</v>
      </c>
      <c r="D620" s="87" t="s">
        <v>9133</v>
      </c>
      <c r="E620" s="1291">
        <v>18</v>
      </c>
      <c r="F620" s="1292">
        <v>22</v>
      </c>
      <c r="G620" s="1291">
        <v>35</v>
      </c>
      <c r="H620" s="1291">
        <v>12</v>
      </c>
      <c r="I620" s="1291">
        <v>24</v>
      </c>
      <c r="J620" s="1291">
        <v>42</v>
      </c>
      <c r="K620" s="1291">
        <v>2</v>
      </c>
      <c r="L620" s="2220" t="str">
        <f t="shared" si="23"/>
        <v>Potenciar Crítico+125</v>
      </c>
      <c r="M620" s="242"/>
      <c r="Z620" s="242"/>
    </row>
    <row r="621" spans="1:26" ht="12" customHeight="1" x14ac:dyDescent="0.2">
      <c r="A621" s="5889"/>
      <c r="B621" s="5887"/>
      <c r="C621" s="45" t="s">
        <v>9256</v>
      </c>
      <c r="D621" s="87" t="s">
        <v>9135</v>
      </c>
      <c r="E621" s="1291">
        <v>22</v>
      </c>
      <c r="F621" s="1292">
        <v>26</v>
      </c>
      <c r="G621" s="1291">
        <v>40</v>
      </c>
      <c r="H621" s="1291">
        <v>14</v>
      </c>
      <c r="I621" s="1291">
        <v>28</v>
      </c>
      <c r="J621" s="1291">
        <v>49</v>
      </c>
      <c r="K621" s="1291">
        <v>2</v>
      </c>
      <c r="L621" s="2220" t="str">
        <f t="shared" si="23"/>
        <v>Potenciar Crítico+150</v>
      </c>
      <c r="M621" s="242"/>
      <c r="Z621" s="242"/>
    </row>
    <row r="622" spans="1:26" ht="12" customHeight="1" x14ac:dyDescent="0.2">
      <c r="A622" s="5889"/>
      <c r="B622" s="5887"/>
      <c r="C622" s="45" t="s">
        <v>9256</v>
      </c>
      <c r="D622" s="87" t="s">
        <v>9138</v>
      </c>
      <c r="E622" s="1291">
        <v>26</v>
      </c>
      <c r="F622" s="1292">
        <v>32</v>
      </c>
      <c r="G622" s="1291">
        <v>45</v>
      </c>
      <c r="H622" s="1291">
        <v>16</v>
      </c>
      <c r="I622" s="1291">
        <v>32</v>
      </c>
      <c r="J622" s="1291">
        <v>56</v>
      </c>
      <c r="K622" s="1291">
        <v>3</v>
      </c>
      <c r="L622" s="2220" t="str">
        <f t="shared" si="23"/>
        <v>Potenciar Crítico+175</v>
      </c>
      <c r="M622" s="242"/>
      <c r="Z622" s="242"/>
    </row>
    <row r="623" spans="1:26" ht="12" customHeight="1" x14ac:dyDescent="0.2">
      <c r="A623" s="5889"/>
      <c r="B623" s="5887"/>
      <c r="C623" s="45" t="s">
        <v>9256</v>
      </c>
      <c r="D623" s="87" t="s">
        <v>9140</v>
      </c>
      <c r="E623" s="1291">
        <v>30</v>
      </c>
      <c r="F623" s="1292">
        <v>36</v>
      </c>
      <c r="G623" s="1291">
        <v>50</v>
      </c>
      <c r="H623" s="1291">
        <v>18</v>
      </c>
      <c r="I623" s="1291">
        <v>36</v>
      </c>
      <c r="J623" s="1291">
        <v>63</v>
      </c>
      <c r="K623" s="1291">
        <v>3</v>
      </c>
      <c r="L623" s="2220" t="str">
        <f t="shared" si="23"/>
        <v>Potenciar Crítico+200</v>
      </c>
      <c r="M623" s="242"/>
      <c r="Z623" s="242"/>
    </row>
    <row r="624" spans="1:26" ht="12" customHeight="1" x14ac:dyDescent="0.2">
      <c r="A624" s="5889"/>
      <c r="B624" s="5887"/>
      <c r="C624" s="45" t="s">
        <v>9256</v>
      </c>
      <c r="D624" s="87" t="s">
        <v>15</v>
      </c>
      <c r="E624" s="1291">
        <v>8</v>
      </c>
      <c r="F624" s="1292">
        <v>8</v>
      </c>
      <c r="G624" s="1291">
        <v>30</v>
      </c>
      <c r="H624" s="1291">
        <v>4</v>
      </c>
      <c r="I624" s="1291">
        <v>8</v>
      </c>
      <c r="J624" s="1291">
        <v>14</v>
      </c>
      <c r="K624" s="1291">
        <v>1</v>
      </c>
      <c r="L624" s="2220" t="str">
        <f t="shared" si="23"/>
        <v>Potenciar CríticoCrítico Automático</v>
      </c>
      <c r="M624" s="242"/>
      <c r="Z624" s="242"/>
    </row>
    <row r="625" spans="1:26" ht="12" customHeight="1" x14ac:dyDescent="0.2">
      <c r="A625" s="5889"/>
      <c r="B625" s="5887"/>
      <c r="C625" s="45" t="s">
        <v>9548</v>
      </c>
      <c r="D625" s="87"/>
      <c r="E625" s="1291"/>
      <c r="F625" s="1292"/>
      <c r="G625" s="1291"/>
      <c r="H625" s="1291"/>
      <c r="I625" s="1291"/>
      <c r="J625" s="1291"/>
      <c r="K625" s="1291"/>
      <c r="L625" s="2220" t="str">
        <f t="shared" si="23"/>
        <v>&gt; POTENCIAR CRÍTICO REAL</v>
      </c>
      <c r="M625" s="242"/>
      <c r="Z625" s="242"/>
    </row>
    <row r="626" spans="1:26" ht="12" customHeight="1" x14ac:dyDescent="0.2">
      <c r="A626" s="5889"/>
      <c r="B626" s="5887"/>
      <c r="C626" s="45" t="s">
        <v>9258</v>
      </c>
      <c r="D626" s="87" t="s">
        <v>7748</v>
      </c>
      <c r="E626" s="1291">
        <v>3</v>
      </c>
      <c r="F626" s="1292">
        <v>5</v>
      </c>
      <c r="G626" s="1291">
        <v>10</v>
      </c>
      <c r="H626" s="1291">
        <v>2</v>
      </c>
      <c r="I626" s="1291">
        <v>4</v>
      </c>
      <c r="J626" s="1291">
        <v>7</v>
      </c>
      <c r="K626" s="1291">
        <v>1</v>
      </c>
      <c r="L626" s="2220" t="str">
        <f t="shared" si="23"/>
        <v>Potenciar Crítico Real+10</v>
      </c>
      <c r="M626" s="242"/>
      <c r="Z626" s="242"/>
    </row>
    <row r="627" spans="1:26" ht="12" customHeight="1" x14ac:dyDescent="0.2">
      <c r="A627" s="5889"/>
      <c r="B627" s="5887"/>
      <c r="C627" s="45" t="s">
        <v>9258</v>
      </c>
      <c r="D627" s="87" t="s">
        <v>7892</v>
      </c>
      <c r="E627" s="1291">
        <v>5</v>
      </c>
      <c r="F627" s="1292">
        <v>8</v>
      </c>
      <c r="G627" s="1291">
        <v>20</v>
      </c>
      <c r="H627" s="1291">
        <v>4</v>
      </c>
      <c r="I627" s="1291">
        <v>8</v>
      </c>
      <c r="J627" s="1291">
        <v>14</v>
      </c>
      <c r="K627" s="1291">
        <v>1</v>
      </c>
      <c r="L627" s="2220" t="str">
        <f t="shared" si="23"/>
        <v>Potenciar Crítico Real+25</v>
      </c>
      <c r="M627" s="242"/>
      <c r="Z627" s="242"/>
    </row>
    <row r="628" spans="1:26" ht="12" customHeight="1" x14ac:dyDescent="0.2">
      <c r="A628" s="5889"/>
      <c r="B628" s="5887"/>
      <c r="C628" s="45" t="s">
        <v>9258</v>
      </c>
      <c r="D628" s="87" t="s">
        <v>7750</v>
      </c>
      <c r="E628" s="1291">
        <v>7</v>
      </c>
      <c r="F628" s="1292">
        <v>9</v>
      </c>
      <c r="G628" s="1291">
        <v>25</v>
      </c>
      <c r="H628" s="1291">
        <v>6</v>
      </c>
      <c r="I628" s="1291">
        <v>12</v>
      </c>
      <c r="J628" s="1291">
        <v>21</v>
      </c>
      <c r="K628" s="1291">
        <v>1</v>
      </c>
      <c r="L628" s="2220" t="str">
        <f t="shared" si="23"/>
        <v>Potenciar Crítico Real+40</v>
      </c>
      <c r="M628" s="242"/>
      <c r="Z628" s="242"/>
    </row>
    <row r="629" spans="1:26" ht="12" customHeight="1" x14ac:dyDescent="0.2">
      <c r="A629" s="5889"/>
      <c r="B629" s="5887"/>
      <c r="C629" s="87" t="s">
        <v>9258</v>
      </c>
      <c r="D629" s="87" t="s">
        <v>7751</v>
      </c>
      <c r="E629" s="1291">
        <v>9</v>
      </c>
      <c r="F629" s="1292">
        <v>12</v>
      </c>
      <c r="G629" s="1291">
        <v>35</v>
      </c>
      <c r="H629" s="1291">
        <v>8</v>
      </c>
      <c r="I629" s="1291">
        <v>16</v>
      </c>
      <c r="J629" s="1291">
        <v>28</v>
      </c>
      <c r="K629" s="1291">
        <v>2</v>
      </c>
      <c r="L629" s="2220" t="str">
        <f t="shared" si="23"/>
        <v>Potenciar Crítico Real+50</v>
      </c>
      <c r="M629" s="242"/>
      <c r="Z629" s="242"/>
    </row>
    <row r="630" spans="1:26" ht="12" customHeight="1" x14ac:dyDescent="0.2">
      <c r="A630" s="5889"/>
      <c r="B630" s="5887"/>
      <c r="C630" s="87" t="s">
        <v>9258</v>
      </c>
      <c r="D630" s="87" t="s">
        <v>9125</v>
      </c>
      <c r="E630" s="1291">
        <v>12</v>
      </c>
      <c r="F630" s="1292">
        <v>15</v>
      </c>
      <c r="G630" s="1291">
        <v>50</v>
      </c>
      <c r="H630" s="1291">
        <v>10</v>
      </c>
      <c r="I630" s="1291">
        <v>20</v>
      </c>
      <c r="J630" s="1291">
        <v>35</v>
      </c>
      <c r="K630" s="1291">
        <v>2</v>
      </c>
      <c r="L630" s="2220" t="str">
        <f t="shared" si="23"/>
        <v>Potenciar Crítico Real+75</v>
      </c>
      <c r="M630" s="242"/>
      <c r="Z630" s="242"/>
    </row>
    <row r="631" spans="1:26" ht="12" customHeight="1" x14ac:dyDescent="0.2">
      <c r="A631" s="5889"/>
      <c r="B631" s="5887"/>
      <c r="C631" s="87" t="s">
        <v>9258</v>
      </c>
      <c r="D631" s="87" t="s">
        <v>9129</v>
      </c>
      <c r="E631" s="1291">
        <v>16</v>
      </c>
      <c r="F631" s="1292">
        <v>20</v>
      </c>
      <c r="G631" s="1291">
        <v>60</v>
      </c>
      <c r="H631" s="1291">
        <v>12</v>
      </c>
      <c r="I631" s="1291">
        <v>24</v>
      </c>
      <c r="J631" s="1291">
        <v>42</v>
      </c>
      <c r="K631" s="1291">
        <v>3</v>
      </c>
      <c r="L631" s="2220" t="str">
        <f t="shared" si="23"/>
        <v>Potenciar Crítico Real+90</v>
      </c>
      <c r="M631" s="242"/>
      <c r="Z631" s="242"/>
    </row>
    <row r="632" spans="1:26" ht="12" customHeight="1" x14ac:dyDescent="0.2">
      <c r="A632" s="5889"/>
      <c r="B632" s="5887"/>
      <c r="C632" s="87" t="s">
        <v>9258</v>
      </c>
      <c r="D632" s="87" t="s">
        <v>9132</v>
      </c>
      <c r="E632" s="1291">
        <v>18</v>
      </c>
      <c r="F632" s="1292">
        <v>22</v>
      </c>
      <c r="G632" s="1291">
        <v>65</v>
      </c>
      <c r="H632" s="1291">
        <v>14</v>
      </c>
      <c r="I632" s="1291">
        <v>28</v>
      </c>
      <c r="J632" s="1291">
        <v>49</v>
      </c>
      <c r="K632" s="1291">
        <v>3</v>
      </c>
      <c r="L632" s="2220" t="str">
        <f t="shared" si="23"/>
        <v>Potenciar Crítico Real+100</v>
      </c>
      <c r="M632" s="242"/>
      <c r="Z632" s="242"/>
    </row>
    <row r="633" spans="1:26" ht="12" customHeight="1" x14ac:dyDescent="0.2">
      <c r="A633" s="5889"/>
      <c r="B633" s="5887"/>
      <c r="C633" s="87" t="s">
        <v>9258</v>
      </c>
      <c r="D633" s="87" t="s">
        <v>15</v>
      </c>
      <c r="E633" s="1291">
        <v>8</v>
      </c>
      <c r="F633" s="1292">
        <v>8</v>
      </c>
      <c r="G633" s="1291">
        <v>30</v>
      </c>
      <c r="H633" s="1291">
        <v>4</v>
      </c>
      <c r="I633" s="1291">
        <v>8</v>
      </c>
      <c r="J633" s="1291">
        <v>14</v>
      </c>
      <c r="K633" s="1291">
        <v>1</v>
      </c>
      <c r="L633" s="2220" t="str">
        <f t="shared" si="23"/>
        <v>Potenciar Crítico RealCrítico Automático</v>
      </c>
      <c r="M633" s="242"/>
      <c r="Z633" s="242"/>
    </row>
    <row r="634" spans="1:26" ht="12" customHeight="1" x14ac:dyDescent="0.2">
      <c r="A634" s="5889"/>
      <c r="B634" s="5887"/>
      <c r="C634" s="87" t="s">
        <v>9549</v>
      </c>
      <c r="D634" s="87"/>
      <c r="E634" s="1291"/>
      <c r="F634" s="1292"/>
      <c r="G634" s="1291"/>
      <c r="H634" s="1291"/>
      <c r="I634" s="1291"/>
      <c r="J634" s="1291"/>
      <c r="K634" s="1291"/>
      <c r="L634" s="2220" t="str">
        <f t="shared" si="23"/>
        <v>&gt; REFLECTAR EL ATAQUE</v>
      </c>
      <c r="M634" s="242"/>
      <c r="N634" s="2372"/>
      <c r="Z634" s="242"/>
    </row>
    <row r="635" spans="1:26" ht="12" customHeight="1" x14ac:dyDescent="0.2">
      <c r="A635" s="5889"/>
      <c r="B635" s="5887"/>
      <c r="C635" s="1292" t="s">
        <v>9550</v>
      </c>
      <c r="D635" s="1291"/>
      <c r="E635" s="1291">
        <v>12</v>
      </c>
      <c r="F635" s="1291">
        <v>15</v>
      </c>
      <c r="G635" s="1291">
        <v>30</v>
      </c>
      <c r="H635" s="1291">
        <v>8</v>
      </c>
      <c r="I635" s="1291">
        <v>16</v>
      </c>
      <c r="J635" s="1291">
        <v>28</v>
      </c>
      <c r="K635" s="1291">
        <v>2</v>
      </c>
      <c r="L635" s="2459" t="str">
        <f t="shared" si="23"/>
        <v>Reflectar El Ataque</v>
      </c>
      <c r="M635" s="242"/>
      <c r="Z635" s="242"/>
    </row>
    <row r="636" spans="1:26" ht="12" customHeight="1" x14ac:dyDescent="0.2">
      <c r="A636" s="5889"/>
      <c r="B636" s="5887"/>
      <c r="C636" s="1292" t="s">
        <v>9550</v>
      </c>
      <c r="D636" s="1291" t="s">
        <v>3225</v>
      </c>
      <c r="E636" s="1291">
        <v>2</v>
      </c>
      <c r="F636" s="1291">
        <v>2</v>
      </c>
      <c r="G636" s="1291">
        <v>10</v>
      </c>
      <c r="H636" s="1291">
        <v>2</v>
      </c>
      <c r="I636" s="1291">
        <v>4</v>
      </c>
      <c r="J636" s="1291">
        <v>7</v>
      </c>
      <c r="K636" s="1291">
        <v>1</v>
      </c>
      <c r="L636" s="2459" t="str">
        <f t="shared" si="23"/>
        <v>Reflectar El AtaqueElección de Blanco</v>
      </c>
      <c r="M636" s="242"/>
      <c r="Z636" s="242"/>
    </row>
    <row r="637" spans="1:26" ht="12" customHeight="1" x14ac:dyDescent="0.2">
      <c r="A637" s="5889"/>
      <c r="B637" s="5887"/>
      <c r="C637" s="1292" t="s">
        <v>9550</v>
      </c>
      <c r="D637" s="1292" t="s">
        <v>3264</v>
      </c>
      <c r="E637" s="1291">
        <v>4</v>
      </c>
      <c r="F637" s="1291">
        <v>4</v>
      </c>
      <c r="G637" s="1291">
        <v>20</v>
      </c>
      <c r="H637" s="1291">
        <v>1</v>
      </c>
      <c r="I637" s="1291">
        <v>2</v>
      </c>
      <c r="J637" s="1291">
        <v>4</v>
      </c>
      <c r="K637" s="1291">
        <v>1</v>
      </c>
      <c r="L637" s="2459" t="str">
        <f>C637&amp;D637</f>
        <v>Reflectar El AtaqueReflectar Habilidades Esotéricas</v>
      </c>
      <c r="M637" s="242"/>
      <c r="Z637" s="242"/>
    </row>
    <row r="638" spans="1:26" ht="12" customHeight="1" x14ac:dyDescent="0.2">
      <c r="A638" s="5889"/>
      <c r="B638" s="5887"/>
      <c r="C638" s="1292" t="str">
        <f>O83</f>
        <v>&gt;&gt; EFECTOS PERSONALIZADOS</v>
      </c>
      <c r="D638" s="1291"/>
      <c r="E638" s="1291"/>
      <c r="F638" s="1291"/>
      <c r="G638" s="1291"/>
      <c r="H638" s="1291"/>
      <c r="I638" s="1291"/>
      <c r="J638" s="1291"/>
      <c r="K638" s="1291"/>
      <c r="L638" s="2459"/>
      <c r="M638" s="242"/>
      <c r="Z638" s="242"/>
    </row>
    <row r="639" spans="1:26" ht="12" customHeight="1" x14ac:dyDescent="0.2">
      <c r="A639" s="5889"/>
      <c r="B639" s="5887"/>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60" t="str">
        <f>C639</f>
        <v>Efecto Personalizado #1</v>
      </c>
      <c r="M639" s="242"/>
      <c r="Z639" s="242"/>
    </row>
    <row r="640" spans="1:26" ht="12" customHeight="1" x14ac:dyDescent="0.2">
      <c r="A640" s="5889"/>
      <c r="B640" s="5887"/>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60" t="str">
        <f t="shared" ref="L640:L643" si="24">C640</f>
        <v>Efecto Personalizado #2</v>
      </c>
      <c r="Q640" s="1029"/>
      <c r="T640" s="1029"/>
      <c r="U640" s="1029"/>
      <c r="V640" s="1029"/>
      <c r="W640" s="1029"/>
      <c r="X640" s="1029"/>
      <c r="Y640" s="1029"/>
    </row>
    <row r="641" spans="1:21" ht="12" customHeight="1" x14ac:dyDescent="0.2">
      <c r="A641" s="5889"/>
      <c r="B641" s="5887"/>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60" t="str">
        <f t="shared" si="24"/>
        <v>Efecto Personalizado #3</v>
      </c>
    </row>
    <row r="642" spans="1:21" ht="12" customHeight="1" x14ac:dyDescent="0.2">
      <c r="A642" s="5889"/>
      <c r="B642" s="5887"/>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60" t="str">
        <f t="shared" si="24"/>
        <v>Efecto Personalizado #4</v>
      </c>
    </row>
    <row r="643" spans="1:21" ht="12" customHeight="1" thickBot="1" x14ac:dyDescent="0.25">
      <c r="A643" s="5889"/>
      <c r="B643" s="5888"/>
      <c r="C643" s="2234" t="str">
        <f t="shared" si="25"/>
        <v>Efecto Personalizado #5</v>
      </c>
      <c r="D643" s="2225"/>
      <c r="E643" s="2225">
        <f>Personalización!AV52</f>
        <v>0</v>
      </c>
      <c r="F643" s="2225">
        <f>Personalización!AW52</f>
        <v>0</v>
      </c>
      <c r="G643" s="2225">
        <f>Personalización!AX52</f>
        <v>0</v>
      </c>
      <c r="H643" s="2225">
        <f>Personalización!AY52</f>
        <v>0</v>
      </c>
      <c r="I643" s="2225">
        <f>Personalización!AZ52</f>
        <v>0</v>
      </c>
      <c r="J643" s="2225">
        <f>Personalización!BA52</f>
        <v>0</v>
      </c>
      <c r="K643" s="2225">
        <f>Personalización!BB52</f>
        <v>0</v>
      </c>
      <c r="L643" s="2461" t="str">
        <f t="shared" si="24"/>
        <v>Efecto Personalizado #5</v>
      </c>
    </row>
    <row r="647" spans="1:21" ht="12" customHeight="1" x14ac:dyDescent="0.2">
      <c r="A647" s="5664"/>
      <c r="B647" s="5880" t="s">
        <v>9551</v>
      </c>
      <c r="C647" s="5880"/>
      <c r="D647" s="5880"/>
      <c r="E647" s="5880"/>
      <c r="F647" s="5880"/>
      <c r="G647" s="5880"/>
      <c r="H647" s="5880"/>
      <c r="I647" s="5880"/>
      <c r="J647" s="5880"/>
      <c r="K647" s="5880"/>
      <c r="L647" s="5880"/>
      <c r="M647" s="5880"/>
      <c r="N647" s="5880"/>
      <c r="O647" s="5880"/>
      <c r="P647" s="5880"/>
      <c r="Q647" s="5880"/>
      <c r="R647" s="5880"/>
      <c r="S647" s="5880"/>
      <c r="T647" s="5880"/>
      <c r="U647" s="5880"/>
    </row>
    <row r="648" spans="1:21" ht="12" customHeight="1" x14ac:dyDescent="0.2">
      <c r="A648" s="5664"/>
      <c r="B648" s="5880"/>
      <c r="C648" s="5880"/>
      <c r="D648" s="5880"/>
      <c r="E648" s="5880"/>
      <c r="F648" s="5880"/>
      <c r="G648" s="5880"/>
      <c r="H648" s="5880"/>
      <c r="I648" s="5880"/>
      <c r="J648" s="5880"/>
      <c r="K648" s="5880"/>
      <c r="L648" s="5880"/>
      <c r="M648" s="5880"/>
      <c r="N648" s="5880"/>
      <c r="O648" s="5880"/>
      <c r="P648" s="5880"/>
      <c r="Q648" s="5880"/>
      <c r="R648" s="5880"/>
      <c r="S648" s="5880"/>
      <c r="T648" s="5880"/>
      <c r="U648" s="5880"/>
    </row>
    <row r="649" spans="1:21" ht="12" customHeight="1" x14ac:dyDescent="0.2">
      <c r="A649" s="5664"/>
      <c r="B649" s="5880"/>
      <c r="C649" s="5880"/>
      <c r="D649" s="5880"/>
      <c r="E649" s="5880"/>
      <c r="F649" s="5880"/>
      <c r="G649" s="5880"/>
      <c r="H649" s="5880"/>
      <c r="I649" s="5880"/>
      <c r="J649" s="5880"/>
      <c r="K649" s="5880"/>
      <c r="L649" s="5880"/>
      <c r="M649" s="5880"/>
      <c r="N649" s="5880"/>
      <c r="O649" s="5880"/>
      <c r="P649" s="5880"/>
      <c r="Q649" s="5880"/>
      <c r="R649" s="5880"/>
      <c r="S649" s="5880"/>
      <c r="T649" s="5880"/>
      <c r="U649" s="5880"/>
    </row>
    <row r="650" spans="1:21" ht="12" customHeight="1" thickBot="1" x14ac:dyDescent="0.25">
      <c r="A650" s="5664"/>
      <c r="O650" s="2227"/>
      <c r="U650" s="242"/>
    </row>
    <row r="651" spans="1:21" ht="12" customHeight="1" x14ac:dyDescent="0.2">
      <c r="A651" s="5664"/>
      <c r="B651" s="5664"/>
      <c r="C651" s="5872" t="s">
        <v>9552</v>
      </c>
      <c r="D651" s="5873"/>
      <c r="E651" s="5873"/>
      <c r="F651" s="5873"/>
      <c r="G651" s="5873"/>
      <c r="H651" s="5873"/>
      <c r="I651" s="5873"/>
      <c r="J651" s="5873"/>
      <c r="K651" s="5873"/>
      <c r="L651" s="5873"/>
      <c r="M651" s="5873"/>
      <c r="N651" s="5873"/>
      <c r="O651" s="5873"/>
      <c r="P651" s="5873"/>
      <c r="Q651" s="5873"/>
      <c r="R651" s="5873"/>
      <c r="S651" s="5874"/>
      <c r="U651" s="5881" t="s">
        <v>9581</v>
      </c>
    </row>
    <row r="652" spans="1:21" ht="12" customHeight="1" x14ac:dyDescent="0.2">
      <c r="A652" s="5664"/>
      <c r="B652" s="5664"/>
      <c r="C652" s="5875"/>
      <c r="D652" s="5876"/>
      <c r="E652" s="5876"/>
      <c r="F652" s="5876"/>
      <c r="G652" s="5876"/>
      <c r="H652" s="5876"/>
      <c r="I652" s="5876"/>
      <c r="J652" s="5876"/>
      <c r="K652" s="5876"/>
      <c r="L652" s="5876"/>
      <c r="M652" s="5876"/>
      <c r="N652" s="5876"/>
      <c r="O652" s="5876"/>
      <c r="P652" s="5876"/>
      <c r="Q652" s="5876"/>
      <c r="R652" s="5876"/>
      <c r="S652" s="5877"/>
      <c r="U652" s="5882"/>
    </row>
    <row r="653" spans="1:21" ht="12" customHeight="1" x14ac:dyDescent="0.2">
      <c r="A653" s="5664"/>
      <c r="B653" s="5664"/>
      <c r="C653" s="405">
        <v>1</v>
      </c>
      <c r="D653" s="398">
        <v>2</v>
      </c>
      <c r="E653" s="398">
        <v>3</v>
      </c>
      <c r="F653" s="398">
        <v>4</v>
      </c>
      <c r="G653" s="398">
        <v>5</v>
      </c>
      <c r="H653" s="398">
        <v>6</v>
      </c>
      <c r="I653" s="398">
        <v>7</v>
      </c>
      <c r="J653" s="398">
        <v>8</v>
      </c>
      <c r="K653" s="398">
        <v>9</v>
      </c>
      <c r="L653" s="398">
        <v>10</v>
      </c>
      <c r="M653" s="5878">
        <v>11</v>
      </c>
      <c r="N653" s="5878"/>
      <c r="O653" s="5878"/>
      <c r="P653" s="5878"/>
      <c r="Q653" s="5878"/>
      <c r="R653" s="5878"/>
      <c r="S653" s="5879"/>
      <c r="U653" s="2235" t="s">
        <v>9557</v>
      </c>
    </row>
    <row r="654" spans="1:21" ht="12" customHeight="1" x14ac:dyDescent="0.2">
      <c r="A654" s="5664"/>
      <c r="B654" s="5664"/>
      <c r="C654" s="405" t="s">
        <v>1449</v>
      </c>
      <c r="D654" s="398" t="s">
        <v>9553</v>
      </c>
      <c r="E654" s="398" t="s">
        <v>1411</v>
      </c>
      <c r="F654" s="398" t="s">
        <v>9821</v>
      </c>
      <c r="G654" s="398" t="s">
        <v>9822</v>
      </c>
      <c r="H654" s="398" t="s">
        <v>1498</v>
      </c>
      <c r="I654" s="398" t="s">
        <v>2910</v>
      </c>
      <c r="J654" s="2347" t="s">
        <v>9820</v>
      </c>
      <c r="K654" s="398" t="s">
        <v>1407</v>
      </c>
      <c r="L654" s="398" t="s">
        <v>9554</v>
      </c>
      <c r="M654" s="2347" t="s">
        <v>9853</v>
      </c>
      <c r="N654" s="398" t="s">
        <v>9826</v>
      </c>
      <c r="O654" s="398" t="s">
        <v>9827</v>
      </c>
      <c r="P654" s="398" t="s">
        <v>9828</v>
      </c>
      <c r="Q654" s="398" t="s">
        <v>9829</v>
      </c>
      <c r="R654" s="398" t="s">
        <v>9830</v>
      </c>
      <c r="S654" s="2354" t="s">
        <v>9831</v>
      </c>
      <c r="U654" s="2235" t="s">
        <v>9558</v>
      </c>
    </row>
    <row r="655" spans="1:21" ht="12" customHeight="1" x14ac:dyDescent="0.2">
      <c r="A655" s="5664"/>
      <c r="B655" s="5664"/>
      <c r="C655" s="2349" t="s">
        <v>2911</v>
      </c>
      <c r="D655" s="2350"/>
      <c r="E655" s="2351"/>
      <c r="F655" s="2351"/>
      <c r="G655" s="2352"/>
      <c r="H655" s="2353"/>
      <c r="I655" s="2353"/>
      <c r="J655" s="2353"/>
      <c r="K655" s="2353"/>
      <c r="L655" s="2353"/>
      <c r="M655" s="2362"/>
      <c r="N655" s="2353"/>
      <c r="O655" s="2353"/>
      <c r="P655" s="2353"/>
      <c r="Q655" s="2353"/>
      <c r="R655" s="2353"/>
      <c r="S655" s="2355"/>
      <c r="U655" s="2235" t="s">
        <v>2773</v>
      </c>
    </row>
    <row r="656" spans="1:21" ht="12" customHeight="1" x14ac:dyDescent="0.2">
      <c r="A656" s="5664"/>
      <c r="B656" s="5664"/>
      <c r="C656" s="2349" t="str">
        <f>IF(INDEX('Creación de Técnicas'!D:D,$L656)="","Técnica Propia "&amp;Tablas!$A1,INDEX('Creación de Técnicas'!D:D,$L656))</f>
        <v>Nombre de la técnica</v>
      </c>
      <c r="D656" s="2350" t="str">
        <f>PROPER(MID(C655,3,100))</f>
        <v>Técnicas Propias</v>
      </c>
      <c r="E656" s="2352">
        <f>MAX(1,INDEX('Creación de Técnicas'!P:P,$L656))</f>
        <v>1</v>
      </c>
      <c r="F656" s="2352">
        <f>INDEX('Creación de Técnicas'!U:U,$L656)</f>
        <v>20</v>
      </c>
      <c r="G656" s="2352">
        <f>F656</f>
        <v>20</v>
      </c>
      <c r="H656" s="2353" t="str">
        <f>INDEX('Creación de Técnicas'!X:X,$L656)</f>
        <v/>
      </c>
      <c r="I656" s="2353" t="str">
        <f>IFERROR(IF(INDEX('Creación de Técnicas'!U:U,$L656)="Si","Combinable. ","")&amp;INDEX('Creación de Técnicas'!AO:AO,$L656+12),"-")</f>
        <v>-</v>
      </c>
      <c r="J656" s="2353" t="str">
        <f>IFERROR(INDEX('Creación de Técnicas'!AO:AO,$L656+13),"-")</f>
        <v>-</v>
      </c>
      <c r="K656" s="2353"/>
      <c r="L656" s="2353">
        <f>12+((45-12)*(Tablas!$A1-1))</f>
        <v>12</v>
      </c>
      <c r="M656" s="2362" t="s">
        <v>9854</v>
      </c>
      <c r="N656" s="2353"/>
      <c r="O656" s="2353"/>
      <c r="P656" s="2353"/>
      <c r="Q656" s="2353"/>
      <c r="R656" s="2353"/>
      <c r="S656" s="2355"/>
      <c r="U656" s="2235" t="s">
        <v>9559</v>
      </c>
    </row>
    <row r="657" spans="1:22" ht="12" customHeight="1" x14ac:dyDescent="0.2">
      <c r="A657" s="5664"/>
      <c r="B657" s="5664"/>
      <c r="C657" s="2349" t="str">
        <f>IF(INDEX('Creación de Técnicas'!D:D,L657)="","Técnica Propia "&amp;Tablas!$A2,INDEX('Creación de Técnicas'!D:D,L657))</f>
        <v>Nombre de la técnica</v>
      </c>
      <c r="D657" s="2350" t="str">
        <f>D656</f>
        <v>Técnicas Propias</v>
      </c>
      <c r="E657" s="2352">
        <f>MAX(1,INDEX('Creación de Técnicas'!P:P,$L657))</f>
        <v>1</v>
      </c>
      <c r="F657" s="2352">
        <f>INDEX('Creación de Técnicas'!U:U,$L657)</f>
        <v>20</v>
      </c>
      <c r="G657" s="2352">
        <f t="shared" ref="G657:G665" si="26">F657</f>
        <v>20</v>
      </c>
      <c r="H657" s="2353" t="str">
        <f>INDEX('Creación de Técnicas'!X:X,$L657)</f>
        <v/>
      </c>
      <c r="I657" s="2353" t="str">
        <f>IFERROR(IF(INDEX('Creación de Técnicas'!U:U,$L657)="Si","Combinable. ","")&amp;INDEX('Creación de Técnicas'!AO:AO,$L657+12),"-")</f>
        <v>-</v>
      </c>
      <c r="J657" s="2353" t="str">
        <f>IFERROR(INDEX('Creación de Técnicas'!AO:AO,$L657+13),"-")</f>
        <v>-</v>
      </c>
      <c r="K657" s="2353"/>
      <c r="L657" s="2353">
        <f>12+((46-12)*(Tablas!$A2-1))</f>
        <v>46</v>
      </c>
      <c r="M657" s="2362" t="s">
        <v>9854</v>
      </c>
      <c r="N657" s="2353"/>
      <c r="O657" s="2353"/>
      <c r="P657" s="2353"/>
      <c r="Q657" s="2353"/>
      <c r="R657" s="2353"/>
      <c r="S657" s="2355"/>
      <c r="U657" s="2235" t="s">
        <v>9560</v>
      </c>
    </row>
    <row r="658" spans="1:22" ht="12" customHeight="1" x14ac:dyDescent="0.2">
      <c r="A658" s="5664"/>
      <c r="B658" s="5664"/>
      <c r="C658" s="2349" t="str">
        <f>IF(INDEX('Creación de Técnicas'!D:D,L658)="","Técnica Propia "&amp;Tablas!$A3,INDEX('Creación de Técnicas'!D:D,L658))</f>
        <v>Nombre de la técnica</v>
      </c>
      <c r="D658" s="2350" t="str">
        <f>D657</f>
        <v>Técnicas Propias</v>
      </c>
      <c r="E658" s="2352">
        <f>MAX(1,INDEX('Creación de Técnicas'!P:P,$L658))</f>
        <v>1</v>
      </c>
      <c r="F658" s="2352">
        <f>INDEX('Creación de Técnicas'!U:U,$L658)</f>
        <v>20</v>
      </c>
      <c r="G658" s="2352">
        <f t="shared" si="26"/>
        <v>20</v>
      </c>
      <c r="H658" s="2353" t="str">
        <f>INDEX('Creación de Técnicas'!X:X,$L658)</f>
        <v/>
      </c>
      <c r="I658" s="2353" t="str">
        <f>IFERROR(IF(INDEX('Creación de Técnicas'!U:U,$L658)="Si","Combinable. ","")&amp;INDEX('Creación de Técnicas'!AO:AO,$L658+12),"-")</f>
        <v>-</v>
      </c>
      <c r="J658" s="2353" t="str">
        <f>IFERROR(INDEX('Creación de Técnicas'!AO:AO,$L658+13),"-")</f>
        <v>-</v>
      </c>
      <c r="K658" s="2353"/>
      <c r="L658" s="2353">
        <f>12+((46-12)*(Tablas!$A3-1))</f>
        <v>80</v>
      </c>
      <c r="M658" s="2362" t="s">
        <v>9854</v>
      </c>
      <c r="N658" s="2353"/>
      <c r="O658" s="2353"/>
      <c r="P658" s="2353"/>
      <c r="Q658" s="2353"/>
      <c r="R658" s="2353"/>
      <c r="S658" s="2355"/>
      <c r="U658" s="2235" t="s">
        <v>9561</v>
      </c>
    </row>
    <row r="659" spans="1:22" ht="12" customHeight="1" x14ac:dyDescent="0.2">
      <c r="A659" s="5664"/>
      <c r="B659" s="5664"/>
      <c r="C659" s="2349" t="str">
        <f>IF(INDEX('Creación de Técnicas'!D:D,L659)="","Técnica Propia "&amp;Tablas!$A4,INDEX('Creación de Técnicas'!D:D,L659))</f>
        <v>Nombre de la técnica</v>
      </c>
      <c r="D659" s="2350" t="str">
        <f>D658</f>
        <v>Técnicas Propias</v>
      </c>
      <c r="E659" s="2352">
        <f>MAX(1,INDEX('Creación de Técnicas'!P:P,$L659))</f>
        <v>1</v>
      </c>
      <c r="F659" s="2352">
        <f>INDEX('Creación de Técnicas'!U:U,$L659)</f>
        <v>20</v>
      </c>
      <c r="G659" s="2352">
        <f t="shared" si="26"/>
        <v>20</v>
      </c>
      <c r="H659" s="2353" t="str">
        <f>INDEX('Creación de Técnicas'!X:X,$L659)</f>
        <v/>
      </c>
      <c r="I659" s="2353" t="str">
        <f>IFERROR(IF(INDEX('Creación de Técnicas'!U:U,$L659)="Si","Combinable. ","")&amp;INDEX('Creación de Técnicas'!AO:AO,$L659+12),"-")</f>
        <v>-</v>
      </c>
      <c r="J659" s="2353" t="str">
        <f>IFERROR(INDEX('Creación de Técnicas'!AO:AO,$L659+13),"-")</f>
        <v>-</v>
      </c>
      <c r="K659" s="2353"/>
      <c r="L659" s="2353">
        <f>12+((46-12)*(Tablas!$A4-1))</f>
        <v>114</v>
      </c>
      <c r="M659" s="2362" t="s">
        <v>9854</v>
      </c>
      <c r="N659" s="2353"/>
      <c r="O659" s="2353"/>
      <c r="P659" s="2353"/>
      <c r="Q659" s="2353"/>
      <c r="R659" s="2353"/>
      <c r="S659" s="2355"/>
      <c r="U659" s="2235" t="s">
        <v>9562</v>
      </c>
    </row>
    <row r="660" spans="1:22" ht="12" customHeight="1" x14ac:dyDescent="0.2">
      <c r="A660" s="5664"/>
      <c r="B660" s="5664"/>
      <c r="C660" s="2349" t="str">
        <f>IF(INDEX('Creación de Técnicas'!D:D,L660)="","Técnica Propia "&amp;Tablas!$A5,INDEX('Creación de Técnicas'!D:D,L660))</f>
        <v>Nombre de la técnica</v>
      </c>
      <c r="D660" s="2350" t="str">
        <f>D659</f>
        <v>Técnicas Propias</v>
      </c>
      <c r="E660" s="2352">
        <f>MAX(1,INDEX('Creación de Técnicas'!P:P,$L660))</f>
        <v>1</v>
      </c>
      <c r="F660" s="2352">
        <f>INDEX('Creación de Técnicas'!U:U,$L660)</f>
        <v>20</v>
      </c>
      <c r="G660" s="2352">
        <f t="shared" si="26"/>
        <v>20</v>
      </c>
      <c r="H660" s="2353" t="str">
        <f>INDEX('Creación de Técnicas'!X:X,$L660)</f>
        <v/>
      </c>
      <c r="I660" s="2353" t="str">
        <f>IFERROR(IF(INDEX('Creación de Técnicas'!U:U,$L660)="Si","Combinable. ","")&amp;INDEX('Creación de Técnicas'!AO:AO,$L660+12),"-")</f>
        <v>-</v>
      </c>
      <c r="J660" s="2353" t="str">
        <f>IFERROR(INDEX('Creación de Técnicas'!AO:AO,$L660+13),"-")</f>
        <v>-</v>
      </c>
      <c r="K660" s="2353"/>
      <c r="L660" s="2353">
        <f>12+((46-12)*(Tablas!$A5-1))</f>
        <v>148</v>
      </c>
      <c r="M660" s="2362" t="s">
        <v>9854</v>
      </c>
      <c r="N660" s="2353"/>
      <c r="O660" s="2353"/>
      <c r="P660" s="2353"/>
      <c r="Q660" s="2353"/>
      <c r="R660" s="2353"/>
      <c r="S660" s="2355"/>
      <c r="U660" s="2235" t="s">
        <v>9563</v>
      </c>
    </row>
    <row r="661" spans="1:22" ht="12" customHeight="1" x14ac:dyDescent="0.2">
      <c r="A661" s="5664"/>
      <c r="B661" s="5664"/>
      <c r="C661" s="2349" t="str">
        <f>IF(INDEX('Creación de Técnicas'!D:D,L661)="","Técnica Propia "&amp;Tablas!$A6,INDEX('Creación de Técnicas'!D:D,L661))</f>
        <v>Nombre de la técnica</v>
      </c>
      <c r="D661" s="2350" t="str">
        <f t="shared" ref="D661:D665" si="27">D660</f>
        <v>Técnicas Propias</v>
      </c>
      <c r="E661" s="2352">
        <f>MAX(1,INDEX('Creación de Técnicas'!P:P,$L661))</f>
        <v>1</v>
      </c>
      <c r="F661" s="2352">
        <f>INDEX('Creación de Técnicas'!U:U,$L661)</f>
        <v>20</v>
      </c>
      <c r="G661" s="2352">
        <f t="shared" si="26"/>
        <v>20</v>
      </c>
      <c r="H661" s="2353" t="str">
        <f>INDEX('Creación de Técnicas'!X:X,$L661)</f>
        <v/>
      </c>
      <c r="I661" s="2353" t="str">
        <f>IFERROR(IF(INDEX('Creación de Técnicas'!U:U,$L661)="Si","Combinable. ","")&amp;INDEX('Creación de Técnicas'!AO:AO,$L661+12),"-")</f>
        <v>-</v>
      </c>
      <c r="J661" s="2353" t="str">
        <f>IFERROR(INDEX('Creación de Técnicas'!AO:AO,$L661+13),"-")</f>
        <v>-</v>
      </c>
      <c r="K661" s="2353"/>
      <c r="L661" s="2353">
        <f>12+((46-12)*(Tablas!$A6-1))</f>
        <v>182</v>
      </c>
      <c r="M661" s="2362" t="s">
        <v>9854</v>
      </c>
      <c r="N661" s="2353"/>
      <c r="O661" s="2353"/>
      <c r="P661" s="2353"/>
      <c r="Q661" s="2353"/>
      <c r="R661" s="2353"/>
      <c r="S661" s="2355"/>
      <c r="U661" s="2235" t="s">
        <v>9564</v>
      </c>
    </row>
    <row r="662" spans="1:22" ht="12" customHeight="1" x14ac:dyDescent="0.2">
      <c r="A662" s="5664"/>
      <c r="B662" s="5664"/>
      <c r="C662" s="2349" t="str">
        <f>IF(INDEX('Creación de Técnicas'!D:D,L662)="","Técnica Propia "&amp;Tablas!$A7,INDEX('Creación de Técnicas'!D:D,L662))</f>
        <v>Nombre de la técnica</v>
      </c>
      <c r="D662" s="2350" t="str">
        <f t="shared" si="27"/>
        <v>Técnicas Propias</v>
      </c>
      <c r="E662" s="2352">
        <f>MAX(1,INDEX('Creación de Técnicas'!P:P,$L662))</f>
        <v>1</v>
      </c>
      <c r="F662" s="2352">
        <f>INDEX('Creación de Técnicas'!U:U,$L662)</f>
        <v>20</v>
      </c>
      <c r="G662" s="2352">
        <f t="shared" si="26"/>
        <v>20</v>
      </c>
      <c r="H662" s="2353" t="str">
        <f>INDEX('Creación de Técnicas'!X:X,$L662)</f>
        <v/>
      </c>
      <c r="I662" s="2353" t="str">
        <f>IFERROR(IF(INDEX('Creación de Técnicas'!U:U,$L662)="Si","Combinable. ","")&amp;INDEX('Creación de Técnicas'!AO:AO,$L662+12),"-")</f>
        <v>-</v>
      </c>
      <c r="J662" s="2353" t="str">
        <f>IFERROR(INDEX('Creación de Técnicas'!AO:AO,$L662+13),"-")</f>
        <v>-</v>
      </c>
      <c r="K662" s="2353"/>
      <c r="L662" s="2353">
        <f>12+((46-12)*(Tablas!$A7-1))</f>
        <v>216</v>
      </c>
      <c r="M662" s="2362" t="s">
        <v>9854</v>
      </c>
      <c r="N662" s="2353"/>
      <c r="O662" s="2353"/>
      <c r="P662" s="2353"/>
      <c r="Q662" s="2353"/>
      <c r="R662" s="2353"/>
      <c r="S662" s="2355"/>
      <c r="U662" s="2235" t="s">
        <v>9565</v>
      </c>
    </row>
    <row r="663" spans="1:22" ht="12" customHeight="1" x14ac:dyDescent="0.2">
      <c r="A663" s="5664"/>
      <c r="B663" s="5664"/>
      <c r="C663" s="2349" t="str">
        <f>IF(INDEX('Creación de Técnicas'!D:D,L663)="","Técnica Propia "&amp;Tablas!$A8,INDEX('Creación de Técnicas'!D:D,L663))</f>
        <v>Nombre de la técnica</v>
      </c>
      <c r="D663" s="2350" t="str">
        <f t="shared" si="27"/>
        <v>Técnicas Propias</v>
      </c>
      <c r="E663" s="2352">
        <f>MAX(1,INDEX('Creación de Técnicas'!P:P,$L663))</f>
        <v>1</v>
      </c>
      <c r="F663" s="2352">
        <f>INDEX('Creación de Técnicas'!U:U,$L663)</f>
        <v>20</v>
      </c>
      <c r="G663" s="2352">
        <f t="shared" si="26"/>
        <v>20</v>
      </c>
      <c r="H663" s="2353" t="str">
        <f>INDEX('Creación de Técnicas'!X:X,$L663)</f>
        <v/>
      </c>
      <c r="I663" s="2353" t="str">
        <f>IFERROR(IF(INDEX('Creación de Técnicas'!U:U,$L663)="Si","Combinable. ","")&amp;INDEX('Creación de Técnicas'!AO:AO,$L663+12),"-")</f>
        <v>-</v>
      </c>
      <c r="J663" s="2353" t="str">
        <f>IFERROR(INDEX('Creación de Técnicas'!AO:AO,$L663+13),"-")</f>
        <v>-</v>
      </c>
      <c r="K663" s="2353"/>
      <c r="L663" s="2353">
        <f>12+((46-12)*(Tablas!$A8-1))</f>
        <v>250</v>
      </c>
      <c r="M663" s="2362" t="s">
        <v>9854</v>
      </c>
      <c r="N663" s="2353"/>
      <c r="O663" s="2353"/>
      <c r="P663" s="2353"/>
      <c r="Q663" s="2353"/>
      <c r="R663" s="2353"/>
      <c r="S663" s="2355"/>
      <c r="U663" s="2235" t="s">
        <v>9566</v>
      </c>
    </row>
    <row r="664" spans="1:22" ht="12" customHeight="1" x14ac:dyDescent="0.2">
      <c r="A664" s="5664"/>
      <c r="B664" s="5664"/>
      <c r="C664" s="2349" t="str">
        <f>IF(INDEX('Creación de Técnicas'!D:D,L664)="","Técnica Propia "&amp;Tablas!$A9,INDEX('Creación de Técnicas'!D:D,L664))</f>
        <v>Nombre de la técnica</v>
      </c>
      <c r="D664" s="2350" t="str">
        <f t="shared" si="27"/>
        <v>Técnicas Propias</v>
      </c>
      <c r="E664" s="2352">
        <f>MAX(1,INDEX('Creación de Técnicas'!P:P,$L664))</f>
        <v>1</v>
      </c>
      <c r="F664" s="2352">
        <f>INDEX('Creación de Técnicas'!U:U,$L664)</f>
        <v>20</v>
      </c>
      <c r="G664" s="2352">
        <f t="shared" si="26"/>
        <v>20</v>
      </c>
      <c r="H664" s="2353" t="str">
        <f>INDEX('Creación de Técnicas'!X:X,$L664)</f>
        <v/>
      </c>
      <c r="I664" s="2353" t="str">
        <f>IFERROR(IF(INDEX('Creación de Técnicas'!U:U,$L664)="Si","Combinable. ","")&amp;INDEX('Creación de Técnicas'!AO:AO,$L664+12),"-")</f>
        <v>-</v>
      </c>
      <c r="J664" s="2353" t="str">
        <f>IFERROR(INDEX('Creación de Técnicas'!AO:AO,$L664+13),"-")</f>
        <v>-</v>
      </c>
      <c r="K664" s="2353"/>
      <c r="L664" s="2353">
        <f>12+((46-12)*(Tablas!$A9-1))</f>
        <v>284</v>
      </c>
      <c r="M664" s="2362" t="s">
        <v>9854</v>
      </c>
      <c r="N664" s="2353"/>
      <c r="O664" s="2353"/>
      <c r="P664" s="2353"/>
      <c r="Q664" s="2353"/>
      <c r="R664" s="2353"/>
      <c r="S664" s="2355"/>
      <c r="U664" s="2235" t="s">
        <v>9567</v>
      </c>
    </row>
    <row r="665" spans="1:22" ht="12" customHeight="1" x14ac:dyDescent="0.2">
      <c r="A665" s="5664"/>
      <c r="B665" s="5664"/>
      <c r="C665" s="2349" t="str">
        <f>IF(INDEX('Creación de Técnicas'!D:D,L665)="","Técnica Propia "&amp;Tablas!$A10,INDEX('Creación de Técnicas'!D:D,L665))</f>
        <v>Nombre de la técnica</v>
      </c>
      <c r="D665" s="2350" t="str">
        <f t="shared" si="27"/>
        <v>Técnicas Propias</v>
      </c>
      <c r="E665" s="2352">
        <f>MAX(1,INDEX('Creación de Técnicas'!P:P,$L665))</f>
        <v>1</v>
      </c>
      <c r="F665" s="2352">
        <f>INDEX('Creación de Técnicas'!U:U,$L665)</f>
        <v>20</v>
      </c>
      <c r="G665" s="2352">
        <f t="shared" si="26"/>
        <v>20</v>
      </c>
      <c r="H665" s="2353" t="str">
        <f>INDEX('Creación de Técnicas'!X:X,$L665)</f>
        <v/>
      </c>
      <c r="I665" s="2353" t="str">
        <f>IFERROR(IF(INDEX('Creación de Técnicas'!U:U,$L665)="Si","Combinable. ","")&amp;INDEX('Creación de Técnicas'!AO:AO,$L665+12),"-")</f>
        <v>-</v>
      </c>
      <c r="J665" s="2353" t="str">
        <f>IFERROR(INDEX('Creación de Técnicas'!AO:AO,$L665+13),"-")</f>
        <v>-</v>
      </c>
      <c r="K665" s="2353"/>
      <c r="L665" s="2353">
        <f>12+((46-12)*(Tablas!$A10-1))</f>
        <v>318</v>
      </c>
      <c r="M665" s="2362" t="s">
        <v>9854</v>
      </c>
      <c r="N665" s="2353"/>
      <c r="O665" s="2353"/>
      <c r="P665" s="2353"/>
      <c r="Q665" s="2353"/>
      <c r="R665" s="2353"/>
      <c r="S665" s="2355"/>
      <c r="U665" s="2235" t="s">
        <v>9568</v>
      </c>
    </row>
    <row r="666" spans="1:22" ht="12" customHeight="1" x14ac:dyDescent="0.2">
      <c r="A666" s="5664"/>
      <c r="B666" s="5664"/>
      <c r="C666" s="2229" t="s">
        <v>2919</v>
      </c>
      <c r="D666" s="940"/>
      <c r="E666" s="2230"/>
      <c r="F666" s="2230"/>
      <c r="G666" s="2232"/>
      <c r="H666" s="2231"/>
      <c r="I666" s="2231"/>
      <c r="J666" s="2231"/>
      <c r="K666" s="2231"/>
      <c r="L666" s="2231"/>
      <c r="M666" s="2363"/>
      <c r="N666" s="2231"/>
      <c r="O666" s="2231"/>
      <c r="P666" s="2231"/>
      <c r="Q666" s="2231"/>
      <c r="R666" s="2231"/>
      <c r="S666" s="2356"/>
      <c r="U666" s="2235" t="s">
        <v>9569</v>
      </c>
    </row>
    <row r="667" spans="1:22" ht="12" customHeight="1" x14ac:dyDescent="0.2">
      <c r="A667" s="5664"/>
      <c r="B667" s="5664"/>
      <c r="C667" s="2229" t="s">
        <v>2920</v>
      </c>
      <c r="D667" s="940" t="str">
        <f>PROPER(MID(C666,3,100))</f>
        <v>Celéritas</v>
      </c>
      <c r="E667" s="2232">
        <v>1</v>
      </c>
      <c r="F667" s="2232">
        <v>25</v>
      </c>
      <c r="G667" s="2232">
        <f t="shared" ref="G667:G730" si="28">IF(E667="","",MAX(IF(E667=3,60,IF(E667=2,40,20)),F667+M667))</f>
        <v>25</v>
      </c>
      <c r="H667" s="2231" t="s">
        <v>2921</v>
      </c>
      <c r="I667" s="2231" t="s">
        <v>9636</v>
      </c>
      <c r="J667" s="2231" t="s">
        <v>7172</v>
      </c>
      <c r="K667" s="2231"/>
      <c r="L667" s="2231"/>
      <c r="M667" s="2364">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8" t="s">
        <v>9832</v>
      </c>
      <c r="O667" s="2348" t="s">
        <v>7797</v>
      </c>
      <c r="P667" s="2348" t="s">
        <v>7172</v>
      </c>
      <c r="Q667" s="2348" t="s">
        <v>7172</v>
      </c>
      <c r="R667" s="2348" t="s">
        <v>7172</v>
      </c>
      <c r="S667" s="2357" t="s">
        <v>7172</v>
      </c>
      <c r="U667" s="2235" t="s">
        <v>9570</v>
      </c>
    </row>
    <row r="668" spans="1:22" ht="12" customHeight="1" x14ac:dyDescent="0.2">
      <c r="A668" s="5664"/>
      <c r="B668" s="5664"/>
      <c r="C668" s="2229" t="s">
        <v>2922</v>
      </c>
      <c r="D668" s="940" t="str">
        <f>D667</f>
        <v>Celéritas</v>
      </c>
      <c r="E668" s="2232">
        <v>1</v>
      </c>
      <c r="F668" s="2232">
        <v>25</v>
      </c>
      <c r="G668" s="2232">
        <f t="shared" si="28"/>
        <v>25</v>
      </c>
      <c r="H668" s="2231" t="s">
        <v>2923</v>
      </c>
      <c r="I668" s="2231" t="s">
        <v>9637</v>
      </c>
      <c r="J668" s="2231" t="s">
        <v>7172</v>
      </c>
      <c r="K668" s="2231"/>
      <c r="L668" s="2231"/>
      <c r="M668" s="2364">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8" t="s">
        <v>9833</v>
      </c>
      <c r="O668" s="2348" t="s">
        <v>7797</v>
      </c>
      <c r="P668" s="2348" t="s">
        <v>7172</v>
      </c>
      <c r="Q668" s="2348" t="s">
        <v>7172</v>
      </c>
      <c r="R668" s="2348" t="s">
        <v>7172</v>
      </c>
      <c r="S668" s="2357" t="s">
        <v>7172</v>
      </c>
      <c r="U668" s="2235" t="s">
        <v>2973</v>
      </c>
      <c r="V668" s="2215"/>
    </row>
    <row r="669" spans="1:22" ht="12" customHeight="1" x14ac:dyDescent="0.2">
      <c r="A669" s="5664"/>
      <c r="B669" s="5664"/>
      <c r="C669" s="2229" t="s">
        <v>2924</v>
      </c>
      <c r="D669" s="940" t="str">
        <f>D668</f>
        <v>Celéritas</v>
      </c>
      <c r="E669" s="2232">
        <v>2</v>
      </c>
      <c r="F669" s="2232">
        <v>45</v>
      </c>
      <c r="G669" s="2232">
        <f t="shared" si="28"/>
        <v>45</v>
      </c>
      <c r="H669" s="2231" t="s">
        <v>2925</v>
      </c>
      <c r="I669" s="2231" t="s">
        <v>9638</v>
      </c>
      <c r="J669" s="2231" t="s">
        <v>7172</v>
      </c>
      <c r="K669" s="2231"/>
      <c r="L669" s="2231"/>
      <c r="M669" s="2364">
        <f t="shared" si="29"/>
        <v>0</v>
      </c>
      <c r="N669" s="2348" t="s">
        <v>9834</v>
      </c>
      <c r="O669" s="2348" t="s">
        <v>7797</v>
      </c>
      <c r="P669" s="2348" t="s">
        <v>7172</v>
      </c>
      <c r="Q669" s="2348" t="s">
        <v>7172</v>
      </c>
      <c r="R669" s="2348" t="s">
        <v>7172</v>
      </c>
      <c r="S669" s="2357" t="s">
        <v>7172</v>
      </c>
      <c r="U669" s="2235" t="s">
        <v>9571</v>
      </c>
    </row>
    <row r="670" spans="1:22" ht="12" customHeight="1" x14ac:dyDescent="0.2">
      <c r="A670" s="5664"/>
      <c r="B670" s="5664"/>
      <c r="C670" s="2229" t="s">
        <v>2926</v>
      </c>
      <c r="D670" s="940" t="str">
        <f>D669</f>
        <v>Celéritas</v>
      </c>
      <c r="E670" s="2232">
        <v>2</v>
      </c>
      <c r="F670" s="2232">
        <v>45</v>
      </c>
      <c r="G670" s="2232">
        <f t="shared" si="28"/>
        <v>45</v>
      </c>
      <c r="H670" s="2231" t="s">
        <v>2927</v>
      </c>
      <c r="I670" s="2231" t="s">
        <v>9639</v>
      </c>
      <c r="J670" s="2231" t="s">
        <v>7172</v>
      </c>
      <c r="K670" s="2231"/>
      <c r="L670" s="2231"/>
      <c r="M670" s="2364">
        <f t="shared" si="29"/>
        <v>0</v>
      </c>
      <c r="N670" s="2348" t="s">
        <v>9835</v>
      </c>
      <c r="O670" s="2348" t="s">
        <v>7797</v>
      </c>
      <c r="P670" s="2348" t="s">
        <v>7172</v>
      </c>
      <c r="Q670" s="2348" t="s">
        <v>7172</v>
      </c>
      <c r="R670" s="2348" t="s">
        <v>7172</v>
      </c>
      <c r="S670" s="2357" t="s">
        <v>7172</v>
      </c>
      <c r="U670" s="2235" t="s">
        <v>9572</v>
      </c>
    </row>
    <row r="671" spans="1:22" ht="12" customHeight="1" x14ac:dyDescent="0.2">
      <c r="A671" s="5664"/>
      <c r="B671" s="5664"/>
      <c r="C671" s="2229" t="s">
        <v>2928</v>
      </c>
      <c r="D671" s="940" t="str">
        <f>D670</f>
        <v>Celéritas</v>
      </c>
      <c r="E671" s="2232">
        <v>3</v>
      </c>
      <c r="F671" s="2232">
        <v>85</v>
      </c>
      <c r="G671" s="2232">
        <f t="shared" si="28"/>
        <v>85</v>
      </c>
      <c r="H671" s="2231" t="s">
        <v>2929</v>
      </c>
      <c r="I671" s="2231" t="s">
        <v>9640</v>
      </c>
      <c r="J671" s="2231" t="s">
        <v>7172</v>
      </c>
      <c r="K671" s="2231"/>
      <c r="L671" s="2231"/>
      <c r="M671" s="2364">
        <f t="shared" si="29"/>
        <v>0</v>
      </c>
      <c r="N671" s="2348" t="s">
        <v>9833</v>
      </c>
      <c r="O671" s="2348" t="s">
        <v>7797</v>
      </c>
      <c r="P671" s="2348" t="s">
        <v>7172</v>
      </c>
      <c r="Q671" s="2348" t="s">
        <v>7172</v>
      </c>
      <c r="R671" s="2348" t="s">
        <v>7172</v>
      </c>
      <c r="S671" s="2357" t="s">
        <v>7172</v>
      </c>
      <c r="U671" s="2235" t="s">
        <v>9573</v>
      </c>
    </row>
    <row r="672" spans="1:22" ht="12" customHeight="1" x14ac:dyDescent="0.2">
      <c r="A672" s="5664"/>
      <c r="B672" s="5664"/>
      <c r="C672" s="2229" t="s">
        <v>2930</v>
      </c>
      <c r="D672" s="940"/>
      <c r="E672" s="2232"/>
      <c r="F672" s="2232"/>
      <c r="G672" s="2232" t="str">
        <f t="shared" si="28"/>
        <v/>
      </c>
      <c r="H672" s="2231"/>
      <c r="I672" s="2231" t="s">
        <v>7172</v>
      </c>
      <c r="J672" s="2231" t="s">
        <v>7172</v>
      </c>
      <c r="K672" s="2231"/>
      <c r="L672" s="2231"/>
      <c r="M672" s="2364" t="str">
        <f t="shared" si="29"/>
        <v/>
      </c>
      <c r="N672" s="2348" t="s">
        <v>7172</v>
      </c>
      <c r="O672" s="2348" t="s">
        <v>7172</v>
      </c>
      <c r="P672" s="2348" t="s">
        <v>7172</v>
      </c>
      <c r="Q672" s="2348" t="s">
        <v>7172</v>
      </c>
      <c r="R672" s="2348" t="s">
        <v>7172</v>
      </c>
      <c r="S672" s="2357" t="s">
        <v>7172</v>
      </c>
      <c r="U672" s="2235" t="s">
        <v>9574</v>
      </c>
    </row>
    <row r="673" spans="1:21" ht="12" customHeight="1" x14ac:dyDescent="0.2">
      <c r="A673" s="5664"/>
      <c r="B673" s="5664"/>
      <c r="C673" s="2229" t="s">
        <v>2931</v>
      </c>
      <c r="D673" s="940" t="str">
        <f>PROPER(MID(C672,3,100))</f>
        <v>Ignis</v>
      </c>
      <c r="E673" s="2232">
        <v>1</v>
      </c>
      <c r="F673" s="2232">
        <v>20</v>
      </c>
      <c r="G673" s="2232">
        <f t="shared" si="28"/>
        <v>20</v>
      </c>
      <c r="H673" s="2231" t="s">
        <v>2932</v>
      </c>
      <c r="I673" s="2231" t="s">
        <v>9641</v>
      </c>
      <c r="J673" s="2231" t="s">
        <v>7172</v>
      </c>
      <c r="K673" s="2231"/>
      <c r="L673" s="2231"/>
      <c r="M673" s="2364">
        <f t="shared" si="29"/>
        <v>0</v>
      </c>
      <c r="N673" s="2348" t="s">
        <v>9846</v>
      </c>
      <c r="O673" s="2348" t="s">
        <v>9846</v>
      </c>
      <c r="P673" s="2348" t="s">
        <v>7172</v>
      </c>
      <c r="Q673" s="2348" t="s">
        <v>7172</v>
      </c>
      <c r="R673" s="2348" t="s">
        <v>7172</v>
      </c>
      <c r="S673" s="2357" t="s">
        <v>7172</v>
      </c>
      <c r="U673" s="2235" t="s">
        <v>9575</v>
      </c>
    </row>
    <row r="674" spans="1:21" ht="12" customHeight="1" x14ac:dyDescent="0.2">
      <c r="A674" s="5664"/>
      <c r="B674" s="5664"/>
      <c r="C674" s="2229" t="s">
        <v>2934</v>
      </c>
      <c r="D674" s="940" t="str">
        <f>D673</f>
        <v>Ignis</v>
      </c>
      <c r="E674" s="2232">
        <v>1</v>
      </c>
      <c r="F674" s="2232">
        <v>20</v>
      </c>
      <c r="G674" s="2232">
        <f t="shared" si="28"/>
        <v>20</v>
      </c>
      <c r="H674" s="2231" t="s">
        <v>2935</v>
      </c>
      <c r="I674" s="2231" t="s">
        <v>9642</v>
      </c>
      <c r="J674" s="2231" t="s">
        <v>7172</v>
      </c>
      <c r="K674" s="2231"/>
      <c r="L674" s="2231"/>
      <c r="M674" s="2364">
        <f t="shared" si="29"/>
        <v>0</v>
      </c>
      <c r="N674" s="2348" t="s">
        <v>9834</v>
      </c>
      <c r="O674" s="2348" t="s">
        <v>9832</v>
      </c>
      <c r="P674" s="2348" t="s">
        <v>7172</v>
      </c>
      <c r="Q674" s="2348" t="s">
        <v>7172</v>
      </c>
      <c r="R674" s="2348" t="s">
        <v>7172</v>
      </c>
      <c r="S674" s="2357" t="s">
        <v>7172</v>
      </c>
      <c r="T674" s="2227"/>
      <c r="U674" s="2235" t="s">
        <v>9576</v>
      </c>
    </row>
    <row r="675" spans="1:21" ht="12" customHeight="1" x14ac:dyDescent="0.2">
      <c r="A675" s="5664"/>
      <c r="B675" s="5664"/>
      <c r="C675" s="2229" t="s">
        <v>2936</v>
      </c>
      <c r="D675" s="940" t="str">
        <f>D674</f>
        <v>Ignis</v>
      </c>
      <c r="E675" s="2232">
        <v>2</v>
      </c>
      <c r="F675" s="2232">
        <v>40</v>
      </c>
      <c r="G675" s="2232">
        <f t="shared" si="28"/>
        <v>40</v>
      </c>
      <c r="H675" s="2231" t="s">
        <v>2937</v>
      </c>
      <c r="I675" s="2231" t="s">
        <v>9643</v>
      </c>
      <c r="J675" s="2231" t="s">
        <v>9813</v>
      </c>
      <c r="K675" s="2231"/>
      <c r="L675" s="2231"/>
      <c r="M675" s="2364">
        <f t="shared" si="29"/>
        <v>0</v>
      </c>
      <c r="N675" s="2348" t="s">
        <v>9847</v>
      </c>
      <c r="O675" s="2348" t="s">
        <v>9835</v>
      </c>
      <c r="P675" s="2348" t="s">
        <v>7172</v>
      </c>
      <c r="Q675" s="2348" t="s">
        <v>7172</v>
      </c>
      <c r="R675" s="2348" t="s">
        <v>7172</v>
      </c>
      <c r="S675" s="2357" t="s">
        <v>7172</v>
      </c>
      <c r="U675" s="2235" t="s">
        <v>9577</v>
      </c>
    </row>
    <row r="676" spans="1:21" ht="12" customHeight="1" x14ac:dyDescent="0.2">
      <c r="A676" s="5664"/>
      <c r="B676" s="5664"/>
      <c r="C676" s="2229" t="s">
        <v>2938</v>
      </c>
      <c r="D676" s="940" t="str">
        <f>D675</f>
        <v>Ignis</v>
      </c>
      <c r="E676" s="2232">
        <v>2</v>
      </c>
      <c r="F676" s="2232">
        <v>40</v>
      </c>
      <c r="G676" s="2232">
        <f t="shared" si="28"/>
        <v>40</v>
      </c>
      <c r="H676" s="2231" t="s">
        <v>2939</v>
      </c>
      <c r="I676" s="2231" t="s">
        <v>9644</v>
      </c>
      <c r="J676" s="2231" t="s">
        <v>9813</v>
      </c>
      <c r="K676" s="2231"/>
      <c r="L676" s="2231"/>
      <c r="M676" s="2364">
        <f t="shared" si="29"/>
        <v>0</v>
      </c>
      <c r="N676" s="2348" t="s">
        <v>9834</v>
      </c>
      <c r="O676" s="2348" t="s">
        <v>9847</v>
      </c>
      <c r="P676" s="2348" t="s">
        <v>9848</v>
      </c>
      <c r="Q676" s="2348" t="s">
        <v>7172</v>
      </c>
      <c r="R676" s="2348" t="s">
        <v>7172</v>
      </c>
      <c r="S676" s="2357" t="s">
        <v>7172</v>
      </c>
      <c r="U676" s="2235" t="s">
        <v>720</v>
      </c>
    </row>
    <row r="677" spans="1:21" ht="12" customHeight="1" x14ac:dyDescent="0.2">
      <c r="A677" s="5664"/>
      <c r="B677" s="5664"/>
      <c r="C677" s="2229" t="s">
        <v>2940</v>
      </c>
      <c r="D677" s="940" t="str">
        <f>D676</f>
        <v>Ignis</v>
      </c>
      <c r="E677" s="2232">
        <v>3</v>
      </c>
      <c r="F677" s="2232">
        <v>60</v>
      </c>
      <c r="G677" s="2232">
        <f t="shared" si="28"/>
        <v>60</v>
      </c>
      <c r="H677" s="2231" t="s">
        <v>2941</v>
      </c>
      <c r="I677" s="2231" t="s">
        <v>9645</v>
      </c>
      <c r="J677" s="2231" t="s">
        <v>9813</v>
      </c>
      <c r="K677" s="2231"/>
      <c r="L677" s="2231"/>
      <c r="M677" s="2364">
        <f t="shared" si="29"/>
        <v>0</v>
      </c>
      <c r="N677" s="2348" t="s">
        <v>9834</v>
      </c>
      <c r="O677" s="2348" t="s">
        <v>9847</v>
      </c>
      <c r="P677" s="2348" t="s">
        <v>7172</v>
      </c>
      <c r="Q677" s="2348" t="s">
        <v>7172</v>
      </c>
      <c r="R677" s="2348" t="s">
        <v>7172</v>
      </c>
      <c r="S677" s="2357" t="s">
        <v>7172</v>
      </c>
      <c r="U677" s="2235" t="s">
        <v>9578</v>
      </c>
    </row>
    <row r="678" spans="1:21" ht="12" customHeight="1" x14ac:dyDescent="0.2">
      <c r="A678" s="5664"/>
      <c r="B678" s="5664"/>
      <c r="C678" s="2229" t="s">
        <v>2942</v>
      </c>
      <c r="D678" s="940"/>
      <c r="E678" s="2232"/>
      <c r="F678" s="2232"/>
      <c r="G678" s="2232" t="str">
        <f t="shared" si="28"/>
        <v/>
      </c>
      <c r="H678" s="2231"/>
      <c r="I678" s="2231" t="s">
        <v>7172</v>
      </c>
      <c r="J678" s="2231" t="s">
        <v>7172</v>
      </c>
      <c r="K678" s="2231"/>
      <c r="L678" s="2231"/>
      <c r="M678" s="2364" t="str">
        <f t="shared" si="29"/>
        <v/>
      </c>
      <c r="N678" s="2348" t="s">
        <v>7172</v>
      </c>
      <c r="O678" s="2348" t="s">
        <v>7172</v>
      </c>
      <c r="P678" s="2348" t="s">
        <v>7172</v>
      </c>
      <c r="Q678" s="2348" t="s">
        <v>7172</v>
      </c>
      <c r="R678" s="2348" t="s">
        <v>7172</v>
      </c>
      <c r="S678" s="2357" t="s">
        <v>7172</v>
      </c>
      <c r="U678" s="2235" t="s">
        <v>9579</v>
      </c>
    </row>
    <row r="679" spans="1:21" ht="12" customHeight="1" thickBot="1" x14ac:dyDescent="0.25">
      <c r="A679" s="5664"/>
      <c r="B679" s="5664"/>
      <c r="C679" s="2229" t="s">
        <v>2944</v>
      </c>
      <c r="D679" s="940" t="str">
        <f>PROPER(MID(C678,3,100))</f>
        <v>El Dragón</v>
      </c>
      <c r="E679" s="2232">
        <v>1</v>
      </c>
      <c r="F679" s="2232">
        <v>20</v>
      </c>
      <c r="G679" s="2232">
        <f t="shared" si="28"/>
        <v>20</v>
      </c>
      <c r="H679" s="2231" t="s">
        <v>2945</v>
      </c>
      <c r="I679" s="2231" t="s">
        <v>9646</v>
      </c>
      <c r="J679" s="2231" t="s">
        <v>7172</v>
      </c>
      <c r="K679" s="2231"/>
      <c r="L679" s="2231"/>
      <c r="M679" s="2364">
        <f t="shared" si="29"/>
        <v>0</v>
      </c>
      <c r="N679" s="2348" t="s">
        <v>9849</v>
      </c>
      <c r="O679" s="2348" t="s">
        <v>7172</v>
      </c>
      <c r="P679" s="2348" t="s">
        <v>7172</v>
      </c>
      <c r="Q679" s="2348" t="s">
        <v>7172</v>
      </c>
      <c r="R679" s="2348" t="s">
        <v>7172</v>
      </c>
      <c r="S679" s="2357" t="s">
        <v>7172</v>
      </c>
      <c r="U679" s="2236" t="s">
        <v>9580</v>
      </c>
    </row>
    <row r="680" spans="1:21" ht="12" customHeight="1" x14ac:dyDescent="0.2">
      <c r="A680" s="5664"/>
      <c r="B680" s="5664"/>
      <c r="C680" s="2229" t="s">
        <v>2946</v>
      </c>
      <c r="D680" s="940" t="str">
        <f>D679</f>
        <v>El Dragón</v>
      </c>
      <c r="E680" s="2232">
        <v>1</v>
      </c>
      <c r="F680" s="2232">
        <v>30</v>
      </c>
      <c r="G680" s="2232">
        <f t="shared" si="28"/>
        <v>30</v>
      </c>
      <c r="H680" s="2231" t="s">
        <v>2947</v>
      </c>
      <c r="I680" s="2231" t="s">
        <v>9647</v>
      </c>
      <c r="J680" s="2231" t="s">
        <v>7172</v>
      </c>
      <c r="K680" s="2231"/>
      <c r="L680" s="2231"/>
      <c r="M680" s="2364">
        <f t="shared" si="29"/>
        <v>0</v>
      </c>
      <c r="N680" s="2348" t="s">
        <v>9363</v>
      </c>
      <c r="O680" s="2348" t="s">
        <v>9847</v>
      </c>
      <c r="P680" s="2348" t="s">
        <v>7172</v>
      </c>
      <c r="Q680" s="2348" t="s">
        <v>7172</v>
      </c>
      <c r="R680" s="2348" t="s">
        <v>7172</v>
      </c>
      <c r="S680" s="2357" t="s">
        <v>7172</v>
      </c>
    </row>
    <row r="681" spans="1:21" ht="12" customHeight="1" x14ac:dyDescent="0.2">
      <c r="A681" s="5664"/>
      <c r="B681" s="5664"/>
      <c r="C681" s="2229" t="s">
        <v>2948</v>
      </c>
      <c r="D681" s="940" t="str">
        <f>D680</f>
        <v>El Dragón</v>
      </c>
      <c r="E681" s="2232">
        <v>2</v>
      </c>
      <c r="F681" s="2232">
        <v>45</v>
      </c>
      <c r="G681" s="2232">
        <f t="shared" si="28"/>
        <v>45</v>
      </c>
      <c r="H681" s="2231" t="s">
        <v>2949</v>
      </c>
      <c r="I681" s="2231" t="s">
        <v>9648</v>
      </c>
      <c r="J681" s="2231" t="s">
        <v>7172</v>
      </c>
      <c r="K681" s="2231"/>
      <c r="L681" s="2231"/>
      <c r="M681" s="2364">
        <f t="shared" si="29"/>
        <v>0</v>
      </c>
      <c r="N681" s="2348" t="s">
        <v>9850</v>
      </c>
      <c r="O681" s="2348" t="s">
        <v>7797</v>
      </c>
      <c r="P681" s="2348" t="s">
        <v>9834</v>
      </c>
      <c r="Q681" s="2348" t="s">
        <v>7172</v>
      </c>
      <c r="R681" s="2348" t="s">
        <v>7172</v>
      </c>
      <c r="S681" s="2357" t="s">
        <v>7172</v>
      </c>
    </row>
    <row r="682" spans="1:21" ht="12" customHeight="1" x14ac:dyDescent="0.2">
      <c r="A682" s="5664"/>
      <c r="B682" s="5664"/>
      <c r="C682" s="2229" t="s">
        <v>2951</v>
      </c>
      <c r="D682" s="940" t="str">
        <f>D681</f>
        <v>El Dragón</v>
      </c>
      <c r="E682" s="2232">
        <v>2</v>
      </c>
      <c r="F682" s="2232">
        <v>55</v>
      </c>
      <c r="G682" s="2232">
        <f t="shared" si="28"/>
        <v>55</v>
      </c>
      <c r="H682" s="2231" t="s">
        <v>2952</v>
      </c>
      <c r="I682" s="2231" t="s">
        <v>9649</v>
      </c>
      <c r="J682" s="2231" t="s">
        <v>7172</v>
      </c>
      <c r="K682" s="2231"/>
      <c r="L682" s="2231"/>
      <c r="M682" s="2364">
        <f t="shared" si="29"/>
        <v>0</v>
      </c>
      <c r="N682" s="2348" t="s">
        <v>9834</v>
      </c>
      <c r="O682" s="2348" t="s">
        <v>9835</v>
      </c>
      <c r="P682" s="2348" t="s">
        <v>9847</v>
      </c>
      <c r="Q682" s="2348" t="s">
        <v>7172</v>
      </c>
      <c r="R682" s="2348" t="s">
        <v>7172</v>
      </c>
      <c r="S682" s="2357" t="s">
        <v>7172</v>
      </c>
    </row>
    <row r="683" spans="1:21" ht="12" customHeight="1" x14ac:dyDescent="0.2">
      <c r="A683" s="5664"/>
      <c r="B683" s="5664"/>
      <c r="C683" s="2229" t="s">
        <v>2954</v>
      </c>
      <c r="D683" s="940" t="str">
        <f>D682</f>
        <v>El Dragón</v>
      </c>
      <c r="E683" s="2232">
        <v>3</v>
      </c>
      <c r="F683" s="2232">
        <v>80</v>
      </c>
      <c r="G683" s="2232">
        <f t="shared" si="28"/>
        <v>80</v>
      </c>
      <c r="H683" s="2231" t="s">
        <v>2955</v>
      </c>
      <c r="I683" s="2231" t="s">
        <v>9650</v>
      </c>
      <c r="J683" s="2231" t="s">
        <v>3266</v>
      </c>
      <c r="K683" s="2231"/>
      <c r="L683" s="2231"/>
      <c r="M683" s="2364">
        <f t="shared" si="29"/>
        <v>0</v>
      </c>
      <c r="N683" s="2348" t="s">
        <v>9832</v>
      </c>
      <c r="O683" s="2348" t="s">
        <v>9835</v>
      </c>
      <c r="P683" s="2348" t="s">
        <v>9846</v>
      </c>
      <c r="Q683" s="2348" t="s">
        <v>9847</v>
      </c>
      <c r="R683" s="2348" t="s">
        <v>7172</v>
      </c>
      <c r="S683" s="2357" t="s">
        <v>7172</v>
      </c>
    </row>
    <row r="684" spans="1:21" ht="12" customHeight="1" x14ac:dyDescent="0.2">
      <c r="A684" s="5664"/>
      <c r="B684" s="5664"/>
      <c r="C684" s="2229" t="s">
        <v>6400</v>
      </c>
      <c r="D684" s="940"/>
      <c r="E684" s="2232"/>
      <c r="F684" s="2232"/>
      <c r="G684" s="2232" t="str">
        <f t="shared" si="28"/>
        <v/>
      </c>
      <c r="H684" s="2231"/>
      <c r="I684" s="2231" t="s">
        <v>7172</v>
      </c>
      <c r="J684" s="2231" t="s">
        <v>7172</v>
      </c>
      <c r="K684" s="2231"/>
      <c r="L684" s="2231"/>
      <c r="M684" s="2364" t="str">
        <f t="shared" si="29"/>
        <v/>
      </c>
      <c r="N684" s="2348" t="s">
        <v>7172</v>
      </c>
      <c r="O684" s="2348" t="s">
        <v>7172</v>
      </c>
      <c r="P684" s="2348" t="s">
        <v>7172</v>
      </c>
      <c r="Q684" s="2348" t="s">
        <v>7172</v>
      </c>
      <c r="R684" s="2348" t="s">
        <v>7172</v>
      </c>
      <c r="S684" s="2357" t="s">
        <v>7172</v>
      </c>
    </row>
    <row r="685" spans="1:21" ht="12" customHeight="1" x14ac:dyDescent="0.2">
      <c r="A685" s="5664"/>
      <c r="B685" s="5664"/>
      <c r="C685" s="2229" t="s">
        <v>6401</v>
      </c>
      <c r="D685" s="940" t="str">
        <f>PROPER(MID(C684,3,100))</f>
        <v>Las Cadenas</v>
      </c>
      <c r="E685" s="2232">
        <v>1</v>
      </c>
      <c r="F685" s="2232">
        <v>35</v>
      </c>
      <c r="G685" s="2232">
        <f t="shared" si="28"/>
        <v>35</v>
      </c>
      <c r="H685" s="2231" t="s">
        <v>9555</v>
      </c>
      <c r="I685" s="2231" t="s">
        <v>9651</v>
      </c>
      <c r="J685" s="2231" t="s">
        <v>7172</v>
      </c>
      <c r="K685" s="2231"/>
      <c r="L685" s="2231"/>
      <c r="M685" s="2364">
        <f t="shared" si="29"/>
        <v>0</v>
      </c>
      <c r="N685" s="2348" t="s">
        <v>9846</v>
      </c>
      <c r="O685" s="2348" t="s">
        <v>9847</v>
      </c>
      <c r="P685" s="2348" t="s">
        <v>9832</v>
      </c>
      <c r="Q685" s="2348" t="s">
        <v>7172</v>
      </c>
      <c r="R685" s="2348" t="s">
        <v>7172</v>
      </c>
      <c r="S685" s="2357" t="s">
        <v>7172</v>
      </c>
    </row>
    <row r="686" spans="1:21" ht="12" customHeight="1" x14ac:dyDescent="0.2">
      <c r="A686" s="5664"/>
      <c r="B686" s="5664"/>
      <c r="C686" s="2229" t="s">
        <v>6402</v>
      </c>
      <c r="D686" s="940" t="str">
        <f>D685</f>
        <v>Las Cadenas</v>
      </c>
      <c r="E686" s="2232">
        <v>1</v>
      </c>
      <c r="F686" s="2232">
        <v>50</v>
      </c>
      <c r="G686" s="2232">
        <f t="shared" si="28"/>
        <v>50</v>
      </c>
      <c r="H686" s="2231" t="s">
        <v>6406</v>
      </c>
      <c r="I686" s="2231" t="s">
        <v>9652</v>
      </c>
      <c r="J686" s="2231" t="s">
        <v>7172</v>
      </c>
      <c r="K686" s="2231"/>
      <c r="L686" s="2231"/>
      <c r="M686" s="2364">
        <f t="shared" si="29"/>
        <v>0</v>
      </c>
      <c r="N686" s="2348" t="s">
        <v>9847</v>
      </c>
      <c r="O686" s="2348" t="s">
        <v>9835</v>
      </c>
      <c r="P686" s="2348" t="s">
        <v>9832</v>
      </c>
      <c r="Q686" s="2348" t="s">
        <v>7172</v>
      </c>
      <c r="R686" s="2348" t="s">
        <v>7172</v>
      </c>
      <c r="S686" s="2357" t="s">
        <v>7172</v>
      </c>
    </row>
    <row r="687" spans="1:21" ht="12" customHeight="1" x14ac:dyDescent="0.2">
      <c r="A687" s="5664"/>
      <c r="B687" s="5664"/>
      <c r="C687" s="2229" t="s">
        <v>6403</v>
      </c>
      <c r="D687" s="940" t="str">
        <f>D686</f>
        <v>Las Cadenas</v>
      </c>
      <c r="E687" s="2232">
        <v>2</v>
      </c>
      <c r="F687" s="2232">
        <v>60</v>
      </c>
      <c r="G687" s="2232">
        <f t="shared" si="28"/>
        <v>60</v>
      </c>
      <c r="H687" s="2231" t="s">
        <v>6407</v>
      </c>
      <c r="I687" s="2231" t="s">
        <v>9653</v>
      </c>
      <c r="J687" s="2231" t="s">
        <v>7172</v>
      </c>
      <c r="K687" s="2231"/>
      <c r="L687" s="2231"/>
      <c r="M687" s="2364">
        <f t="shared" si="29"/>
        <v>0</v>
      </c>
      <c r="N687" s="2348" t="s">
        <v>9834</v>
      </c>
      <c r="O687" s="2348" t="s">
        <v>9851</v>
      </c>
      <c r="P687" s="2348" t="s">
        <v>9832</v>
      </c>
      <c r="Q687" s="2348" t="s">
        <v>7172</v>
      </c>
      <c r="R687" s="2348" t="s">
        <v>7172</v>
      </c>
      <c r="S687" s="2357" t="s">
        <v>7172</v>
      </c>
    </row>
    <row r="688" spans="1:21" ht="12" customHeight="1" x14ac:dyDescent="0.2">
      <c r="A688" s="5664"/>
      <c r="B688" s="5664"/>
      <c r="C688" s="2229" t="s">
        <v>6404</v>
      </c>
      <c r="D688" s="940" t="str">
        <f>D687</f>
        <v>Las Cadenas</v>
      </c>
      <c r="E688" s="2232">
        <v>2</v>
      </c>
      <c r="F688" s="2232">
        <v>70</v>
      </c>
      <c r="G688" s="2232">
        <f t="shared" si="28"/>
        <v>70</v>
      </c>
      <c r="H688" s="2231" t="s">
        <v>6408</v>
      </c>
      <c r="I688" s="2231" t="s">
        <v>9654</v>
      </c>
      <c r="J688" s="2231" t="s">
        <v>7172</v>
      </c>
      <c r="K688" s="2231"/>
      <c r="L688" s="2231"/>
      <c r="M688" s="2364">
        <f t="shared" si="29"/>
        <v>0</v>
      </c>
      <c r="N688" s="2348" t="s">
        <v>9836</v>
      </c>
      <c r="O688" s="2348" t="s">
        <v>9363</v>
      </c>
      <c r="P688" s="2348" t="s">
        <v>9837</v>
      </c>
      <c r="Q688" s="2348" t="s">
        <v>7172</v>
      </c>
      <c r="R688" s="2348" t="s">
        <v>7172</v>
      </c>
      <c r="S688" s="2357" t="s">
        <v>7172</v>
      </c>
    </row>
    <row r="689" spans="1:19" ht="12" customHeight="1" x14ac:dyDescent="0.2">
      <c r="A689" s="5664"/>
      <c r="B689" s="5664"/>
      <c r="C689" s="2229" t="s">
        <v>6405</v>
      </c>
      <c r="D689" s="940" t="str">
        <f>D688</f>
        <v>Las Cadenas</v>
      </c>
      <c r="E689" s="2232">
        <v>3</v>
      </c>
      <c r="F689" s="2232">
        <v>90</v>
      </c>
      <c r="G689" s="2232">
        <f t="shared" si="28"/>
        <v>90</v>
      </c>
      <c r="H689" s="2231" t="s">
        <v>6409</v>
      </c>
      <c r="I689" s="2231" t="s">
        <v>9655</v>
      </c>
      <c r="J689" s="2231" t="s">
        <v>7172</v>
      </c>
      <c r="K689" s="2231"/>
      <c r="L689" s="2231"/>
      <c r="M689" s="2364">
        <f t="shared" si="29"/>
        <v>0</v>
      </c>
      <c r="N689" s="2348" t="s">
        <v>9363</v>
      </c>
      <c r="O689" s="2348" t="s">
        <v>9850</v>
      </c>
      <c r="P689" s="2348" t="s">
        <v>9832</v>
      </c>
      <c r="Q689" s="2348" t="s">
        <v>7172</v>
      </c>
      <c r="R689" s="2348" t="s">
        <v>7172</v>
      </c>
      <c r="S689" s="2357" t="s">
        <v>7172</v>
      </c>
    </row>
    <row r="690" spans="1:19" ht="12" customHeight="1" x14ac:dyDescent="0.2">
      <c r="A690" s="5664"/>
      <c r="B690" s="5664"/>
      <c r="C690" s="2229" t="s">
        <v>6410</v>
      </c>
      <c r="D690" s="940"/>
      <c r="E690" s="2232"/>
      <c r="F690" s="2232"/>
      <c r="G690" s="2232" t="str">
        <f t="shared" si="28"/>
        <v/>
      </c>
      <c r="H690" s="2231"/>
      <c r="I690" s="2231" t="s">
        <v>7172</v>
      </c>
      <c r="J690" s="2231" t="s">
        <v>7172</v>
      </c>
      <c r="K690" s="2231"/>
      <c r="L690" s="2231"/>
      <c r="M690" s="2364" t="str">
        <f t="shared" si="29"/>
        <v/>
      </c>
      <c r="N690" s="2348" t="s">
        <v>7172</v>
      </c>
      <c r="O690" s="2348" t="s">
        <v>7172</v>
      </c>
      <c r="P690" s="2348" t="s">
        <v>7172</v>
      </c>
      <c r="Q690" s="2348" t="s">
        <v>7172</v>
      </c>
      <c r="R690" s="2348" t="s">
        <v>7172</v>
      </c>
      <c r="S690" s="2357" t="s">
        <v>7172</v>
      </c>
    </row>
    <row r="691" spans="1:19" ht="12" customHeight="1" x14ac:dyDescent="0.2">
      <c r="A691" s="5664"/>
      <c r="B691" s="5664"/>
      <c r="C691" s="2229" t="s">
        <v>6412</v>
      </c>
      <c r="D691" s="940" t="str">
        <f>PROPER(MID(C690,3,100))</f>
        <v>Sirius</v>
      </c>
      <c r="E691" s="2232">
        <v>1</v>
      </c>
      <c r="F691" s="2232">
        <v>30</v>
      </c>
      <c r="G691" s="2232">
        <f t="shared" si="28"/>
        <v>30</v>
      </c>
      <c r="H691" s="2231" t="s">
        <v>6417</v>
      </c>
      <c r="I691" s="2231" t="s">
        <v>9656</v>
      </c>
      <c r="J691" s="2231" t="s">
        <v>9657</v>
      </c>
      <c r="K691" s="2231"/>
      <c r="L691" s="2231"/>
      <c r="M691" s="2364">
        <f t="shared" si="29"/>
        <v>0</v>
      </c>
      <c r="N691" s="2348" t="s">
        <v>9834</v>
      </c>
      <c r="O691" s="2348" t="s">
        <v>9852</v>
      </c>
      <c r="P691" s="2348" t="s">
        <v>7172</v>
      </c>
      <c r="Q691" s="2348" t="s">
        <v>7172</v>
      </c>
      <c r="R691" s="2348" t="s">
        <v>7172</v>
      </c>
      <c r="S691" s="2357" t="s">
        <v>7172</v>
      </c>
    </row>
    <row r="692" spans="1:19" ht="12" customHeight="1" x14ac:dyDescent="0.2">
      <c r="A692" s="5664"/>
      <c r="B692" s="5664"/>
      <c r="C692" s="2229" t="s">
        <v>6413</v>
      </c>
      <c r="D692" s="940" t="str">
        <f>D691</f>
        <v>Sirius</v>
      </c>
      <c r="E692" s="2232">
        <v>1</v>
      </c>
      <c r="F692" s="2232">
        <v>30</v>
      </c>
      <c r="G692" s="2232">
        <f t="shared" si="28"/>
        <v>30</v>
      </c>
      <c r="H692" s="2231" t="s">
        <v>6418</v>
      </c>
      <c r="I692" s="2231" t="s">
        <v>9658</v>
      </c>
      <c r="J692" s="2231" t="s">
        <v>7172</v>
      </c>
      <c r="K692" s="2231"/>
      <c r="L692" s="2231"/>
      <c r="M692" s="2364">
        <f t="shared" si="29"/>
        <v>0</v>
      </c>
      <c r="N692" s="2348" t="s">
        <v>9834</v>
      </c>
      <c r="O692" s="2348" t="s">
        <v>9852</v>
      </c>
      <c r="P692" s="2348" t="s">
        <v>7172</v>
      </c>
      <c r="Q692" s="2348" t="s">
        <v>7172</v>
      </c>
      <c r="R692" s="2348" t="s">
        <v>7172</v>
      </c>
      <c r="S692" s="2357" t="s">
        <v>7172</v>
      </c>
    </row>
    <row r="693" spans="1:19" ht="12" customHeight="1" x14ac:dyDescent="0.2">
      <c r="A693" s="5664"/>
      <c r="B693" s="5664"/>
      <c r="C693" s="2229" t="s">
        <v>6414</v>
      </c>
      <c r="D693" s="940" t="str">
        <f>D692</f>
        <v>Sirius</v>
      </c>
      <c r="E693" s="2232">
        <v>2</v>
      </c>
      <c r="F693" s="2232">
        <v>40</v>
      </c>
      <c r="G693" s="2232">
        <f t="shared" si="28"/>
        <v>40</v>
      </c>
      <c r="H693" s="2231" t="s">
        <v>6419</v>
      </c>
      <c r="I693" s="2231" t="s">
        <v>9659</v>
      </c>
      <c r="J693" s="2231" t="s">
        <v>9657</v>
      </c>
      <c r="K693" s="2231"/>
      <c r="L693" s="2231"/>
      <c r="M693" s="2364">
        <f t="shared" si="29"/>
        <v>0</v>
      </c>
      <c r="N693" s="2348" t="s">
        <v>9834</v>
      </c>
      <c r="O693" s="2348" t="s">
        <v>9852</v>
      </c>
      <c r="P693" s="2348" t="s">
        <v>7172</v>
      </c>
      <c r="Q693" s="2348" t="s">
        <v>7172</v>
      </c>
      <c r="R693" s="2348" t="s">
        <v>7172</v>
      </c>
      <c r="S693" s="2357" t="s">
        <v>7172</v>
      </c>
    </row>
    <row r="694" spans="1:19" ht="12" customHeight="1" x14ac:dyDescent="0.2">
      <c r="A694" s="5664"/>
      <c r="B694" s="5664"/>
      <c r="C694" s="2229" t="s">
        <v>6415</v>
      </c>
      <c r="D694" s="940" t="str">
        <f>D693</f>
        <v>Sirius</v>
      </c>
      <c r="E694" s="2232">
        <v>2</v>
      </c>
      <c r="F694" s="2232">
        <v>40</v>
      </c>
      <c r="G694" s="2232">
        <f t="shared" si="28"/>
        <v>40</v>
      </c>
      <c r="H694" s="2231" t="s">
        <v>6420</v>
      </c>
      <c r="I694" s="2231" t="s">
        <v>9660</v>
      </c>
      <c r="J694" s="2231" t="s">
        <v>9657</v>
      </c>
      <c r="K694" s="2231"/>
      <c r="L694" s="2231"/>
      <c r="M694" s="2364">
        <f t="shared" si="29"/>
        <v>0</v>
      </c>
      <c r="N694" s="2348" t="s">
        <v>9834</v>
      </c>
      <c r="O694" s="2348" t="s">
        <v>9852</v>
      </c>
      <c r="P694" s="2348" t="s">
        <v>7172</v>
      </c>
      <c r="Q694" s="2348" t="s">
        <v>7172</v>
      </c>
      <c r="R694" s="2348" t="s">
        <v>7172</v>
      </c>
      <c r="S694" s="2357" t="s">
        <v>7172</v>
      </c>
    </row>
    <row r="695" spans="1:19" ht="12" customHeight="1" x14ac:dyDescent="0.2">
      <c r="A695" s="5664"/>
      <c r="B695" s="5664"/>
      <c r="C695" s="2229" t="s">
        <v>6416</v>
      </c>
      <c r="D695" s="940" t="str">
        <f>D694</f>
        <v>Sirius</v>
      </c>
      <c r="E695" s="2232">
        <v>3</v>
      </c>
      <c r="F695" s="2232">
        <v>70</v>
      </c>
      <c r="G695" s="2232">
        <f t="shared" si="28"/>
        <v>70</v>
      </c>
      <c r="H695" s="2231" t="s">
        <v>6421</v>
      </c>
      <c r="I695" s="2231" t="s">
        <v>9661</v>
      </c>
      <c r="J695" s="2231" t="s">
        <v>9657</v>
      </c>
      <c r="K695" s="2231"/>
      <c r="L695" s="2231"/>
      <c r="M695" s="2364">
        <f t="shared" si="29"/>
        <v>0</v>
      </c>
      <c r="N695" s="2348" t="s">
        <v>9834</v>
      </c>
      <c r="O695" s="2348" t="s">
        <v>9852</v>
      </c>
      <c r="P695" s="2348" t="s">
        <v>7172</v>
      </c>
      <c r="Q695" s="2348" t="s">
        <v>7172</v>
      </c>
      <c r="R695" s="2348" t="s">
        <v>7172</v>
      </c>
      <c r="S695" s="2357" t="s">
        <v>7172</v>
      </c>
    </row>
    <row r="696" spans="1:19" ht="12" customHeight="1" x14ac:dyDescent="0.2">
      <c r="A696" s="5664"/>
      <c r="B696" s="5664"/>
      <c r="C696" s="2229" t="s">
        <v>6411</v>
      </c>
      <c r="D696" s="940"/>
      <c r="E696" s="2232"/>
      <c r="F696" s="2232"/>
      <c r="G696" s="2232" t="str">
        <f t="shared" si="28"/>
        <v/>
      </c>
      <c r="H696" s="2231"/>
      <c r="I696" s="2231" t="s">
        <v>7172</v>
      </c>
      <c r="J696" s="2231" t="s">
        <v>7172</v>
      </c>
      <c r="K696" s="2231"/>
      <c r="L696" s="2231"/>
      <c r="M696" s="2364" t="str">
        <f t="shared" si="29"/>
        <v/>
      </c>
      <c r="N696" s="2348" t="s">
        <v>7172</v>
      </c>
      <c r="O696" s="2348" t="s">
        <v>7172</v>
      </c>
      <c r="P696" s="2348" t="s">
        <v>7172</v>
      </c>
      <c r="Q696" s="2348" t="s">
        <v>7172</v>
      </c>
      <c r="R696" s="2348" t="s">
        <v>7172</v>
      </c>
      <c r="S696" s="2357" t="s">
        <v>7172</v>
      </c>
    </row>
    <row r="697" spans="1:19" ht="12" customHeight="1" x14ac:dyDescent="0.2">
      <c r="A697" s="5664"/>
      <c r="B697" s="5664"/>
      <c r="C697" s="2229" t="s">
        <v>6422</v>
      </c>
      <c r="D697" s="940" t="str">
        <f>PROPER(MID(C696,3,100))</f>
        <v>Basis</v>
      </c>
      <c r="E697" s="2232">
        <v>1</v>
      </c>
      <c r="F697" s="2232">
        <v>25</v>
      </c>
      <c r="G697" s="2232">
        <f t="shared" si="28"/>
        <v>25</v>
      </c>
      <c r="H697" s="2231" t="s">
        <v>6424</v>
      </c>
      <c r="I697" s="2231" t="s">
        <v>9662</v>
      </c>
      <c r="J697" s="2231" t="s">
        <v>7172</v>
      </c>
      <c r="K697" s="2231"/>
      <c r="L697" s="2231"/>
      <c r="M697" s="2364">
        <f t="shared" si="29"/>
        <v>0</v>
      </c>
      <c r="N697" s="2348" t="s">
        <v>9836</v>
      </c>
      <c r="O697" s="2348" t="s">
        <v>9836</v>
      </c>
      <c r="P697" s="2348" t="s">
        <v>7172</v>
      </c>
      <c r="Q697" s="2348" t="s">
        <v>7172</v>
      </c>
      <c r="R697" s="2348" t="s">
        <v>7172</v>
      </c>
      <c r="S697" s="2357" t="s">
        <v>7172</v>
      </c>
    </row>
    <row r="698" spans="1:19" ht="12" customHeight="1" x14ac:dyDescent="0.2">
      <c r="A698" s="5664"/>
      <c r="B698" s="5664"/>
      <c r="C698" s="2229" t="s">
        <v>6423</v>
      </c>
      <c r="D698" s="940" t="str">
        <f>D697</f>
        <v>Basis</v>
      </c>
      <c r="E698" s="2232">
        <v>1</v>
      </c>
      <c r="F698" s="2232">
        <v>20</v>
      </c>
      <c r="G698" s="2232">
        <f t="shared" si="28"/>
        <v>20</v>
      </c>
      <c r="H698" s="2231" t="s">
        <v>6425</v>
      </c>
      <c r="I698" s="2231" t="s">
        <v>9663</v>
      </c>
      <c r="J698" s="2231" t="s">
        <v>7172</v>
      </c>
      <c r="K698" s="2231"/>
      <c r="L698" s="2231"/>
      <c r="M698" s="2364">
        <f t="shared" si="29"/>
        <v>0</v>
      </c>
      <c r="N698" s="2348" t="s">
        <v>9834</v>
      </c>
      <c r="O698" s="2348" t="s">
        <v>9850</v>
      </c>
      <c r="P698" s="2348" t="s">
        <v>7172</v>
      </c>
      <c r="Q698" s="2348" t="s">
        <v>7172</v>
      </c>
      <c r="R698" s="2348" t="s">
        <v>7172</v>
      </c>
      <c r="S698" s="2357" t="s">
        <v>7172</v>
      </c>
    </row>
    <row r="699" spans="1:19" ht="12" customHeight="1" x14ac:dyDescent="0.2">
      <c r="A699" s="5664"/>
      <c r="B699" s="5664"/>
      <c r="C699" s="2229" t="s">
        <v>6426</v>
      </c>
      <c r="D699" s="940" t="str">
        <f>D698</f>
        <v>Basis</v>
      </c>
      <c r="E699" s="2232">
        <v>2</v>
      </c>
      <c r="F699" s="2232">
        <v>50</v>
      </c>
      <c r="G699" s="2232">
        <f t="shared" si="28"/>
        <v>50</v>
      </c>
      <c r="H699" s="2231" t="s">
        <v>6428</v>
      </c>
      <c r="I699" s="2231" t="s">
        <v>9664</v>
      </c>
      <c r="J699" s="2231" t="s">
        <v>7172</v>
      </c>
      <c r="K699" s="2231"/>
      <c r="L699" s="2231"/>
      <c r="M699" s="2364">
        <f t="shared" si="29"/>
        <v>0</v>
      </c>
      <c r="N699" s="2348" t="s">
        <v>9834</v>
      </c>
      <c r="O699" s="2348" t="s">
        <v>9847</v>
      </c>
      <c r="P699" s="2348" t="s">
        <v>9835</v>
      </c>
      <c r="Q699" s="2348" t="s">
        <v>7172</v>
      </c>
      <c r="R699" s="2348" t="s">
        <v>7172</v>
      </c>
      <c r="S699" s="2357" t="s">
        <v>7172</v>
      </c>
    </row>
    <row r="700" spans="1:19" ht="12" customHeight="1" x14ac:dyDescent="0.2">
      <c r="A700" s="5664"/>
      <c r="B700" s="5664"/>
      <c r="C700" s="2229" t="s">
        <v>643</v>
      </c>
      <c r="D700" s="940" t="str">
        <f>D699</f>
        <v>Basis</v>
      </c>
      <c r="E700" s="2232">
        <v>2</v>
      </c>
      <c r="F700" s="2232">
        <v>50</v>
      </c>
      <c r="G700" s="2232">
        <f t="shared" si="28"/>
        <v>50</v>
      </c>
      <c r="H700" s="2231" t="s">
        <v>6429</v>
      </c>
      <c r="I700" s="2231" t="s">
        <v>9665</v>
      </c>
      <c r="J700" s="2231" t="s">
        <v>7172</v>
      </c>
      <c r="K700" s="2231"/>
      <c r="L700" s="2231"/>
      <c r="M700" s="2364">
        <f t="shared" si="29"/>
        <v>0</v>
      </c>
      <c r="N700" s="2348" t="s">
        <v>9847</v>
      </c>
      <c r="O700" s="2348" t="s">
        <v>7172</v>
      </c>
      <c r="P700" s="2348" t="s">
        <v>7172</v>
      </c>
      <c r="Q700" s="2348" t="s">
        <v>7172</v>
      </c>
      <c r="R700" s="2348" t="s">
        <v>7172</v>
      </c>
      <c r="S700" s="2357" t="s">
        <v>7172</v>
      </c>
    </row>
    <row r="701" spans="1:19" ht="12" customHeight="1" x14ac:dyDescent="0.2">
      <c r="A701" s="5664"/>
      <c r="B701" s="5664"/>
      <c r="C701" s="2229" t="s">
        <v>6427</v>
      </c>
      <c r="D701" s="940" t="str">
        <f>D700</f>
        <v>Basis</v>
      </c>
      <c r="E701" s="2232">
        <v>3</v>
      </c>
      <c r="F701" s="2232">
        <v>60</v>
      </c>
      <c r="G701" s="2232">
        <f t="shared" si="28"/>
        <v>60</v>
      </c>
      <c r="H701" s="2231" t="s">
        <v>6430</v>
      </c>
      <c r="I701" s="2231" t="s">
        <v>9666</v>
      </c>
      <c r="J701" s="2231" t="s">
        <v>7172</v>
      </c>
      <c r="K701" s="2231"/>
      <c r="L701" s="2231"/>
      <c r="M701" s="2364">
        <f t="shared" si="29"/>
        <v>0</v>
      </c>
      <c r="N701" s="2348" t="s">
        <v>9836</v>
      </c>
      <c r="O701" s="2348" t="s">
        <v>9838</v>
      </c>
      <c r="P701" s="2348" t="s">
        <v>9847</v>
      </c>
      <c r="Q701" s="2348" t="s">
        <v>7172</v>
      </c>
      <c r="R701" s="2348" t="s">
        <v>7172</v>
      </c>
      <c r="S701" s="2357" t="s">
        <v>7172</v>
      </c>
    </row>
    <row r="702" spans="1:19" ht="12" customHeight="1" x14ac:dyDescent="0.2">
      <c r="A702" s="5664"/>
      <c r="B702" s="5664"/>
      <c r="C702" s="2229" t="s">
        <v>7159</v>
      </c>
      <c r="D702" s="940"/>
      <c r="E702" s="2232"/>
      <c r="F702" s="2232"/>
      <c r="G702" s="2232" t="str">
        <f t="shared" si="28"/>
        <v/>
      </c>
      <c r="H702" s="2231"/>
      <c r="I702" s="2231" t="s">
        <v>7172</v>
      </c>
      <c r="J702" s="2231" t="s">
        <v>7172</v>
      </c>
      <c r="K702" s="2231"/>
      <c r="L702" s="2231"/>
      <c r="M702" s="2364" t="str">
        <f t="shared" si="29"/>
        <v/>
      </c>
      <c r="N702" s="2348" t="s">
        <v>7172</v>
      </c>
      <c r="O702" s="2348" t="s">
        <v>7172</v>
      </c>
      <c r="P702" s="2348" t="s">
        <v>7172</v>
      </c>
      <c r="Q702" s="2348" t="s">
        <v>7172</v>
      </c>
      <c r="R702" s="2348" t="s">
        <v>7172</v>
      </c>
      <c r="S702" s="2357" t="s">
        <v>7172</v>
      </c>
    </row>
    <row r="703" spans="1:19" ht="12" customHeight="1" x14ac:dyDescent="0.2">
      <c r="A703" s="5664"/>
      <c r="B703" s="5664"/>
      <c r="C703" s="2229" t="s">
        <v>2957</v>
      </c>
      <c r="D703" s="940" t="str">
        <f>PROPER(MID(C702,3,100))</f>
        <v>Ormus</v>
      </c>
      <c r="E703" s="2232">
        <v>1</v>
      </c>
      <c r="F703" s="2232">
        <v>45</v>
      </c>
      <c r="G703" s="2232">
        <f t="shared" si="28"/>
        <v>45</v>
      </c>
      <c r="H703" s="2231" t="s">
        <v>2958</v>
      </c>
      <c r="I703" s="2231" t="s">
        <v>9814</v>
      </c>
      <c r="J703" s="2231" t="s">
        <v>7172</v>
      </c>
      <c r="K703" s="2231"/>
      <c r="L703" s="2231"/>
      <c r="M703" s="2364">
        <f t="shared" si="29"/>
        <v>0</v>
      </c>
      <c r="N703" s="2348" t="s">
        <v>7172</v>
      </c>
      <c r="O703" s="2348" t="s">
        <v>9846</v>
      </c>
      <c r="P703" s="2348" t="s">
        <v>9847</v>
      </c>
      <c r="Q703" s="2348" t="s">
        <v>7172</v>
      </c>
      <c r="R703" s="2348" t="s">
        <v>7172</v>
      </c>
      <c r="S703" s="2357" t="s">
        <v>7172</v>
      </c>
    </row>
    <row r="704" spans="1:19" ht="12" customHeight="1" x14ac:dyDescent="0.2">
      <c r="A704" s="5664"/>
      <c r="B704" s="5664"/>
      <c r="C704" s="2229" t="s">
        <v>2959</v>
      </c>
      <c r="D704" s="940" t="str">
        <f>D703</f>
        <v>Ormus</v>
      </c>
      <c r="E704" s="2232">
        <v>1</v>
      </c>
      <c r="F704" s="2232">
        <v>30</v>
      </c>
      <c r="G704" s="2232">
        <f t="shared" si="28"/>
        <v>30</v>
      </c>
      <c r="H704" s="2231" t="s">
        <v>2960</v>
      </c>
      <c r="I704" s="2231" t="s">
        <v>9667</v>
      </c>
      <c r="J704" s="2231" t="s">
        <v>7172</v>
      </c>
      <c r="K704" s="2231"/>
      <c r="L704" s="2231"/>
      <c r="M704" s="2364">
        <f t="shared" si="29"/>
        <v>0</v>
      </c>
      <c r="N704" s="2348" t="s">
        <v>9363</v>
      </c>
      <c r="O704" s="2348" t="s">
        <v>9836</v>
      </c>
      <c r="P704" s="2348" t="s">
        <v>7172</v>
      </c>
      <c r="Q704" s="2348" t="s">
        <v>7172</v>
      </c>
      <c r="R704" s="2348" t="s">
        <v>7172</v>
      </c>
      <c r="S704" s="2357" t="s">
        <v>7172</v>
      </c>
    </row>
    <row r="705" spans="1:19" ht="12" customHeight="1" x14ac:dyDescent="0.2">
      <c r="A705" s="5664"/>
      <c r="B705" s="5664"/>
      <c r="C705" s="2229" t="s">
        <v>2961</v>
      </c>
      <c r="D705" s="940" t="str">
        <f>D704</f>
        <v>Ormus</v>
      </c>
      <c r="E705" s="2232">
        <v>2</v>
      </c>
      <c r="F705" s="2232">
        <v>75</v>
      </c>
      <c r="G705" s="2232">
        <f t="shared" si="28"/>
        <v>75</v>
      </c>
      <c r="H705" s="2231" t="s">
        <v>2962</v>
      </c>
      <c r="I705" s="2231" t="s">
        <v>9668</v>
      </c>
      <c r="J705" s="2231" t="s">
        <v>7172</v>
      </c>
      <c r="K705" s="2231"/>
      <c r="L705" s="2231"/>
      <c r="M705" s="2364">
        <f t="shared" si="29"/>
        <v>0</v>
      </c>
      <c r="N705" s="2348" t="s">
        <v>7797</v>
      </c>
      <c r="O705" s="2348" t="s">
        <v>9848</v>
      </c>
      <c r="P705" s="2348" t="s">
        <v>7172</v>
      </c>
      <c r="Q705" s="2348" t="s">
        <v>7172</v>
      </c>
      <c r="R705" s="2348" t="s">
        <v>7172</v>
      </c>
      <c r="S705" s="2357" t="s">
        <v>7172</v>
      </c>
    </row>
    <row r="706" spans="1:19" ht="12" customHeight="1" x14ac:dyDescent="0.2">
      <c r="A706" s="5664"/>
      <c r="B706" s="5664"/>
      <c r="C706" s="2229" t="s">
        <v>2963</v>
      </c>
      <c r="D706" s="940" t="str">
        <f>D705</f>
        <v>Ormus</v>
      </c>
      <c r="E706" s="2232">
        <v>2</v>
      </c>
      <c r="F706" s="2232">
        <v>55</v>
      </c>
      <c r="G706" s="2232">
        <f t="shared" si="28"/>
        <v>55</v>
      </c>
      <c r="H706" s="2231" t="s">
        <v>2964</v>
      </c>
      <c r="I706" s="2231" t="s">
        <v>9669</v>
      </c>
      <c r="J706" s="2231" t="s">
        <v>7172</v>
      </c>
      <c r="K706" s="2231"/>
      <c r="L706" s="2231"/>
      <c r="M706" s="2364">
        <f t="shared" si="29"/>
        <v>0</v>
      </c>
      <c r="N706" s="2348" t="s">
        <v>9846</v>
      </c>
      <c r="O706" s="2348" t="s">
        <v>9852</v>
      </c>
      <c r="P706" s="2348" t="s">
        <v>9835</v>
      </c>
      <c r="Q706" s="2348" t="s">
        <v>9834</v>
      </c>
      <c r="R706" s="2348" t="s">
        <v>7172</v>
      </c>
      <c r="S706" s="2357" t="s">
        <v>7172</v>
      </c>
    </row>
    <row r="707" spans="1:19" ht="12" customHeight="1" x14ac:dyDescent="0.2">
      <c r="A707" s="5664"/>
      <c r="B707" s="5664"/>
      <c r="C707" s="2229" t="s">
        <v>2965</v>
      </c>
      <c r="D707" s="940" t="str">
        <f>D706</f>
        <v>Ormus</v>
      </c>
      <c r="E707" s="2232">
        <v>3</v>
      </c>
      <c r="F707" s="2232">
        <v>110</v>
      </c>
      <c r="G707" s="2232">
        <f t="shared" si="28"/>
        <v>110</v>
      </c>
      <c r="H707" s="2231" t="s">
        <v>2966</v>
      </c>
      <c r="I707" s="2231" t="s">
        <v>9670</v>
      </c>
      <c r="J707" s="2231" t="s">
        <v>7172</v>
      </c>
      <c r="K707" s="2231"/>
      <c r="L707" s="2231"/>
      <c r="M707" s="2364">
        <f t="shared" si="29"/>
        <v>0</v>
      </c>
      <c r="N707" s="2348" t="s">
        <v>9833</v>
      </c>
      <c r="O707" s="2348" t="s">
        <v>9847</v>
      </c>
      <c r="P707" s="2348" t="s">
        <v>9846</v>
      </c>
      <c r="Q707" s="2348" t="s">
        <v>7172</v>
      </c>
      <c r="R707" s="2348" t="s">
        <v>7172</v>
      </c>
      <c r="S707" s="2357" t="s">
        <v>7172</v>
      </c>
    </row>
    <row r="708" spans="1:19" ht="12" customHeight="1" x14ac:dyDescent="0.2">
      <c r="A708" s="5664"/>
      <c r="B708" s="5664"/>
      <c r="C708" s="2229" t="s">
        <v>2968</v>
      </c>
      <c r="D708" s="940"/>
      <c r="E708" s="2232"/>
      <c r="F708" s="2232"/>
      <c r="G708" s="2232" t="str">
        <f t="shared" si="28"/>
        <v/>
      </c>
      <c r="H708" s="2231"/>
      <c r="I708" s="2231" t="s">
        <v>7172</v>
      </c>
      <c r="J708" s="2231" t="s">
        <v>7172</v>
      </c>
      <c r="K708" s="2231"/>
      <c r="L708" s="2231"/>
      <c r="M708" s="2364" t="str">
        <f t="shared" si="29"/>
        <v/>
      </c>
      <c r="N708" s="2348" t="s">
        <v>7172</v>
      </c>
      <c r="O708" s="2348" t="s">
        <v>7172</v>
      </c>
      <c r="P708" s="2348" t="s">
        <v>7172</v>
      </c>
      <c r="Q708" s="2348" t="s">
        <v>7172</v>
      </c>
      <c r="R708" s="2348" t="s">
        <v>7172</v>
      </c>
      <c r="S708" s="2357" t="s">
        <v>7172</v>
      </c>
    </row>
    <row r="709" spans="1:19" ht="12" customHeight="1" x14ac:dyDescent="0.2">
      <c r="A709" s="5664"/>
      <c r="B709" s="5664"/>
      <c r="C709" s="2229" t="s">
        <v>2969</v>
      </c>
      <c r="D709" s="940" t="str">
        <f>PROPER(MID(C708,3,100))</f>
        <v>Hyousetsu Jigoku</v>
      </c>
      <c r="E709" s="2232">
        <v>1</v>
      </c>
      <c r="F709" s="2232">
        <v>30</v>
      </c>
      <c r="G709" s="2232">
        <f t="shared" si="28"/>
        <v>30</v>
      </c>
      <c r="H709" s="2231" t="s">
        <v>2970</v>
      </c>
      <c r="I709" s="2231" t="s">
        <v>9671</v>
      </c>
      <c r="J709" s="2231" t="s">
        <v>7172</v>
      </c>
      <c r="K709" s="2231"/>
      <c r="L709" s="2231"/>
      <c r="M709" s="2364">
        <f t="shared" si="29"/>
        <v>0</v>
      </c>
      <c r="N709" s="2348" t="s">
        <v>9839</v>
      </c>
      <c r="O709" s="2348" t="s">
        <v>7172</v>
      </c>
      <c r="P709" s="2348" t="s">
        <v>7172</v>
      </c>
      <c r="Q709" s="2348" t="s">
        <v>7172</v>
      </c>
      <c r="R709" s="2348" t="s">
        <v>7172</v>
      </c>
      <c r="S709" s="2357" t="s">
        <v>7172</v>
      </c>
    </row>
    <row r="710" spans="1:19" ht="12" customHeight="1" x14ac:dyDescent="0.2">
      <c r="A710" s="5664"/>
      <c r="B710" s="5664"/>
      <c r="C710" s="2229" t="s">
        <v>2971</v>
      </c>
      <c r="D710" s="940" t="str">
        <f>D709</f>
        <v>Hyousetsu Jigoku</v>
      </c>
      <c r="E710" s="2232">
        <v>1</v>
      </c>
      <c r="F710" s="2232">
        <v>20</v>
      </c>
      <c r="G710" s="2232">
        <f t="shared" si="28"/>
        <v>20</v>
      </c>
      <c r="H710" s="2231" t="s">
        <v>2972</v>
      </c>
      <c r="I710" s="2231" t="s">
        <v>9672</v>
      </c>
      <c r="J710" s="2231" t="s">
        <v>7172</v>
      </c>
      <c r="K710" s="2231"/>
      <c r="L710" s="2231"/>
      <c r="M710" s="2364">
        <f t="shared" si="29"/>
        <v>0</v>
      </c>
      <c r="N710" s="2348" t="s">
        <v>9838</v>
      </c>
      <c r="O710" s="2348" t="s">
        <v>7172</v>
      </c>
      <c r="P710" s="2348" t="s">
        <v>7172</v>
      </c>
      <c r="Q710" s="2348" t="s">
        <v>7172</v>
      </c>
      <c r="R710" s="2348" t="s">
        <v>7172</v>
      </c>
      <c r="S710" s="2357" t="s">
        <v>7172</v>
      </c>
    </row>
    <row r="711" spans="1:19" ht="12" customHeight="1" x14ac:dyDescent="0.2">
      <c r="A711" s="5664"/>
      <c r="B711" s="5664"/>
      <c r="C711" s="2229" t="s">
        <v>2973</v>
      </c>
      <c r="D711" s="940" t="str">
        <f>D710</f>
        <v>Hyousetsu Jigoku</v>
      </c>
      <c r="E711" s="2232">
        <v>2</v>
      </c>
      <c r="F711" s="2232">
        <v>65</v>
      </c>
      <c r="G711" s="2232">
        <f t="shared" si="28"/>
        <v>65</v>
      </c>
      <c r="H711" s="2231" t="s">
        <v>2974</v>
      </c>
      <c r="I711" s="2231" t="s">
        <v>9673</v>
      </c>
      <c r="J711" s="2231" t="s">
        <v>7172</v>
      </c>
      <c r="K711" s="2231"/>
      <c r="L711" s="2231"/>
      <c r="M711" s="2364">
        <f t="shared" si="29"/>
        <v>0</v>
      </c>
      <c r="N711" s="2348" t="s">
        <v>9837</v>
      </c>
      <c r="O711" s="2348" t="s">
        <v>9836</v>
      </c>
      <c r="P711" s="2348" t="s">
        <v>7172</v>
      </c>
      <c r="Q711" s="2348" t="s">
        <v>7172</v>
      </c>
      <c r="R711" s="2348" t="s">
        <v>7172</v>
      </c>
      <c r="S711" s="2357" t="s">
        <v>7172</v>
      </c>
    </row>
    <row r="712" spans="1:19" ht="12" customHeight="1" x14ac:dyDescent="0.2">
      <c r="A712" s="5664"/>
      <c r="B712" s="5664"/>
      <c r="C712" s="2229" t="s">
        <v>2976</v>
      </c>
      <c r="D712" s="940" t="str">
        <f>D711</f>
        <v>Hyousetsu Jigoku</v>
      </c>
      <c r="E712" s="2232">
        <v>2</v>
      </c>
      <c r="F712" s="2232">
        <v>70</v>
      </c>
      <c r="G712" s="2232">
        <f t="shared" si="28"/>
        <v>70</v>
      </c>
      <c r="H712" s="2231" t="s">
        <v>2977</v>
      </c>
      <c r="I712" s="2231" t="s">
        <v>9674</v>
      </c>
      <c r="J712" s="2231" t="s">
        <v>7172</v>
      </c>
      <c r="K712" s="2231"/>
      <c r="L712" s="2231"/>
      <c r="M712" s="2364">
        <f t="shared" si="29"/>
        <v>0</v>
      </c>
      <c r="N712" s="2348" t="s">
        <v>9833</v>
      </c>
      <c r="O712" s="2348" t="s">
        <v>7172</v>
      </c>
      <c r="P712" s="2348" t="s">
        <v>7172</v>
      </c>
      <c r="Q712" s="2348" t="s">
        <v>7172</v>
      </c>
      <c r="R712" s="2348" t="s">
        <v>7172</v>
      </c>
      <c r="S712" s="2357" t="s">
        <v>7172</v>
      </c>
    </row>
    <row r="713" spans="1:19" ht="12" customHeight="1" x14ac:dyDescent="0.2">
      <c r="A713" s="5664"/>
      <c r="B713" s="5664"/>
      <c r="C713" s="2229" t="s">
        <v>2979</v>
      </c>
      <c r="D713" s="940" t="str">
        <f>D712</f>
        <v>Hyousetsu Jigoku</v>
      </c>
      <c r="E713" s="2232">
        <v>3</v>
      </c>
      <c r="F713" s="2232">
        <v>115</v>
      </c>
      <c r="G713" s="2232">
        <f t="shared" si="28"/>
        <v>115</v>
      </c>
      <c r="H713" s="2231" t="s">
        <v>2980</v>
      </c>
      <c r="I713" s="2231" t="s">
        <v>9675</v>
      </c>
      <c r="J713" s="2231" t="s">
        <v>3266</v>
      </c>
      <c r="K713" s="2231"/>
      <c r="L713" s="2231"/>
      <c r="M713" s="2364">
        <f t="shared" si="29"/>
        <v>0</v>
      </c>
      <c r="N713" s="2348" t="s">
        <v>9852</v>
      </c>
      <c r="O713" s="2348" t="s">
        <v>7172</v>
      </c>
      <c r="P713" s="2348" t="s">
        <v>7172</v>
      </c>
      <c r="Q713" s="2348" t="s">
        <v>7172</v>
      </c>
      <c r="R713" s="2348" t="s">
        <v>7172</v>
      </c>
      <c r="S713" s="2357" t="s">
        <v>7172</v>
      </c>
    </row>
    <row r="714" spans="1:19" ht="12" customHeight="1" x14ac:dyDescent="0.2">
      <c r="A714" s="5664"/>
      <c r="B714" s="5664"/>
      <c r="C714" s="2229" t="s">
        <v>2981</v>
      </c>
      <c r="D714" s="940"/>
      <c r="E714" s="2232"/>
      <c r="F714" s="2232"/>
      <c r="G714" s="2232" t="str">
        <f t="shared" si="28"/>
        <v/>
      </c>
      <c r="H714" s="2231"/>
      <c r="I714" s="2231" t="s">
        <v>7172</v>
      </c>
      <c r="J714" s="2231" t="s">
        <v>7172</v>
      </c>
      <c r="K714" s="2231"/>
      <c r="L714" s="2231"/>
      <c r="M714" s="2364" t="str">
        <f t="shared" si="29"/>
        <v/>
      </c>
      <c r="N714" s="2348" t="s">
        <v>7172</v>
      </c>
      <c r="O714" s="2348" t="s">
        <v>7172</v>
      </c>
      <c r="P714" s="2348" t="s">
        <v>7172</v>
      </c>
      <c r="Q714" s="2348" t="s">
        <v>7172</v>
      </c>
      <c r="R714" s="2348" t="s">
        <v>7172</v>
      </c>
      <c r="S714" s="2357" t="s">
        <v>7172</v>
      </c>
    </row>
    <row r="715" spans="1:19" ht="12" customHeight="1" x14ac:dyDescent="0.2">
      <c r="A715" s="5664"/>
      <c r="B715" s="5664"/>
      <c r="C715" s="2229" t="s">
        <v>2982</v>
      </c>
      <c r="D715" s="940" t="str">
        <f>PROPER(MID(C714,3,100))</f>
        <v>Hypnos Requiem</v>
      </c>
      <c r="E715" s="2232">
        <v>1</v>
      </c>
      <c r="F715" s="2232">
        <v>25</v>
      </c>
      <c r="G715" s="2232">
        <f t="shared" si="28"/>
        <v>25</v>
      </c>
      <c r="H715" s="2231" t="s">
        <v>2983</v>
      </c>
      <c r="I715" s="2231" t="s">
        <v>3029</v>
      </c>
      <c r="J715" s="2231" t="s">
        <v>9676</v>
      </c>
      <c r="K715" s="2231"/>
      <c r="L715" s="2231"/>
      <c r="M715" s="2364">
        <f t="shared" si="29"/>
        <v>0</v>
      </c>
      <c r="N715" s="2348" t="s">
        <v>9837</v>
      </c>
      <c r="O715" s="2348" t="s">
        <v>7172</v>
      </c>
      <c r="P715" s="2348" t="s">
        <v>7172</v>
      </c>
      <c r="Q715" s="2348" t="s">
        <v>7172</v>
      </c>
      <c r="R715" s="2348" t="s">
        <v>7172</v>
      </c>
      <c r="S715" s="2357" t="s">
        <v>7172</v>
      </c>
    </row>
    <row r="716" spans="1:19" ht="12" customHeight="1" x14ac:dyDescent="0.2">
      <c r="A716" s="5664"/>
      <c r="B716" s="5664"/>
      <c r="C716" s="2229" t="s">
        <v>2984</v>
      </c>
      <c r="D716" s="940" t="str">
        <f>D715</f>
        <v>Hypnos Requiem</v>
      </c>
      <c r="E716" s="2232">
        <v>1</v>
      </c>
      <c r="F716" s="2232">
        <v>25</v>
      </c>
      <c r="G716" s="2232">
        <f t="shared" si="28"/>
        <v>25</v>
      </c>
      <c r="H716" s="2231" t="s">
        <v>2985</v>
      </c>
      <c r="I716" s="2231" t="s">
        <v>9677</v>
      </c>
      <c r="J716" s="2231" t="s">
        <v>9676</v>
      </c>
      <c r="K716" s="2231"/>
      <c r="L716" s="2231"/>
      <c r="M716" s="2364">
        <f t="shared" si="29"/>
        <v>0</v>
      </c>
      <c r="N716" s="2348" t="s">
        <v>9840</v>
      </c>
      <c r="O716" s="2348" t="s">
        <v>7172</v>
      </c>
      <c r="P716" s="2348" t="s">
        <v>7172</v>
      </c>
      <c r="Q716" s="2348" t="s">
        <v>7172</v>
      </c>
      <c r="R716" s="2348" t="s">
        <v>7172</v>
      </c>
      <c r="S716" s="2357" t="s">
        <v>7172</v>
      </c>
    </row>
    <row r="717" spans="1:19" ht="12" customHeight="1" x14ac:dyDescent="0.2">
      <c r="A717" s="5664"/>
      <c r="B717" s="5664"/>
      <c r="C717" s="2229" t="s">
        <v>2986</v>
      </c>
      <c r="D717" s="940" t="str">
        <f>D716</f>
        <v>Hypnos Requiem</v>
      </c>
      <c r="E717" s="2232">
        <v>1</v>
      </c>
      <c r="F717" s="2232">
        <v>30</v>
      </c>
      <c r="G717" s="2232">
        <f t="shared" si="28"/>
        <v>30</v>
      </c>
      <c r="H717" s="2231" t="s">
        <v>2987</v>
      </c>
      <c r="I717" s="2231" t="s">
        <v>9678</v>
      </c>
      <c r="J717" s="2231" t="s">
        <v>9679</v>
      </c>
      <c r="K717" s="2231"/>
      <c r="L717" s="2231"/>
      <c r="M717" s="2364">
        <f t="shared" si="29"/>
        <v>0</v>
      </c>
      <c r="N717" s="2348" t="s">
        <v>9840</v>
      </c>
      <c r="O717" s="2348" t="s">
        <v>9852</v>
      </c>
      <c r="P717" s="2348" t="s">
        <v>9835</v>
      </c>
      <c r="Q717" s="2348" t="s">
        <v>7172</v>
      </c>
      <c r="R717" s="2348" t="s">
        <v>7172</v>
      </c>
      <c r="S717" s="2357" t="s">
        <v>7172</v>
      </c>
    </row>
    <row r="718" spans="1:19" ht="12" customHeight="1" x14ac:dyDescent="0.2">
      <c r="A718" s="5664"/>
      <c r="B718" s="5664"/>
      <c r="C718" s="2229" t="s">
        <v>2988</v>
      </c>
      <c r="D718" s="940" t="str">
        <f>D717</f>
        <v>Hypnos Requiem</v>
      </c>
      <c r="E718" s="2232">
        <v>2</v>
      </c>
      <c r="F718" s="2232">
        <v>60</v>
      </c>
      <c r="G718" s="2232">
        <f t="shared" si="28"/>
        <v>60</v>
      </c>
      <c r="H718" s="2231" t="s">
        <v>2989</v>
      </c>
      <c r="I718" s="2231" t="s">
        <v>9815</v>
      </c>
      <c r="J718" s="2231" t="s">
        <v>9679</v>
      </c>
      <c r="K718" s="2231"/>
      <c r="L718" s="2231"/>
      <c r="M718" s="2364">
        <f t="shared" si="29"/>
        <v>0</v>
      </c>
      <c r="N718" s="2348" t="s">
        <v>9852</v>
      </c>
      <c r="O718" s="2348" t="s">
        <v>7172</v>
      </c>
      <c r="P718" s="2348" t="s">
        <v>7172</v>
      </c>
      <c r="Q718" s="2348" t="s">
        <v>7172</v>
      </c>
      <c r="R718" s="2348" t="s">
        <v>7172</v>
      </c>
      <c r="S718" s="2357" t="s">
        <v>7172</v>
      </c>
    </row>
    <row r="719" spans="1:19" ht="12" customHeight="1" x14ac:dyDescent="0.2">
      <c r="A719" s="5664"/>
      <c r="B719" s="5664"/>
      <c r="C719" s="2229" t="s">
        <v>2990</v>
      </c>
      <c r="D719" s="940" t="str">
        <f>D718</f>
        <v>Hypnos Requiem</v>
      </c>
      <c r="E719" s="2232">
        <v>2</v>
      </c>
      <c r="F719" s="2232">
        <v>45</v>
      </c>
      <c r="G719" s="2232">
        <f t="shared" si="28"/>
        <v>45</v>
      </c>
      <c r="H719" s="2231" t="s">
        <v>2991</v>
      </c>
      <c r="I719" s="2231" t="s">
        <v>9680</v>
      </c>
      <c r="J719" s="2231" t="s">
        <v>9681</v>
      </c>
      <c r="K719" s="2231"/>
      <c r="L719" s="2231"/>
      <c r="M719" s="2364">
        <f t="shared" si="29"/>
        <v>0</v>
      </c>
      <c r="N719" s="2348" t="s">
        <v>9363</v>
      </c>
      <c r="O719" s="2348" t="s">
        <v>7172</v>
      </c>
      <c r="P719" s="2348" t="s">
        <v>7172</v>
      </c>
      <c r="Q719" s="2348" t="s">
        <v>7172</v>
      </c>
      <c r="R719" s="2348" t="s">
        <v>7172</v>
      </c>
      <c r="S719" s="2357" t="s">
        <v>7172</v>
      </c>
    </row>
    <row r="720" spans="1:19" ht="12" customHeight="1" x14ac:dyDescent="0.2">
      <c r="A720" s="5664"/>
      <c r="B720" s="5664"/>
      <c r="C720" s="2229" t="s">
        <v>2992</v>
      </c>
      <c r="D720" s="940" t="str">
        <f>D719</f>
        <v>Hypnos Requiem</v>
      </c>
      <c r="E720" s="2232">
        <v>2</v>
      </c>
      <c r="F720" s="2232">
        <v>80</v>
      </c>
      <c r="G720" s="2232">
        <f t="shared" si="28"/>
        <v>80</v>
      </c>
      <c r="H720" s="2231" t="s">
        <v>2993</v>
      </c>
      <c r="I720" s="2231" t="s">
        <v>9682</v>
      </c>
      <c r="J720" s="2231" t="s">
        <v>9683</v>
      </c>
      <c r="K720" s="2231"/>
      <c r="L720" s="2231"/>
      <c r="M720" s="2364">
        <f t="shared" si="29"/>
        <v>0</v>
      </c>
      <c r="N720" s="2348" t="s">
        <v>9852</v>
      </c>
      <c r="O720" s="2348" t="s">
        <v>7172</v>
      </c>
      <c r="P720" s="2348" t="s">
        <v>7172</v>
      </c>
      <c r="Q720" s="2348" t="s">
        <v>7172</v>
      </c>
      <c r="R720" s="2348" t="s">
        <v>7172</v>
      </c>
      <c r="S720" s="2357" t="s">
        <v>7172</v>
      </c>
    </row>
    <row r="721" spans="1:19" ht="12" customHeight="1" x14ac:dyDescent="0.2">
      <c r="A721" s="5664"/>
      <c r="B721" s="5664"/>
      <c r="C721" s="2229" t="s">
        <v>2994</v>
      </c>
      <c r="D721" s="940"/>
      <c r="E721" s="2232"/>
      <c r="F721" s="2232"/>
      <c r="G721" s="2232" t="str">
        <f t="shared" si="28"/>
        <v/>
      </c>
      <c r="H721" s="2231"/>
      <c r="I721" s="2231" t="s">
        <v>7172</v>
      </c>
      <c r="J721" s="2231" t="s">
        <v>7172</v>
      </c>
      <c r="K721" s="2231"/>
      <c r="L721" s="2231"/>
      <c r="M721" s="2364" t="str">
        <f t="shared" si="29"/>
        <v/>
      </c>
      <c r="N721" s="2348" t="s">
        <v>7172</v>
      </c>
      <c r="O721" s="2348" t="s">
        <v>7172</v>
      </c>
      <c r="P721" s="2348" t="s">
        <v>7172</v>
      </c>
      <c r="Q721" s="2348" t="s">
        <v>7172</v>
      </c>
      <c r="R721" s="2348" t="s">
        <v>7172</v>
      </c>
      <c r="S721" s="2357" t="s">
        <v>7172</v>
      </c>
    </row>
    <row r="722" spans="1:19" ht="12" customHeight="1" x14ac:dyDescent="0.2">
      <c r="A722" s="5664"/>
      <c r="B722" s="5664"/>
      <c r="C722" s="2229" t="s">
        <v>2995</v>
      </c>
      <c r="D722" s="940" t="str">
        <f>PROPER(MID(C721,3,100))</f>
        <v>Le Rose Du Sang</v>
      </c>
      <c r="E722" s="2232">
        <v>1</v>
      </c>
      <c r="F722" s="2232">
        <v>20</v>
      </c>
      <c r="G722" s="2232">
        <f t="shared" si="28"/>
        <v>20</v>
      </c>
      <c r="H722" s="2231" t="s">
        <v>2996</v>
      </c>
      <c r="I722" s="2231" t="s">
        <v>9684</v>
      </c>
      <c r="J722" s="2231" t="s">
        <v>7172</v>
      </c>
      <c r="K722" s="2231"/>
      <c r="L722" s="2231"/>
      <c r="M722" s="2364">
        <f t="shared" si="29"/>
        <v>0</v>
      </c>
      <c r="N722" s="2348" t="s">
        <v>9849</v>
      </c>
      <c r="O722" s="2348" t="s">
        <v>7172</v>
      </c>
      <c r="P722" s="2348" t="s">
        <v>7172</v>
      </c>
      <c r="Q722" s="2348" t="s">
        <v>7172</v>
      </c>
      <c r="R722" s="2348" t="s">
        <v>7172</v>
      </c>
      <c r="S722" s="2357" t="s">
        <v>7172</v>
      </c>
    </row>
    <row r="723" spans="1:19" ht="12" customHeight="1" x14ac:dyDescent="0.2">
      <c r="A723" s="5664"/>
      <c r="B723" s="5664"/>
      <c r="C723" s="2229" t="s">
        <v>2998</v>
      </c>
      <c r="D723" s="940" t="str">
        <f>D722</f>
        <v>Le Rose Du Sang</v>
      </c>
      <c r="E723" s="2232">
        <v>1</v>
      </c>
      <c r="F723" s="2232">
        <v>30</v>
      </c>
      <c r="G723" s="2232">
        <f t="shared" si="28"/>
        <v>30</v>
      </c>
      <c r="H723" s="2231" t="s">
        <v>2999</v>
      </c>
      <c r="I723" s="2231" t="s">
        <v>9685</v>
      </c>
      <c r="J723" s="2231" t="s">
        <v>7172</v>
      </c>
      <c r="K723" s="2231"/>
      <c r="L723" s="2231"/>
      <c r="M723" s="2364">
        <f t="shared" si="29"/>
        <v>0</v>
      </c>
      <c r="N723" s="2348" t="s">
        <v>9836</v>
      </c>
      <c r="O723" s="2348" t="s">
        <v>7172</v>
      </c>
      <c r="P723" s="2348" t="s">
        <v>7172</v>
      </c>
      <c r="Q723" s="2348" t="s">
        <v>7172</v>
      </c>
      <c r="R723" s="2348" t="s">
        <v>7172</v>
      </c>
      <c r="S723" s="2357" t="s">
        <v>7172</v>
      </c>
    </row>
    <row r="724" spans="1:19" ht="12" customHeight="1" x14ac:dyDescent="0.2">
      <c r="A724" s="5664"/>
      <c r="B724" s="5664"/>
      <c r="C724" s="2229" t="s">
        <v>3000</v>
      </c>
      <c r="D724" s="940" t="str">
        <f>D723</f>
        <v>Le Rose Du Sang</v>
      </c>
      <c r="E724" s="2232">
        <v>2</v>
      </c>
      <c r="F724" s="2232">
        <v>40</v>
      </c>
      <c r="G724" s="2232">
        <f t="shared" si="28"/>
        <v>40</v>
      </c>
      <c r="H724" s="2231" t="s">
        <v>3001</v>
      </c>
      <c r="I724" s="2231" t="s">
        <v>9686</v>
      </c>
      <c r="J724" s="2231" t="s">
        <v>9687</v>
      </c>
      <c r="K724" s="2231"/>
      <c r="L724" s="2231"/>
      <c r="M724" s="2364">
        <f t="shared" si="29"/>
        <v>0</v>
      </c>
      <c r="N724" s="2348" t="s">
        <v>9363</v>
      </c>
      <c r="O724" s="2348" t="s">
        <v>7172</v>
      </c>
      <c r="P724" s="2348" t="s">
        <v>7172</v>
      </c>
      <c r="Q724" s="2348" t="s">
        <v>7172</v>
      </c>
      <c r="R724" s="2348" t="s">
        <v>7172</v>
      </c>
      <c r="S724" s="2357" t="s">
        <v>7172</v>
      </c>
    </row>
    <row r="725" spans="1:19" ht="12" customHeight="1" x14ac:dyDescent="0.2">
      <c r="A725" s="5664"/>
      <c r="B725" s="5664"/>
      <c r="C725" s="2229" t="s">
        <v>3002</v>
      </c>
      <c r="D725" s="940" t="str">
        <f>D724</f>
        <v>Le Rose Du Sang</v>
      </c>
      <c r="E725" s="2232">
        <v>2</v>
      </c>
      <c r="F725" s="2232">
        <v>55</v>
      </c>
      <c r="G725" s="2232">
        <f t="shared" si="28"/>
        <v>55</v>
      </c>
      <c r="H725" s="2231" t="s">
        <v>3003</v>
      </c>
      <c r="I725" s="2231" t="s">
        <v>9688</v>
      </c>
      <c r="J725" s="2231" t="s">
        <v>9689</v>
      </c>
      <c r="K725" s="2231"/>
      <c r="L725" s="2231"/>
      <c r="M725" s="2364">
        <f t="shared" si="29"/>
        <v>0</v>
      </c>
      <c r="N725" s="2348" t="s">
        <v>9833</v>
      </c>
      <c r="O725" s="2348" t="s">
        <v>7172</v>
      </c>
      <c r="P725" s="2348" t="s">
        <v>7172</v>
      </c>
      <c r="Q725" s="2348" t="s">
        <v>7172</v>
      </c>
      <c r="R725" s="2348" t="s">
        <v>7172</v>
      </c>
      <c r="S725" s="2357" t="s">
        <v>7172</v>
      </c>
    </row>
    <row r="726" spans="1:19" ht="12" customHeight="1" x14ac:dyDescent="0.2">
      <c r="A726" s="5664"/>
      <c r="B726" s="5664"/>
      <c r="C726" s="2229" t="s">
        <v>3004</v>
      </c>
      <c r="D726" s="940" t="str">
        <f>D725</f>
        <v>Le Rose Du Sang</v>
      </c>
      <c r="E726" s="2232">
        <v>3</v>
      </c>
      <c r="F726" s="2232">
        <v>90</v>
      </c>
      <c r="G726" s="2232">
        <f t="shared" si="28"/>
        <v>90</v>
      </c>
      <c r="H726" s="2231" t="s">
        <v>3005</v>
      </c>
      <c r="I726" s="2231" t="s">
        <v>9816</v>
      </c>
      <c r="J726" s="2231" t="s">
        <v>9690</v>
      </c>
      <c r="K726" s="2231"/>
      <c r="L726" s="2231"/>
      <c r="M726" s="2364">
        <f t="shared" si="29"/>
        <v>0</v>
      </c>
      <c r="N726" s="2348" t="s">
        <v>9835</v>
      </c>
      <c r="O726" s="2348" t="s">
        <v>9363</v>
      </c>
      <c r="P726" s="2348" t="s">
        <v>7172</v>
      </c>
      <c r="Q726" s="2348" t="s">
        <v>7172</v>
      </c>
      <c r="R726" s="2348" t="s">
        <v>7172</v>
      </c>
      <c r="S726" s="2357" t="s">
        <v>7172</v>
      </c>
    </row>
    <row r="727" spans="1:19" ht="12" customHeight="1" x14ac:dyDescent="0.2">
      <c r="A727" s="5664"/>
      <c r="B727" s="5664"/>
      <c r="C727" s="2229" t="s">
        <v>3006</v>
      </c>
      <c r="D727" s="940"/>
      <c r="E727" s="2232"/>
      <c r="F727" s="2232"/>
      <c r="G727" s="2232" t="str">
        <f t="shared" si="28"/>
        <v/>
      </c>
      <c r="H727" s="2231"/>
      <c r="I727" s="2231" t="s">
        <v>7172</v>
      </c>
      <c r="J727" s="2231" t="s">
        <v>7172</v>
      </c>
      <c r="K727" s="2231"/>
      <c r="L727" s="2231"/>
      <c r="M727" s="2364" t="str">
        <f t="shared" si="29"/>
        <v/>
      </c>
      <c r="N727" s="2348" t="s">
        <v>7172</v>
      </c>
      <c r="O727" s="2348" t="s">
        <v>7172</v>
      </c>
      <c r="P727" s="2348" t="s">
        <v>7172</v>
      </c>
      <c r="Q727" s="2348" t="s">
        <v>7172</v>
      </c>
      <c r="R727" s="2348" t="s">
        <v>7172</v>
      </c>
      <c r="S727" s="2357" t="s">
        <v>7172</v>
      </c>
    </row>
    <row r="728" spans="1:19" ht="12" customHeight="1" x14ac:dyDescent="0.2">
      <c r="A728" s="5664"/>
      <c r="B728" s="5664"/>
      <c r="C728" s="2229" t="s">
        <v>3007</v>
      </c>
      <c r="D728" s="940" t="str">
        <f>PROPER(MID(C727,3,100))</f>
        <v>Arashido, El Camino De Las Tormentas</v>
      </c>
      <c r="E728" s="2232">
        <v>1</v>
      </c>
      <c r="F728" s="2232">
        <v>25</v>
      </c>
      <c r="G728" s="2232">
        <f t="shared" si="28"/>
        <v>25</v>
      </c>
      <c r="H728" s="2231" t="s">
        <v>3008</v>
      </c>
      <c r="I728" s="2231" t="s">
        <v>9691</v>
      </c>
      <c r="J728" s="2231" t="s">
        <v>7172</v>
      </c>
      <c r="K728" s="2231"/>
      <c r="L728" s="2231"/>
      <c r="M728" s="2364">
        <f t="shared" si="29"/>
        <v>0</v>
      </c>
      <c r="N728" s="2348" t="s">
        <v>7797</v>
      </c>
      <c r="O728" s="2348" t="s">
        <v>7172</v>
      </c>
      <c r="P728" s="2348" t="s">
        <v>7172</v>
      </c>
      <c r="Q728" s="2348" t="s">
        <v>7172</v>
      </c>
      <c r="R728" s="2348" t="s">
        <v>7172</v>
      </c>
      <c r="S728" s="2357" t="s">
        <v>7172</v>
      </c>
    </row>
    <row r="729" spans="1:19" ht="12" customHeight="1" x14ac:dyDescent="0.2">
      <c r="A729" s="5664"/>
      <c r="B729" s="5664"/>
      <c r="C729" s="2229" t="s">
        <v>3010</v>
      </c>
      <c r="D729" s="940" t="str">
        <f>D728</f>
        <v>Arashido, El Camino De Las Tormentas</v>
      </c>
      <c r="E729" s="2232">
        <v>1</v>
      </c>
      <c r="F729" s="2232">
        <v>40</v>
      </c>
      <c r="G729" s="2232">
        <f t="shared" si="28"/>
        <v>40</v>
      </c>
      <c r="H729" s="2231" t="s">
        <v>3011</v>
      </c>
      <c r="I729" s="2231" t="s">
        <v>9692</v>
      </c>
      <c r="J729" s="2231" t="s">
        <v>7172</v>
      </c>
      <c r="K729" s="2231"/>
      <c r="L729" s="2231"/>
      <c r="M729" s="2364">
        <f t="shared" si="29"/>
        <v>0</v>
      </c>
      <c r="N729" s="2348" t="s">
        <v>9846</v>
      </c>
      <c r="O729" s="2348" t="s">
        <v>9847</v>
      </c>
      <c r="P729" s="2348" t="s">
        <v>7172</v>
      </c>
      <c r="Q729" s="2348" t="s">
        <v>7172</v>
      </c>
      <c r="R729" s="2348" t="s">
        <v>7172</v>
      </c>
      <c r="S729" s="2357" t="s">
        <v>7172</v>
      </c>
    </row>
    <row r="730" spans="1:19" ht="12" customHeight="1" x14ac:dyDescent="0.2">
      <c r="A730" s="5664"/>
      <c r="B730" s="5664"/>
      <c r="C730" s="2229" t="s">
        <v>3012</v>
      </c>
      <c r="D730" s="940" t="str">
        <f>D729</f>
        <v>Arashido, El Camino De Las Tormentas</v>
      </c>
      <c r="E730" s="2232">
        <v>2</v>
      </c>
      <c r="F730" s="2232">
        <v>75</v>
      </c>
      <c r="G730" s="2232">
        <f t="shared" si="28"/>
        <v>75</v>
      </c>
      <c r="H730" s="2231" t="s">
        <v>3013</v>
      </c>
      <c r="I730" s="2231" t="s">
        <v>9693</v>
      </c>
      <c r="J730" s="2231" t="s">
        <v>9694</v>
      </c>
      <c r="K730" s="2231"/>
      <c r="L730" s="2231"/>
      <c r="M730" s="2364">
        <f t="shared" si="29"/>
        <v>0</v>
      </c>
      <c r="N730" s="2348" t="s">
        <v>9835</v>
      </c>
      <c r="O730" s="2348" t="s">
        <v>9846</v>
      </c>
      <c r="P730" s="2348" t="s">
        <v>9847</v>
      </c>
      <c r="Q730" s="2348" t="s">
        <v>7172</v>
      </c>
      <c r="R730" s="2348" t="s">
        <v>7172</v>
      </c>
      <c r="S730" s="2357" t="s">
        <v>7172</v>
      </c>
    </row>
    <row r="731" spans="1:19" ht="12" customHeight="1" x14ac:dyDescent="0.2">
      <c r="A731" s="5664"/>
      <c r="B731" s="5664"/>
      <c r="C731" s="2229" t="s">
        <v>3014</v>
      </c>
      <c r="D731" s="940" t="str">
        <f>D730</f>
        <v>Arashido, El Camino De Las Tormentas</v>
      </c>
      <c r="E731" s="2232">
        <v>2</v>
      </c>
      <c r="F731" s="2232">
        <v>75</v>
      </c>
      <c r="G731" s="2232">
        <f t="shared" ref="G731:G794" si="30">IF(E731="","",MAX(IF(E731=3,60,IF(E731=2,40,20)),F731+M731))</f>
        <v>75</v>
      </c>
      <c r="H731" s="2231" t="s">
        <v>3015</v>
      </c>
      <c r="I731" s="2231" t="s">
        <v>9695</v>
      </c>
      <c r="J731" s="2231" t="s">
        <v>9687</v>
      </c>
      <c r="K731" s="2231"/>
      <c r="L731" s="2231"/>
      <c r="M731" s="2364">
        <f t="shared" si="29"/>
        <v>0</v>
      </c>
      <c r="N731" s="2348" t="s">
        <v>9363</v>
      </c>
      <c r="O731" s="2348" t="s">
        <v>9839</v>
      </c>
      <c r="P731" s="2348" t="s">
        <v>7172</v>
      </c>
      <c r="Q731" s="2348" t="s">
        <v>7172</v>
      </c>
      <c r="R731" s="2348" t="s">
        <v>7172</v>
      </c>
      <c r="S731" s="2357" t="s">
        <v>7172</v>
      </c>
    </row>
    <row r="732" spans="1:19" ht="12" customHeight="1" x14ac:dyDescent="0.2">
      <c r="A732" s="5664"/>
      <c r="B732" s="5664"/>
      <c r="C732" s="2229" t="s">
        <v>3017</v>
      </c>
      <c r="D732" s="940" t="str">
        <f>D731</f>
        <v>Arashido, El Camino De Las Tormentas</v>
      </c>
      <c r="E732" s="2232">
        <v>3</v>
      </c>
      <c r="F732" s="2232">
        <v>95</v>
      </c>
      <c r="G732" s="2232">
        <f t="shared" si="30"/>
        <v>95</v>
      </c>
      <c r="H732" s="2231" t="s">
        <v>3018</v>
      </c>
      <c r="I732" s="2231" t="s">
        <v>9696</v>
      </c>
      <c r="J732" s="2231" t="s">
        <v>9697</v>
      </c>
      <c r="K732" s="2231"/>
      <c r="L732" s="2231"/>
      <c r="M732" s="2364">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8" t="s">
        <v>9834</v>
      </c>
      <c r="O732" s="2348" t="s">
        <v>9832</v>
      </c>
      <c r="P732" s="2348" t="s">
        <v>9846</v>
      </c>
      <c r="Q732" s="2348" t="s">
        <v>9839</v>
      </c>
      <c r="R732" s="2348" t="s">
        <v>7172</v>
      </c>
      <c r="S732" s="2357" t="s">
        <v>7172</v>
      </c>
    </row>
    <row r="733" spans="1:19" ht="12" customHeight="1" x14ac:dyDescent="0.2">
      <c r="A733" s="5664"/>
      <c r="B733" s="5664"/>
      <c r="C733" s="2229" t="s">
        <v>3019</v>
      </c>
      <c r="D733" s="940"/>
      <c r="E733" s="2232"/>
      <c r="F733" s="2232"/>
      <c r="G733" s="2232" t="str">
        <f t="shared" si="30"/>
        <v/>
      </c>
      <c r="H733" s="2231"/>
      <c r="I733" s="2231" t="s">
        <v>7172</v>
      </c>
      <c r="J733" s="2231" t="s">
        <v>7172</v>
      </c>
      <c r="K733" s="2231"/>
      <c r="L733" s="2231"/>
      <c r="M733" s="2364" t="str">
        <f t="shared" si="31"/>
        <v/>
      </c>
      <c r="N733" s="2348" t="s">
        <v>7172</v>
      </c>
      <c r="O733" s="2348" t="s">
        <v>7172</v>
      </c>
      <c r="P733" s="2348" t="s">
        <v>7172</v>
      </c>
      <c r="Q733" s="2348" t="s">
        <v>7172</v>
      </c>
      <c r="R733" s="2348" t="s">
        <v>7172</v>
      </c>
      <c r="S733" s="2357" t="s">
        <v>7172</v>
      </c>
    </row>
    <row r="734" spans="1:19" ht="12" customHeight="1" x14ac:dyDescent="0.2">
      <c r="A734" s="5664"/>
      <c r="B734" s="5664"/>
      <c r="C734" s="1163" t="s">
        <v>3020</v>
      </c>
      <c r="D734" s="940" t="str">
        <f>PROPER(MID(C733,3,100))</f>
        <v>Di Quiu</v>
      </c>
      <c r="E734" s="532">
        <v>1</v>
      </c>
      <c r="F734" s="532">
        <v>35</v>
      </c>
      <c r="G734" s="2232">
        <f t="shared" si="30"/>
        <v>35</v>
      </c>
      <c r="H734" s="2231" t="s">
        <v>3021</v>
      </c>
      <c r="I734" s="2231" t="s">
        <v>9698</v>
      </c>
      <c r="J734" s="2231" t="s">
        <v>9699</v>
      </c>
      <c r="K734" s="2231"/>
      <c r="L734" s="2231"/>
      <c r="M734" s="2364">
        <f t="shared" si="31"/>
        <v>0</v>
      </c>
      <c r="N734" s="2348" t="s">
        <v>9841</v>
      </c>
      <c r="O734" s="2348" t="s">
        <v>7172</v>
      </c>
      <c r="P734" s="2348" t="s">
        <v>7172</v>
      </c>
      <c r="Q734" s="2348" t="s">
        <v>7172</v>
      </c>
      <c r="R734" s="2348" t="s">
        <v>7172</v>
      </c>
      <c r="S734" s="2357" t="s">
        <v>7172</v>
      </c>
    </row>
    <row r="735" spans="1:19" ht="12" customHeight="1" x14ac:dyDescent="0.2">
      <c r="A735" s="5664"/>
      <c r="B735" s="5664"/>
      <c r="C735" s="1163" t="s">
        <v>3023</v>
      </c>
      <c r="D735" s="940" t="str">
        <f>D734</f>
        <v>Di Quiu</v>
      </c>
      <c r="E735" s="532">
        <v>1</v>
      </c>
      <c r="F735" s="532">
        <v>50</v>
      </c>
      <c r="G735" s="2232">
        <f t="shared" si="30"/>
        <v>50</v>
      </c>
      <c r="H735" s="2231" t="s">
        <v>3024</v>
      </c>
      <c r="I735" s="2231" t="s">
        <v>9700</v>
      </c>
      <c r="J735" s="2231" t="s">
        <v>7172</v>
      </c>
      <c r="K735" s="2231"/>
      <c r="L735" s="2231"/>
      <c r="M735" s="2364">
        <f t="shared" si="31"/>
        <v>0</v>
      </c>
      <c r="N735" s="2348" t="s">
        <v>9836</v>
      </c>
      <c r="O735" s="2348" t="s">
        <v>7172</v>
      </c>
      <c r="P735" s="2348" t="s">
        <v>7172</v>
      </c>
      <c r="Q735" s="2348" t="s">
        <v>7172</v>
      </c>
      <c r="R735" s="2348" t="s">
        <v>7172</v>
      </c>
      <c r="S735" s="2357" t="s">
        <v>7172</v>
      </c>
    </row>
    <row r="736" spans="1:19" ht="12" customHeight="1" x14ac:dyDescent="0.2">
      <c r="A736" s="5664"/>
      <c r="B736" s="5664"/>
      <c r="C736" s="1163" t="s">
        <v>3027</v>
      </c>
      <c r="D736" s="940" t="str">
        <f>D735</f>
        <v>Di Quiu</v>
      </c>
      <c r="E736" s="532">
        <v>2</v>
      </c>
      <c r="F736" s="532">
        <v>40</v>
      </c>
      <c r="G736" s="2232">
        <f t="shared" si="30"/>
        <v>40</v>
      </c>
      <c r="H736" s="2231" t="s">
        <v>3028</v>
      </c>
      <c r="I736" s="2231" t="s">
        <v>9701</v>
      </c>
      <c r="J736" s="2231" t="s">
        <v>3266</v>
      </c>
      <c r="K736" s="2231"/>
      <c r="L736" s="2231"/>
      <c r="M736" s="2364">
        <f t="shared" si="31"/>
        <v>0</v>
      </c>
      <c r="N736" s="2348" t="s">
        <v>9851</v>
      </c>
      <c r="O736" s="2348" t="s">
        <v>7172</v>
      </c>
      <c r="P736" s="2348" t="s">
        <v>7172</v>
      </c>
      <c r="Q736" s="2348" t="s">
        <v>7172</v>
      </c>
      <c r="R736" s="2348" t="s">
        <v>7172</v>
      </c>
      <c r="S736" s="2357" t="s">
        <v>7172</v>
      </c>
    </row>
    <row r="737" spans="1:19" ht="12" customHeight="1" x14ac:dyDescent="0.2">
      <c r="A737" s="5664"/>
      <c r="B737" s="5664"/>
      <c r="C737" s="1163" t="s">
        <v>3030</v>
      </c>
      <c r="D737" s="940" t="str">
        <f>D736</f>
        <v>Di Quiu</v>
      </c>
      <c r="E737" s="532">
        <v>2</v>
      </c>
      <c r="F737" s="532">
        <v>65</v>
      </c>
      <c r="G737" s="2232">
        <f t="shared" si="30"/>
        <v>65</v>
      </c>
      <c r="H737" s="2231" t="s">
        <v>3031</v>
      </c>
      <c r="I737" s="2231" t="s">
        <v>9702</v>
      </c>
      <c r="J737" s="2231" t="s">
        <v>9703</v>
      </c>
      <c r="K737" s="2231"/>
      <c r="L737" s="2231"/>
      <c r="M737" s="2364">
        <f t="shared" si="31"/>
        <v>0</v>
      </c>
      <c r="N737" s="2348" t="s">
        <v>9835</v>
      </c>
      <c r="O737" s="2348" t="s">
        <v>9851</v>
      </c>
      <c r="P737" s="2348" t="s">
        <v>7172</v>
      </c>
      <c r="Q737" s="2348" t="s">
        <v>7172</v>
      </c>
      <c r="R737" s="2348" t="s">
        <v>7172</v>
      </c>
      <c r="S737" s="2357" t="s">
        <v>7172</v>
      </c>
    </row>
    <row r="738" spans="1:19" ht="12" customHeight="1" x14ac:dyDescent="0.2">
      <c r="A738" s="5664"/>
      <c r="B738" s="5664"/>
      <c r="C738" s="1163" t="s">
        <v>3033</v>
      </c>
      <c r="D738" s="940" t="str">
        <f>D737</f>
        <v>Di Quiu</v>
      </c>
      <c r="E738" s="532">
        <v>2</v>
      </c>
      <c r="F738" s="532">
        <v>60</v>
      </c>
      <c r="G738" s="2232">
        <f t="shared" si="30"/>
        <v>60</v>
      </c>
      <c r="H738" s="2231" t="s">
        <v>3034</v>
      </c>
      <c r="I738" s="2231" t="s">
        <v>9704</v>
      </c>
      <c r="J738" s="2231" t="s">
        <v>9705</v>
      </c>
      <c r="K738" s="2231"/>
      <c r="L738" s="2231"/>
      <c r="M738" s="2364">
        <f t="shared" si="31"/>
        <v>0</v>
      </c>
      <c r="N738" s="2348" t="s">
        <v>9835</v>
      </c>
      <c r="O738" s="2348" t="s">
        <v>9848</v>
      </c>
      <c r="P738" s="2348" t="s">
        <v>7172</v>
      </c>
      <c r="Q738" s="2348" t="s">
        <v>7172</v>
      </c>
      <c r="R738" s="2348" t="s">
        <v>7172</v>
      </c>
      <c r="S738" s="2357" t="s">
        <v>7172</v>
      </c>
    </row>
    <row r="739" spans="1:19" ht="12" customHeight="1" x14ac:dyDescent="0.2">
      <c r="A739" s="5664"/>
      <c r="B739" s="5664"/>
      <c r="C739" s="1163" t="s">
        <v>3035</v>
      </c>
      <c r="D739" s="940" t="str">
        <f>D738</f>
        <v>Di Quiu</v>
      </c>
      <c r="E739" s="532">
        <v>3</v>
      </c>
      <c r="F739" s="532">
        <v>90</v>
      </c>
      <c r="G739" s="2232">
        <f t="shared" si="30"/>
        <v>90</v>
      </c>
      <c r="H739" s="2231" t="s">
        <v>3036</v>
      </c>
      <c r="I739" s="2231" t="s">
        <v>9824</v>
      </c>
      <c r="J739" s="2231" t="s">
        <v>9706</v>
      </c>
      <c r="K739" s="2231"/>
      <c r="L739" s="2231"/>
      <c r="M739" s="2364">
        <f t="shared" si="31"/>
        <v>0</v>
      </c>
      <c r="N739" s="2348" t="s">
        <v>9835</v>
      </c>
      <c r="O739" s="2348" t="s">
        <v>9847</v>
      </c>
      <c r="P739" s="2348" t="s">
        <v>7172</v>
      </c>
      <c r="Q739" s="2348" t="s">
        <v>9850</v>
      </c>
      <c r="R739" s="2348" t="s">
        <v>7172</v>
      </c>
      <c r="S739" s="2357" t="s">
        <v>7172</v>
      </c>
    </row>
    <row r="740" spans="1:19" ht="12" customHeight="1" x14ac:dyDescent="0.2">
      <c r="A740" s="5664"/>
      <c r="B740" s="5664"/>
      <c r="C740" s="1163" t="s">
        <v>3037</v>
      </c>
      <c r="D740" s="940"/>
      <c r="E740" s="532"/>
      <c r="F740" s="532"/>
      <c r="G740" s="2232" t="str">
        <f t="shared" si="30"/>
        <v/>
      </c>
      <c r="H740" s="2231"/>
      <c r="I740" s="2231" t="s">
        <v>7172</v>
      </c>
      <c r="J740" s="2231" t="s">
        <v>7172</v>
      </c>
      <c r="K740" s="2231"/>
      <c r="L740" s="2231"/>
      <c r="M740" s="2364" t="str">
        <f t="shared" si="31"/>
        <v/>
      </c>
      <c r="N740" s="2348" t="s">
        <v>7172</v>
      </c>
      <c r="O740" s="2348" t="s">
        <v>7172</v>
      </c>
      <c r="P740" s="2348" t="s">
        <v>7172</v>
      </c>
      <c r="Q740" s="2348" t="s">
        <v>7172</v>
      </c>
      <c r="R740" s="2348" t="s">
        <v>7172</v>
      </c>
      <c r="S740" s="2357" t="s">
        <v>7172</v>
      </c>
    </row>
    <row r="741" spans="1:19" ht="12" customHeight="1" x14ac:dyDescent="0.2">
      <c r="A741" s="5664"/>
      <c r="B741" s="5664"/>
      <c r="C741" s="1163" t="s">
        <v>3038</v>
      </c>
      <c r="D741" s="940" t="str">
        <f>PROPER(MID(C740,3,100))</f>
        <v>Obscuritas</v>
      </c>
      <c r="E741" s="532">
        <v>1</v>
      </c>
      <c r="F741" s="532">
        <v>20</v>
      </c>
      <c r="G741" s="2232">
        <f t="shared" si="30"/>
        <v>20</v>
      </c>
      <c r="H741" s="2231" t="s">
        <v>3039</v>
      </c>
      <c r="I741" s="2231" t="s">
        <v>9707</v>
      </c>
      <c r="J741" s="2231" t="s">
        <v>9708</v>
      </c>
      <c r="K741" s="2231"/>
      <c r="L741" s="2231"/>
      <c r="M741" s="2364">
        <f t="shared" si="31"/>
        <v>0</v>
      </c>
      <c r="N741" s="2348" t="s">
        <v>7797</v>
      </c>
      <c r="O741" s="2348" t="s">
        <v>7172</v>
      </c>
      <c r="P741" s="2348" t="s">
        <v>7172</v>
      </c>
      <c r="Q741" s="2348" t="s">
        <v>7172</v>
      </c>
      <c r="R741" s="2348" t="s">
        <v>7172</v>
      </c>
      <c r="S741" s="2357" t="s">
        <v>7172</v>
      </c>
    </row>
    <row r="742" spans="1:19" ht="12" customHeight="1" x14ac:dyDescent="0.2">
      <c r="A742" s="5664"/>
      <c r="B742" s="5664"/>
      <c r="C742" s="1163" t="s">
        <v>3040</v>
      </c>
      <c r="D742" s="940" t="str">
        <f>D741</f>
        <v>Obscuritas</v>
      </c>
      <c r="E742" s="532">
        <v>1</v>
      </c>
      <c r="F742" s="532">
        <v>20</v>
      </c>
      <c r="G742" s="2232">
        <f t="shared" si="30"/>
        <v>20</v>
      </c>
      <c r="H742" s="2231" t="s">
        <v>3041</v>
      </c>
      <c r="I742" s="2231" t="s">
        <v>9709</v>
      </c>
      <c r="J742" s="2231" t="s">
        <v>7172</v>
      </c>
      <c r="K742" s="2231"/>
      <c r="L742" s="2231"/>
      <c r="M742" s="2364">
        <f t="shared" si="31"/>
        <v>0</v>
      </c>
      <c r="N742" s="2348" t="s">
        <v>7797</v>
      </c>
      <c r="O742" s="2348" t="s">
        <v>7172</v>
      </c>
      <c r="P742" s="2348" t="s">
        <v>7172</v>
      </c>
      <c r="Q742" s="2348" t="s">
        <v>7172</v>
      </c>
      <c r="R742" s="2348" t="s">
        <v>7172</v>
      </c>
      <c r="S742" s="2357" t="s">
        <v>7172</v>
      </c>
    </row>
    <row r="743" spans="1:19" ht="12" customHeight="1" x14ac:dyDescent="0.2">
      <c r="A743" s="5664"/>
      <c r="B743" s="5664"/>
      <c r="C743" s="1163" t="s">
        <v>3042</v>
      </c>
      <c r="D743" s="940" t="str">
        <f>D742</f>
        <v>Obscuritas</v>
      </c>
      <c r="E743" s="532">
        <v>1</v>
      </c>
      <c r="F743" s="532">
        <v>40</v>
      </c>
      <c r="G743" s="2232">
        <f t="shared" si="30"/>
        <v>40</v>
      </c>
      <c r="H743" s="2231" t="s">
        <v>3043</v>
      </c>
      <c r="I743" s="2231" t="s">
        <v>9710</v>
      </c>
      <c r="J743" s="2231" t="s">
        <v>9708</v>
      </c>
      <c r="K743" s="2231"/>
      <c r="L743" s="2231"/>
      <c r="M743" s="2364">
        <f t="shared" si="31"/>
        <v>0</v>
      </c>
      <c r="N743" s="2348" t="s">
        <v>9848</v>
      </c>
      <c r="O743" s="2348" t="s">
        <v>7172</v>
      </c>
      <c r="P743" s="2348" t="s">
        <v>7172</v>
      </c>
      <c r="Q743" s="2348" t="s">
        <v>7172</v>
      </c>
      <c r="R743" s="2348" t="s">
        <v>7172</v>
      </c>
      <c r="S743" s="2357" t="s">
        <v>7172</v>
      </c>
    </row>
    <row r="744" spans="1:19" ht="12" customHeight="1" x14ac:dyDescent="0.2">
      <c r="A744" s="5664"/>
      <c r="B744" s="5664"/>
      <c r="C744" s="1163" t="s">
        <v>3044</v>
      </c>
      <c r="D744" s="940" t="str">
        <f>D743</f>
        <v>Obscuritas</v>
      </c>
      <c r="E744" s="532">
        <v>2</v>
      </c>
      <c r="F744" s="532">
        <v>40</v>
      </c>
      <c r="G744" s="2232">
        <f t="shared" si="30"/>
        <v>40</v>
      </c>
      <c r="H744" s="2231" t="s">
        <v>3045</v>
      </c>
      <c r="I744" s="2231" t="s">
        <v>9711</v>
      </c>
      <c r="J744" s="2231" t="s">
        <v>7172</v>
      </c>
      <c r="K744" s="2231"/>
      <c r="L744" s="2231"/>
      <c r="M744" s="2364">
        <f t="shared" si="31"/>
        <v>0</v>
      </c>
      <c r="N744" s="2348" t="s">
        <v>9363</v>
      </c>
      <c r="O744" s="2348" t="s">
        <v>7172</v>
      </c>
      <c r="P744" s="2348" t="s">
        <v>7172</v>
      </c>
      <c r="Q744" s="2348" t="s">
        <v>7172</v>
      </c>
      <c r="R744" s="2348" t="s">
        <v>7172</v>
      </c>
      <c r="S744" s="2357" t="s">
        <v>7172</v>
      </c>
    </row>
    <row r="745" spans="1:19" ht="12" customHeight="1" x14ac:dyDescent="0.2">
      <c r="A745" s="5664"/>
      <c r="B745" s="5664"/>
      <c r="C745" s="1163" t="s">
        <v>3046</v>
      </c>
      <c r="D745" s="940" t="str">
        <f>D744</f>
        <v>Obscuritas</v>
      </c>
      <c r="E745" s="532">
        <v>2</v>
      </c>
      <c r="F745" s="532">
        <v>45</v>
      </c>
      <c r="G745" s="2232">
        <f t="shared" si="30"/>
        <v>45</v>
      </c>
      <c r="H745" s="2231" t="s">
        <v>3047</v>
      </c>
      <c r="I745" s="2231" t="s">
        <v>9712</v>
      </c>
      <c r="J745" s="2231" t="s">
        <v>9713</v>
      </c>
      <c r="K745" s="2231"/>
      <c r="L745" s="2231"/>
      <c r="M745" s="2364">
        <f t="shared" si="31"/>
        <v>0</v>
      </c>
      <c r="N745" s="2348" t="s">
        <v>9833</v>
      </c>
      <c r="O745" s="2348" t="s">
        <v>7172</v>
      </c>
      <c r="P745" s="2348" t="s">
        <v>7172</v>
      </c>
      <c r="Q745" s="2348" t="s">
        <v>7172</v>
      </c>
      <c r="R745" s="2348" t="s">
        <v>7172</v>
      </c>
      <c r="S745" s="2357" t="s">
        <v>7172</v>
      </c>
    </row>
    <row r="746" spans="1:19" ht="12" customHeight="1" x14ac:dyDescent="0.2">
      <c r="A746" s="5664"/>
      <c r="B746" s="5664"/>
      <c r="C746" s="1163" t="s">
        <v>3048</v>
      </c>
      <c r="D746" s="940"/>
      <c r="E746" s="2320"/>
      <c r="F746" s="2320"/>
      <c r="G746" s="2232" t="str">
        <f t="shared" si="30"/>
        <v/>
      </c>
      <c r="H746" s="2231"/>
      <c r="I746" s="2231" t="s">
        <v>7172</v>
      </c>
      <c r="J746" s="2231" t="s">
        <v>7172</v>
      </c>
      <c r="K746" s="2231"/>
      <c r="L746" s="2231"/>
      <c r="M746" s="2364" t="str">
        <f t="shared" si="31"/>
        <v/>
      </c>
      <c r="N746" s="2348" t="s">
        <v>7172</v>
      </c>
      <c r="O746" s="2348" t="s">
        <v>7172</v>
      </c>
      <c r="P746" s="2348" t="s">
        <v>7172</v>
      </c>
      <c r="Q746" s="2348" t="s">
        <v>7172</v>
      </c>
      <c r="R746" s="2348" t="s">
        <v>7172</v>
      </c>
      <c r="S746" s="2357" t="s">
        <v>7172</v>
      </c>
    </row>
    <row r="747" spans="1:19" ht="12" customHeight="1" x14ac:dyDescent="0.2">
      <c r="A747" s="5664"/>
      <c r="B747" s="5664"/>
      <c r="C747" s="1163" t="s">
        <v>3049</v>
      </c>
      <c r="D747" s="940" t="str">
        <f>PROPER(MID(C746,3,100))</f>
        <v>Cosmos</v>
      </c>
      <c r="E747" s="532">
        <v>1</v>
      </c>
      <c r="F747" s="532">
        <v>35</v>
      </c>
      <c r="G747" s="2232">
        <f t="shared" si="30"/>
        <v>35</v>
      </c>
      <c r="H747" s="2231" t="s">
        <v>3050</v>
      </c>
      <c r="I747" s="2231" t="s">
        <v>9823</v>
      </c>
      <c r="J747" s="2231" t="s">
        <v>9714</v>
      </c>
      <c r="K747" s="2231"/>
      <c r="L747" s="2231"/>
      <c r="M747" s="2364">
        <f t="shared" si="31"/>
        <v>0</v>
      </c>
      <c r="N747" s="2348" t="s">
        <v>9363</v>
      </c>
      <c r="O747" s="2348" t="s">
        <v>9832</v>
      </c>
      <c r="P747" s="2348" t="s">
        <v>7172</v>
      </c>
      <c r="Q747" s="2348" t="s">
        <v>7172</v>
      </c>
      <c r="R747" s="2348" t="s">
        <v>7172</v>
      </c>
      <c r="S747" s="2357" t="s">
        <v>7172</v>
      </c>
    </row>
    <row r="748" spans="1:19" ht="12" customHeight="1" x14ac:dyDescent="0.2">
      <c r="A748" s="5664"/>
      <c r="B748" s="5664"/>
      <c r="C748" s="1163" t="s">
        <v>3051</v>
      </c>
      <c r="D748" s="940" t="str">
        <f>D747</f>
        <v>Cosmos</v>
      </c>
      <c r="E748" s="532">
        <v>1</v>
      </c>
      <c r="F748" s="532">
        <v>45</v>
      </c>
      <c r="G748" s="2232">
        <f t="shared" si="30"/>
        <v>45</v>
      </c>
      <c r="H748" s="2231" t="s">
        <v>3052</v>
      </c>
      <c r="I748" s="2231" t="s">
        <v>9715</v>
      </c>
      <c r="J748" s="2231" t="s">
        <v>7172</v>
      </c>
      <c r="K748" s="2231"/>
      <c r="L748" s="2231"/>
      <c r="M748" s="2364">
        <f t="shared" si="31"/>
        <v>0</v>
      </c>
      <c r="N748" s="2348" t="s">
        <v>9840</v>
      </c>
      <c r="O748" s="2348" t="s">
        <v>9840</v>
      </c>
      <c r="P748" s="2348" t="s">
        <v>7172</v>
      </c>
      <c r="Q748" s="2348" t="s">
        <v>7172</v>
      </c>
      <c r="R748" s="2348" t="s">
        <v>7172</v>
      </c>
      <c r="S748" s="2357" t="s">
        <v>7172</v>
      </c>
    </row>
    <row r="749" spans="1:19" ht="12" customHeight="1" x14ac:dyDescent="0.2">
      <c r="A749" s="5664"/>
      <c r="B749" s="5664"/>
      <c r="C749" s="1163" t="s">
        <v>3053</v>
      </c>
      <c r="D749" s="940" t="str">
        <f>D748</f>
        <v>Cosmos</v>
      </c>
      <c r="E749" s="532">
        <v>2</v>
      </c>
      <c r="F749" s="532">
        <v>75</v>
      </c>
      <c r="G749" s="2232">
        <f t="shared" si="30"/>
        <v>75</v>
      </c>
      <c r="H749" s="2231" t="s">
        <v>3054</v>
      </c>
      <c r="I749" s="2231" t="s">
        <v>9716</v>
      </c>
      <c r="J749" s="2231" t="s">
        <v>7172</v>
      </c>
      <c r="K749" s="2231"/>
      <c r="L749" s="2231"/>
      <c r="M749" s="2364">
        <f t="shared" si="31"/>
        <v>0</v>
      </c>
      <c r="N749" s="2348" t="s">
        <v>9852</v>
      </c>
      <c r="O749" s="2348" t="s">
        <v>7172</v>
      </c>
      <c r="P749" s="2348" t="s">
        <v>7172</v>
      </c>
      <c r="Q749" s="2348" t="s">
        <v>7172</v>
      </c>
      <c r="R749" s="2348" t="s">
        <v>7172</v>
      </c>
      <c r="S749" s="2357" t="s">
        <v>7172</v>
      </c>
    </row>
    <row r="750" spans="1:19" ht="12" customHeight="1" x14ac:dyDescent="0.2">
      <c r="A750" s="5664"/>
      <c r="B750" s="5664"/>
      <c r="C750" s="1163" t="s">
        <v>3055</v>
      </c>
      <c r="D750" s="940" t="str">
        <f>D749</f>
        <v>Cosmos</v>
      </c>
      <c r="E750" s="532">
        <v>2</v>
      </c>
      <c r="F750" s="532">
        <v>70</v>
      </c>
      <c r="G750" s="2232">
        <f t="shared" si="30"/>
        <v>70</v>
      </c>
      <c r="H750" s="2231" t="s">
        <v>3056</v>
      </c>
      <c r="I750" s="2231" t="s">
        <v>9717</v>
      </c>
      <c r="J750" s="2231" t="s">
        <v>9718</v>
      </c>
      <c r="K750" s="2231"/>
      <c r="L750" s="2231"/>
      <c r="M750" s="2364">
        <f t="shared" si="31"/>
        <v>0</v>
      </c>
      <c r="N750" s="2348" t="s">
        <v>9835</v>
      </c>
      <c r="O750" s="2348" t="s">
        <v>9847</v>
      </c>
      <c r="P750" s="2348" t="s">
        <v>9834</v>
      </c>
      <c r="Q750" s="2348" t="s">
        <v>7172</v>
      </c>
      <c r="R750" s="2348" t="s">
        <v>7172</v>
      </c>
      <c r="S750" s="2357" t="s">
        <v>7172</v>
      </c>
    </row>
    <row r="751" spans="1:19" ht="12" customHeight="1" x14ac:dyDescent="0.2">
      <c r="A751" s="5664"/>
      <c r="B751" s="5664"/>
      <c r="C751" s="1163" t="s">
        <v>3057</v>
      </c>
      <c r="D751" s="940" t="str">
        <f>D750</f>
        <v>Cosmos</v>
      </c>
      <c r="E751" s="532">
        <v>3</v>
      </c>
      <c r="F751" s="532">
        <v>105</v>
      </c>
      <c r="G751" s="2232">
        <f t="shared" si="30"/>
        <v>105</v>
      </c>
      <c r="H751" s="2231" t="s">
        <v>3058</v>
      </c>
      <c r="I751" s="2231" t="s">
        <v>9719</v>
      </c>
      <c r="J751" s="2231" t="s">
        <v>9720</v>
      </c>
      <c r="K751" s="2231"/>
      <c r="L751" s="2231"/>
      <c r="M751" s="2364">
        <f t="shared" si="31"/>
        <v>0</v>
      </c>
      <c r="N751" s="2348" t="s">
        <v>9834</v>
      </c>
      <c r="O751" s="2348" t="s">
        <v>9852</v>
      </c>
      <c r="P751" s="2348" t="s">
        <v>7172</v>
      </c>
      <c r="Q751" s="2348" t="s">
        <v>7172</v>
      </c>
      <c r="R751" s="2348" t="s">
        <v>7172</v>
      </c>
      <c r="S751" s="2357" t="s">
        <v>7172</v>
      </c>
    </row>
    <row r="752" spans="1:19" ht="12" customHeight="1" x14ac:dyDescent="0.2">
      <c r="A752" s="5664"/>
      <c r="B752" s="5664"/>
      <c r="C752" s="1163" t="s">
        <v>3059</v>
      </c>
      <c r="D752" s="940"/>
      <c r="E752" s="2320"/>
      <c r="F752" s="532"/>
      <c r="G752" s="2232" t="str">
        <f t="shared" si="30"/>
        <v/>
      </c>
      <c r="H752" s="2231"/>
      <c r="I752" s="2231" t="s">
        <v>7172</v>
      </c>
      <c r="J752" s="2231" t="s">
        <v>7172</v>
      </c>
      <c r="K752" s="2231"/>
      <c r="L752" s="2231"/>
      <c r="M752" s="2364" t="str">
        <f t="shared" si="31"/>
        <v/>
      </c>
      <c r="N752" s="2348" t="s">
        <v>7172</v>
      </c>
      <c r="O752" s="2348" t="s">
        <v>7172</v>
      </c>
      <c r="P752" s="2348" t="s">
        <v>7172</v>
      </c>
      <c r="Q752" s="2348" t="s">
        <v>7172</v>
      </c>
      <c r="R752" s="2348" t="s">
        <v>7172</v>
      </c>
      <c r="S752" s="2357" t="s">
        <v>7172</v>
      </c>
    </row>
    <row r="753" spans="1:19" ht="12" customHeight="1" x14ac:dyDescent="0.2">
      <c r="A753" s="5664"/>
      <c r="B753" s="5664"/>
      <c r="C753" s="1163" t="s">
        <v>3060</v>
      </c>
      <c r="D753" s="940" t="str">
        <f>PROPER(MID(C752,3,100))</f>
        <v>Kagami</v>
      </c>
      <c r="E753" s="532">
        <v>1</v>
      </c>
      <c r="F753" s="532">
        <v>30</v>
      </c>
      <c r="G753" s="2232">
        <f t="shared" si="30"/>
        <v>30</v>
      </c>
      <c r="H753" s="2231" t="s">
        <v>3061</v>
      </c>
      <c r="I753" s="2231" t="s">
        <v>9721</v>
      </c>
      <c r="J753" s="2231" t="s">
        <v>7172</v>
      </c>
      <c r="K753" s="2231"/>
      <c r="L753" s="2231"/>
      <c r="M753" s="2364">
        <f t="shared" si="31"/>
        <v>0</v>
      </c>
      <c r="N753" s="2348" t="s">
        <v>9834</v>
      </c>
      <c r="O753" s="2348" t="s">
        <v>9832</v>
      </c>
      <c r="P753" s="2348" t="s">
        <v>9846</v>
      </c>
      <c r="Q753" s="2348" t="s">
        <v>7172</v>
      </c>
      <c r="R753" s="2348" t="s">
        <v>7172</v>
      </c>
      <c r="S753" s="2357" t="s">
        <v>7172</v>
      </c>
    </row>
    <row r="754" spans="1:19" ht="12" customHeight="1" x14ac:dyDescent="0.2">
      <c r="A754" s="5664"/>
      <c r="B754" s="5664"/>
      <c r="C754" s="1163" t="s">
        <v>3062</v>
      </c>
      <c r="D754" s="940" t="str">
        <f>D753</f>
        <v>Kagami</v>
      </c>
      <c r="E754" s="532">
        <v>1</v>
      </c>
      <c r="F754" s="532">
        <v>30</v>
      </c>
      <c r="G754" s="2232">
        <f t="shared" si="30"/>
        <v>30</v>
      </c>
      <c r="H754" s="2231" t="s">
        <v>3063</v>
      </c>
      <c r="I754" s="2231" t="s">
        <v>9722</v>
      </c>
      <c r="J754" s="2231" t="s">
        <v>7172</v>
      </c>
      <c r="K754" s="2231"/>
      <c r="L754" s="2231"/>
      <c r="M754" s="2364">
        <f t="shared" si="31"/>
        <v>0</v>
      </c>
      <c r="N754" s="2348" t="s">
        <v>9839</v>
      </c>
      <c r="O754" s="2348" t="s">
        <v>9840</v>
      </c>
      <c r="P754" s="2348" t="s">
        <v>7172</v>
      </c>
      <c r="Q754" s="2348" t="s">
        <v>7172</v>
      </c>
      <c r="R754" s="2348" t="s">
        <v>7172</v>
      </c>
      <c r="S754" s="2357" t="s">
        <v>7172</v>
      </c>
    </row>
    <row r="755" spans="1:19" ht="12" customHeight="1" x14ac:dyDescent="0.2">
      <c r="A755" s="5664"/>
      <c r="B755" s="5664"/>
      <c r="C755" s="1163" t="s">
        <v>3064</v>
      </c>
      <c r="D755" s="940" t="str">
        <f>D754</f>
        <v>Kagami</v>
      </c>
      <c r="E755" s="532">
        <v>2</v>
      </c>
      <c r="F755" s="532">
        <v>70</v>
      </c>
      <c r="G755" s="2232">
        <f t="shared" si="30"/>
        <v>70</v>
      </c>
      <c r="H755" s="2231" t="s">
        <v>3065</v>
      </c>
      <c r="I755" s="2231" t="s">
        <v>9723</v>
      </c>
      <c r="J755" s="2231" t="s">
        <v>7172</v>
      </c>
      <c r="K755" s="2231"/>
      <c r="L755" s="2231"/>
      <c r="M755" s="2364">
        <f t="shared" si="31"/>
        <v>0</v>
      </c>
      <c r="N755" s="2348" t="s">
        <v>9363</v>
      </c>
      <c r="O755" s="2348" t="s">
        <v>7172</v>
      </c>
      <c r="P755" s="2348" t="s">
        <v>9833</v>
      </c>
      <c r="Q755" s="2348" t="s">
        <v>7172</v>
      </c>
      <c r="R755" s="2348" t="s">
        <v>7172</v>
      </c>
      <c r="S755" s="2357" t="s">
        <v>7172</v>
      </c>
    </row>
    <row r="756" spans="1:19" ht="12" customHeight="1" x14ac:dyDescent="0.2">
      <c r="A756" s="5664"/>
      <c r="B756" s="5664"/>
      <c r="C756" s="1163" t="s">
        <v>3066</v>
      </c>
      <c r="D756" s="940" t="str">
        <f>D755</f>
        <v>Kagami</v>
      </c>
      <c r="E756" s="532">
        <v>2</v>
      </c>
      <c r="F756" s="532">
        <v>60</v>
      </c>
      <c r="G756" s="2232">
        <f t="shared" si="30"/>
        <v>60</v>
      </c>
      <c r="H756" s="2231" t="s">
        <v>3067</v>
      </c>
      <c r="I756" s="2231" t="s">
        <v>9724</v>
      </c>
      <c r="J756" s="2231" t="s">
        <v>9725</v>
      </c>
      <c r="K756" s="2231"/>
      <c r="L756" s="2231"/>
      <c r="M756" s="2364">
        <f t="shared" si="31"/>
        <v>0</v>
      </c>
      <c r="N756" s="2348" t="s">
        <v>9834</v>
      </c>
      <c r="O756" s="2348" t="s">
        <v>9852</v>
      </c>
      <c r="P756" s="2348" t="s">
        <v>7172</v>
      </c>
      <c r="Q756" s="2348" t="s">
        <v>7172</v>
      </c>
      <c r="R756" s="2348" t="s">
        <v>7172</v>
      </c>
      <c r="S756" s="2357" t="s">
        <v>7172</v>
      </c>
    </row>
    <row r="757" spans="1:19" ht="12" customHeight="1" x14ac:dyDescent="0.2">
      <c r="A757" s="5664"/>
      <c r="B757" s="5664"/>
      <c r="C757" s="1163" t="s">
        <v>3068</v>
      </c>
      <c r="D757" s="940" t="str">
        <f>D756</f>
        <v>Kagami</v>
      </c>
      <c r="E757" s="532">
        <v>3</v>
      </c>
      <c r="F757" s="532">
        <v>115</v>
      </c>
      <c r="G757" s="2232">
        <f t="shared" si="30"/>
        <v>115</v>
      </c>
      <c r="H757" s="2231" t="s">
        <v>3069</v>
      </c>
      <c r="I757" s="2231" t="s">
        <v>9726</v>
      </c>
      <c r="J757" s="2231" t="s">
        <v>7172</v>
      </c>
      <c r="K757" s="2231"/>
      <c r="L757" s="2231"/>
      <c r="M757" s="2364">
        <f t="shared" si="31"/>
        <v>0</v>
      </c>
      <c r="N757" s="2348" t="s">
        <v>9852</v>
      </c>
      <c r="O757" s="2348" t="s">
        <v>7172</v>
      </c>
      <c r="P757" s="2348" t="s">
        <v>7172</v>
      </c>
      <c r="Q757" s="2348" t="s">
        <v>7172</v>
      </c>
      <c r="R757" s="2348" t="s">
        <v>7172</v>
      </c>
      <c r="S757" s="2357" t="s">
        <v>7172</v>
      </c>
    </row>
    <row r="758" spans="1:19" ht="12" customHeight="1" x14ac:dyDescent="0.2">
      <c r="A758" s="5664"/>
      <c r="B758" s="5664"/>
      <c r="C758" s="1163" t="s">
        <v>3070</v>
      </c>
      <c r="D758" s="940"/>
      <c r="E758" s="2320"/>
      <c r="F758" s="532"/>
      <c r="G758" s="2232" t="str">
        <f t="shared" si="30"/>
        <v/>
      </c>
      <c r="H758" s="2231"/>
      <c r="I758" s="2231" t="s">
        <v>7172</v>
      </c>
      <c r="J758" s="2231" t="s">
        <v>7172</v>
      </c>
      <c r="K758" s="2231"/>
      <c r="L758" s="2231"/>
      <c r="M758" s="2364" t="str">
        <f t="shared" si="31"/>
        <v/>
      </c>
      <c r="N758" s="2348" t="s">
        <v>7172</v>
      </c>
      <c r="O758" s="2348" t="s">
        <v>7172</v>
      </c>
      <c r="P758" s="2348" t="s">
        <v>7172</v>
      </c>
      <c r="Q758" s="2348" t="s">
        <v>7172</v>
      </c>
      <c r="R758" s="2348" t="s">
        <v>7172</v>
      </c>
      <c r="S758" s="2357" t="s">
        <v>7172</v>
      </c>
    </row>
    <row r="759" spans="1:19" ht="12" customHeight="1" x14ac:dyDescent="0.2">
      <c r="A759" s="5664"/>
      <c r="B759" s="5664"/>
      <c r="C759" s="1163" t="s">
        <v>3071</v>
      </c>
      <c r="D759" s="940" t="str">
        <f>PROPER(MID(C758,3,100))</f>
        <v>Magus Abstergo</v>
      </c>
      <c r="E759" s="532">
        <v>1</v>
      </c>
      <c r="F759" s="532">
        <v>30</v>
      </c>
      <c r="G759" s="2232">
        <f t="shared" si="30"/>
        <v>30</v>
      </c>
      <c r="H759" s="2231" t="s">
        <v>3072</v>
      </c>
      <c r="I759" s="2231" t="s">
        <v>9727</v>
      </c>
      <c r="J759" s="2231" t="s">
        <v>7172</v>
      </c>
      <c r="K759" s="2231"/>
      <c r="L759" s="2231"/>
      <c r="M759" s="2364">
        <f t="shared" si="31"/>
        <v>0</v>
      </c>
      <c r="N759" s="2348" t="s">
        <v>9841</v>
      </c>
      <c r="O759" s="2348" t="s">
        <v>7172</v>
      </c>
      <c r="P759" s="2348" t="s">
        <v>7172</v>
      </c>
      <c r="Q759" s="2348" t="s">
        <v>7172</v>
      </c>
      <c r="R759" s="2348" t="s">
        <v>7172</v>
      </c>
      <c r="S759" s="2357" t="s">
        <v>7172</v>
      </c>
    </row>
    <row r="760" spans="1:19" ht="12" customHeight="1" x14ac:dyDescent="0.2">
      <c r="A760" s="5664"/>
      <c r="B760" s="5664"/>
      <c r="C760" s="1163" t="s">
        <v>3073</v>
      </c>
      <c r="D760" s="940" t="str">
        <f>D759</f>
        <v>Magus Abstergo</v>
      </c>
      <c r="E760" s="532">
        <v>1</v>
      </c>
      <c r="F760" s="532">
        <v>25</v>
      </c>
      <c r="G760" s="2232">
        <f t="shared" si="30"/>
        <v>25</v>
      </c>
      <c r="H760" s="2231" t="s">
        <v>3074</v>
      </c>
      <c r="I760" s="2231" t="s">
        <v>9728</v>
      </c>
      <c r="J760" s="2231" t="s">
        <v>9729</v>
      </c>
      <c r="K760" s="2231"/>
      <c r="L760" s="2231"/>
      <c r="M760" s="2364">
        <f t="shared" si="31"/>
        <v>0</v>
      </c>
      <c r="N760" s="2348" t="s">
        <v>9834</v>
      </c>
      <c r="O760" s="2348" t="s">
        <v>9847</v>
      </c>
      <c r="P760" s="2348" t="s">
        <v>7172</v>
      </c>
      <c r="Q760" s="2348" t="s">
        <v>7172</v>
      </c>
      <c r="R760" s="2348" t="s">
        <v>7172</v>
      </c>
      <c r="S760" s="2357" t="s">
        <v>7172</v>
      </c>
    </row>
    <row r="761" spans="1:19" ht="12" customHeight="1" x14ac:dyDescent="0.2">
      <c r="A761" s="5664"/>
      <c r="B761" s="5664"/>
      <c r="C761" s="1163" t="s">
        <v>3075</v>
      </c>
      <c r="D761" s="940" t="str">
        <f>D760</f>
        <v>Magus Abstergo</v>
      </c>
      <c r="E761" s="532">
        <v>2</v>
      </c>
      <c r="F761" s="532">
        <v>70</v>
      </c>
      <c r="G761" s="2232">
        <f t="shared" si="30"/>
        <v>70</v>
      </c>
      <c r="H761" s="2231" t="s">
        <v>3076</v>
      </c>
      <c r="I761" s="2231" t="s">
        <v>9730</v>
      </c>
      <c r="J761" s="2231" t="s">
        <v>9731</v>
      </c>
      <c r="K761" s="2231"/>
      <c r="L761" s="2231"/>
      <c r="M761" s="2364">
        <f t="shared" si="31"/>
        <v>0</v>
      </c>
      <c r="N761" s="2348" t="s">
        <v>9836</v>
      </c>
      <c r="O761" s="2348" t="s">
        <v>7172</v>
      </c>
      <c r="P761" s="2348" t="s">
        <v>7172</v>
      </c>
      <c r="Q761" s="2348" t="s">
        <v>7172</v>
      </c>
      <c r="R761" s="2348" t="s">
        <v>7172</v>
      </c>
      <c r="S761" s="2357" t="s">
        <v>7172</v>
      </c>
    </row>
    <row r="762" spans="1:19" ht="12" customHeight="1" x14ac:dyDescent="0.2">
      <c r="A762" s="5664"/>
      <c r="B762" s="5664"/>
      <c r="C762" s="1163" t="s">
        <v>3077</v>
      </c>
      <c r="D762" s="940" t="str">
        <f>D761</f>
        <v>Magus Abstergo</v>
      </c>
      <c r="E762" s="532">
        <v>2</v>
      </c>
      <c r="F762" s="532">
        <v>65</v>
      </c>
      <c r="G762" s="2232">
        <f t="shared" si="30"/>
        <v>65</v>
      </c>
      <c r="H762" s="2231" t="s">
        <v>3078</v>
      </c>
      <c r="I762" s="2231" t="s">
        <v>9732</v>
      </c>
      <c r="J762" s="2231" t="s">
        <v>9731</v>
      </c>
      <c r="K762" s="2231"/>
      <c r="L762" s="2231"/>
      <c r="M762" s="2364">
        <f t="shared" si="31"/>
        <v>0</v>
      </c>
      <c r="N762" s="2348" t="s">
        <v>9836</v>
      </c>
      <c r="O762" s="2348" t="s">
        <v>9846</v>
      </c>
      <c r="P762" s="2348" t="s">
        <v>7172</v>
      </c>
      <c r="Q762" s="2348" t="s">
        <v>7172</v>
      </c>
      <c r="R762" s="2348" t="s">
        <v>7172</v>
      </c>
      <c r="S762" s="2357" t="s">
        <v>7172</v>
      </c>
    </row>
    <row r="763" spans="1:19" ht="12" customHeight="1" x14ac:dyDescent="0.2">
      <c r="A763" s="5664"/>
      <c r="B763" s="5664"/>
      <c r="C763" s="1163" t="s">
        <v>3079</v>
      </c>
      <c r="D763" s="940" t="str">
        <f>D762</f>
        <v>Magus Abstergo</v>
      </c>
      <c r="E763" s="532">
        <v>2</v>
      </c>
      <c r="F763" s="532">
        <v>100</v>
      </c>
      <c r="G763" s="2232">
        <f t="shared" si="30"/>
        <v>100</v>
      </c>
      <c r="H763" s="2231" t="s">
        <v>3080</v>
      </c>
      <c r="I763" s="2231" t="s">
        <v>9733</v>
      </c>
      <c r="J763" s="2231" t="s">
        <v>7172</v>
      </c>
      <c r="K763" s="2231"/>
      <c r="L763" s="2231"/>
      <c r="M763" s="2364">
        <f t="shared" si="31"/>
        <v>0</v>
      </c>
      <c r="N763" s="2348" t="s">
        <v>9834</v>
      </c>
      <c r="O763" s="2348" t="s">
        <v>9839</v>
      </c>
      <c r="P763" s="2348" t="s">
        <v>7172</v>
      </c>
      <c r="Q763" s="2348" t="s">
        <v>9847</v>
      </c>
      <c r="R763" s="2348" t="s">
        <v>7172</v>
      </c>
      <c r="S763" s="2357" t="s">
        <v>7172</v>
      </c>
    </row>
    <row r="764" spans="1:19" ht="12" customHeight="1" x14ac:dyDescent="0.2">
      <c r="A764" s="5664"/>
      <c r="B764" s="5664"/>
      <c r="C764" s="1163" t="s">
        <v>3081</v>
      </c>
      <c r="D764" s="940"/>
      <c r="E764" s="2320"/>
      <c r="F764" s="532"/>
      <c r="G764" s="2232" t="str">
        <f t="shared" si="30"/>
        <v/>
      </c>
      <c r="H764" s="2231"/>
      <c r="I764" s="2231" t="s">
        <v>7172</v>
      </c>
      <c r="J764" s="2231" t="s">
        <v>7172</v>
      </c>
      <c r="K764" s="2231"/>
      <c r="L764" s="2231"/>
      <c r="M764" s="2364" t="str">
        <f t="shared" si="31"/>
        <v/>
      </c>
      <c r="N764" s="2348" t="s">
        <v>7172</v>
      </c>
      <c r="O764" s="2348" t="s">
        <v>7172</v>
      </c>
      <c r="P764" s="2348" t="s">
        <v>7172</v>
      </c>
      <c r="Q764" s="2348" t="s">
        <v>7172</v>
      </c>
      <c r="R764" s="2348" t="s">
        <v>7172</v>
      </c>
      <c r="S764" s="2357" t="s">
        <v>7172</v>
      </c>
    </row>
    <row r="765" spans="1:19" ht="12" customHeight="1" x14ac:dyDescent="0.2">
      <c r="A765" s="5664"/>
      <c r="B765" s="5664"/>
      <c r="C765" s="1163" t="s">
        <v>3082</v>
      </c>
      <c r="D765" s="940" t="str">
        <f>PROPER(MID(C764,3,100))</f>
        <v>Gunhell</v>
      </c>
      <c r="E765" s="532">
        <v>1</v>
      </c>
      <c r="F765" s="532">
        <v>35</v>
      </c>
      <c r="G765" s="2232">
        <f t="shared" si="30"/>
        <v>35</v>
      </c>
      <c r="H765" s="2231" t="s">
        <v>3083</v>
      </c>
      <c r="I765" s="2231" t="s">
        <v>9734</v>
      </c>
      <c r="J765" s="2231" t="s">
        <v>7172</v>
      </c>
      <c r="K765" s="2231"/>
      <c r="L765" s="2231"/>
      <c r="M765" s="2364">
        <f t="shared" si="31"/>
        <v>0</v>
      </c>
      <c r="N765" s="2348" t="s">
        <v>9842</v>
      </c>
      <c r="O765" s="2348" t="s">
        <v>7172</v>
      </c>
      <c r="P765" s="2348" t="s">
        <v>7172</v>
      </c>
      <c r="Q765" s="2348" t="s">
        <v>7172</v>
      </c>
      <c r="R765" s="2348" t="s">
        <v>7172</v>
      </c>
      <c r="S765" s="2357" t="s">
        <v>7172</v>
      </c>
    </row>
    <row r="766" spans="1:19" ht="12" customHeight="1" x14ac:dyDescent="0.2">
      <c r="A766" s="5664"/>
      <c r="B766" s="5664"/>
      <c r="C766" s="1163" t="s">
        <v>3084</v>
      </c>
      <c r="D766" s="940" t="str">
        <f>D765</f>
        <v>Gunhell</v>
      </c>
      <c r="E766" s="532">
        <v>1</v>
      </c>
      <c r="F766" s="532">
        <v>45</v>
      </c>
      <c r="G766" s="2232">
        <f t="shared" si="30"/>
        <v>45</v>
      </c>
      <c r="H766" s="2231" t="s">
        <v>3085</v>
      </c>
      <c r="I766" s="2231" t="s">
        <v>9735</v>
      </c>
      <c r="J766" s="2231" t="s">
        <v>9736</v>
      </c>
      <c r="K766" s="2231"/>
      <c r="L766" s="2231"/>
      <c r="M766" s="2364">
        <f t="shared" si="31"/>
        <v>0</v>
      </c>
      <c r="N766" s="2348" t="s">
        <v>9833</v>
      </c>
      <c r="O766" s="2348" t="s">
        <v>7172</v>
      </c>
      <c r="P766" s="2348" t="s">
        <v>7172</v>
      </c>
      <c r="Q766" s="2348" t="s">
        <v>7172</v>
      </c>
      <c r="R766" s="2348" t="s">
        <v>7172</v>
      </c>
      <c r="S766" s="2357" t="s">
        <v>7172</v>
      </c>
    </row>
    <row r="767" spans="1:19" ht="12" customHeight="1" x14ac:dyDescent="0.2">
      <c r="A767" s="5664"/>
      <c r="B767" s="5664"/>
      <c r="C767" s="1163" t="s">
        <v>3086</v>
      </c>
      <c r="D767" s="940" t="str">
        <f>D766</f>
        <v>Gunhell</v>
      </c>
      <c r="E767" s="532">
        <v>1</v>
      </c>
      <c r="F767" s="532">
        <v>25</v>
      </c>
      <c r="G767" s="2232">
        <f t="shared" si="30"/>
        <v>25</v>
      </c>
      <c r="H767" s="2231" t="s">
        <v>3087</v>
      </c>
      <c r="I767" s="2231" t="s">
        <v>9825</v>
      </c>
      <c r="J767" s="2231" t="s">
        <v>9736</v>
      </c>
      <c r="K767" s="2231"/>
      <c r="L767" s="2231"/>
      <c r="M767" s="2364">
        <f t="shared" si="31"/>
        <v>0</v>
      </c>
      <c r="N767" s="2348" t="s">
        <v>7172</v>
      </c>
      <c r="O767" s="2348" t="s">
        <v>9833</v>
      </c>
      <c r="P767" s="2348" t="s">
        <v>7172</v>
      </c>
      <c r="Q767" s="2348" t="s">
        <v>7172</v>
      </c>
      <c r="R767" s="2348" t="s">
        <v>7172</v>
      </c>
      <c r="S767" s="2357" t="s">
        <v>7172</v>
      </c>
    </row>
    <row r="768" spans="1:19" ht="12" customHeight="1" x14ac:dyDescent="0.2">
      <c r="A768" s="5664"/>
      <c r="B768" s="5664"/>
      <c r="C768" s="1163" t="s">
        <v>3088</v>
      </c>
      <c r="D768" s="940" t="str">
        <f>D767</f>
        <v>Gunhell</v>
      </c>
      <c r="E768" s="532">
        <v>1</v>
      </c>
      <c r="F768" s="532">
        <v>30</v>
      </c>
      <c r="G768" s="2232">
        <f t="shared" si="30"/>
        <v>30</v>
      </c>
      <c r="H768" s="2231" t="s">
        <v>3087</v>
      </c>
      <c r="I768" s="2231" t="s">
        <v>9737</v>
      </c>
      <c r="J768" s="2231" t="s">
        <v>9738</v>
      </c>
      <c r="K768" s="2231"/>
      <c r="L768" s="2231"/>
      <c r="M768" s="2364">
        <f t="shared" si="31"/>
        <v>0</v>
      </c>
      <c r="N768" s="2348" t="s">
        <v>9839</v>
      </c>
      <c r="O768" s="2348" t="s">
        <v>7172</v>
      </c>
      <c r="P768" s="2348" t="s">
        <v>7172</v>
      </c>
      <c r="Q768" s="2348" t="s">
        <v>7172</v>
      </c>
      <c r="R768" s="2348" t="s">
        <v>7172</v>
      </c>
      <c r="S768" s="2357" t="s">
        <v>7172</v>
      </c>
    </row>
    <row r="769" spans="1:19" ht="12" customHeight="1" x14ac:dyDescent="0.2">
      <c r="A769" s="5664"/>
      <c r="B769" s="5664"/>
      <c r="C769" s="1163" t="s">
        <v>3089</v>
      </c>
      <c r="D769" s="940" t="str">
        <f>D768</f>
        <v>Gunhell</v>
      </c>
      <c r="E769" s="532">
        <v>2</v>
      </c>
      <c r="F769" s="532">
        <v>85</v>
      </c>
      <c r="G769" s="2232">
        <f t="shared" si="30"/>
        <v>85</v>
      </c>
      <c r="H769" s="2231" t="s">
        <v>3090</v>
      </c>
      <c r="I769" s="2231" t="s">
        <v>9739</v>
      </c>
      <c r="J769" s="2231" t="s">
        <v>9736</v>
      </c>
      <c r="K769" s="2231"/>
      <c r="L769" s="2231"/>
      <c r="M769" s="2364">
        <f t="shared" si="31"/>
        <v>0</v>
      </c>
      <c r="N769" s="2348" t="s">
        <v>9834</v>
      </c>
      <c r="O769" s="2348" t="s">
        <v>9840</v>
      </c>
      <c r="P769" s="2348" t="s">
        <v>7172</v>
      </c>
      <c r="Q769" s="2348" t="s">
        <v>7172</v>
      </c>
      <c r="R769" s="2348" t="s">
        <v>7172</v>
      </c>
      <c r="S769" s="2357" t="s">
        <v>7172</v>
      </c>
    </row>
    <row r="770" spans="1:19" ht="12" customHeight="1" x14ac:dyDescent="0.2">
      <c r="A770" s="5664"/>
      <c r="B770" s="5664"/>
      <c r="C770" s="1163" t="s">
        <v>3091</v>
      </c>
      <c r="D770" s="940" t="str">
        <f t="shared" ref="D770:D771" si="32">D769</f>
        <v>Gunhell</v>
      </c>
      <c r="E770" s="532">
        <v>2</v>
      </c>
      <c r="F770" s="532">
        <v>65</v>
      </c>
      <c r="G770" s="2232">
        <f t="shared" si="30"/>
        <v>65</v>
      </c>
      <c r="H770" s="2231" t="s">
        <v>3092</v>
      </c>
      <c r="I770" s="2231" t="s">
        <v>9740</v>
      </c>
      <c r="J770" s="2231" t="s">
        <v>9741</v>
      </c>
      <c r="K770" s="2231"/>
      <c r="L770" s="2231"/>
      <c r="M770" s="2364">
        <f t="shared" si="31"/>
        <v>0</v>
      </c>
      <c r="N770" s="2348" t="s">
        <v>7797</v>
      </c>
      <c r="O770" s="2348" t="s">
        <v>9832</v>
      </c>
      <c r="P770" s="2348" t="s">
        <v>9847</v>
      </c>
      <c r="Q770" s="2348" t="s">
        <v>7172</v>
      </c>
      <c r="R770" s="2348" t="s">
        <v>7172</v>
      </c>
      <c r="S770" s="2357" t="s">
        <v>7172</v>
      </c>
    </row>
    <row r="771" spans="1:19" ht="12" customHeight="1" x14ac:dyDescent="0.2">
      <c r="A771" s="5664"/>
      <c r="B771" s="5664"/>
      <c r="C771" s="1163" t="s">
        <v>3093</v>
      </c>
      <c r="D771" s="940" t="str">
        <f t="shared" si="32"/>
        <v>Gunhell</v>
      </c>
      <c r="E771" s="532">
        <v>3</v>
      </c>
      <c r="F771" s="532">
        <v>90</v>
      </c>
      <c r="G771" s="2232">
        <f t="shared" si="30"/>
        <v>90</v>
      </c>
      <c r="H771" s="2231" t="s">
        <v>3094</v>
      </c>
      <c r="I771" s="2231" t="s">
        <v>9742</v>
      </c>
      <c r="J771" s="2231" t="s">
        <v>9743</v>
      </c>
      <c r="K771" s="2231"/>
      <c r="L771" s="2231"/>
      <c r="M771" s="2364">
        <f t="shared" si="31"/>
        <v>0</v>
      </c>
      <c r="N771" s="2348" t="s">
        <v>9834</v>
      </c>
      <c r="O771" s="2348" t="s">
        <v>9835</v>
      </c>
      <c r="P771" s="2348" t="s">
        <v>7172</v>
      </c>
      <c r="Q771" s="2348" t="s">
        <v>9852</v>
      </c>
      <c r="R771" s="2348" t="s">
        <v>7172</v>
      </c>
      <c r="S771" s="2357" t="s">
        <v>7172</v>
      </c>
    </row>
    <row r="772" spans="1:19" ht="12" customHeight="1" x14ac:dyDescent="0.2">
      <c r="A772" s="5664"/>
      <c r="B772" s="5664"/>
      <c r="C772" s="1163" t="s">
        <v>3095</v>
      </c>
      <c r="D772" s="940"/>
      <c r="E772" s="2320"/>
      <c r="F772" s="532"/>
      <c r="G772" s="2232" t="str">
        <f t="shared" si="30"/>
        <v/>
      </c>
      <c r="H772" s="2231"/>
      <c r="I772" s="2231" t="s">
        <v>7172</v>
      </c>
      <c r="J772" s="2231" t="s">
        <v>7172</v>
      </c>
      <c r="K772" s="2231"/>
      <c r="L772" s="2231"/>
      <c r="M772" s="2364" t="str">
        <f t="shared" si="31"/>
        <v/>
      </c>
      <c r="N772" s="2348" t="s">
        <v>7172</v>
      </c>
      <c r="O772" s="2348" t="s">
        <v>7172</v>
      </c>
      <c r="P772" s="2348" t="s">
        <v>7172</v>
      </c>
      <c r="Q772" s="2348" t="s">
        <v>7172</v>
      </c>
      <c r="R772" s="2348" t="s">
        <v>7172</v>
      </c>
      <c r="S772" s="2357" t="s">
        <v>7172</v>
      </c>
    </row>
    <row r="773" spans="1:19" ht="12" customHeight="1" x14ac:dyDescent="0.2">
      <c r="A773" s="5664"/>
      <c r="B773" s="5664"/>
      <c r="C773" s="1163" t="s">
        <v>3096</v>
      </c>
      <c r="D773" s="940" t="str">
        <f>PROPER(MID(C772,3,100))</f>
        <v>Sattyagraha</v>
      </c>
      <c r="E773" s="532">
        <v>1</v>
      </c>
      <c r="F773" s="532">
        <v>20</v>
      </c>
      <c r="G773" s="2232">
        <f t="shared" si="30"/>
        <v>20</v>
      </c>
      <c r="H773" s="2231" t="s">
        <v>3097</v>
      </c>
      <c r="I773" s="2231" t="s">
        <v>9744</v>
      </c>
      <c r="J773" s="2231" t="s">
        <v>7172</v>
      </c>
      <c r="K773" s="2231"/>
      <c r="L773" s="2231"/>
      <c r="M773" s="2364">
        <f t="shared" si="31"/>
        <v>0</v>
      </c>
      <c r="N773" s="2348" t="s">
        <v>9836</v>
      </c>
      <c r="O773" s="2348" t="s">
        <v>9846</v>
      </c>
      <c r="P773" s="2348" t="s">
        <v>7172</v>
      </c>
      <c r="Q773" s="2348" t="s">
        <v>7172</v>
      </c>
      <c r="R773" s="2348" t="s">
        <v>7172</v>
      </c>
      <c r="S773" s="2357" t="s">
        <v>7172</v>
      </c>
    </row>
    <row r="774" spans="1:19" ht="12" customHeight="1" x14ac:dyDescent="0.2">
      <c r="A774" s="5664"/>
      <c r="B774" s="5664"/>
      <c r="C774" s="1163" t="s">
        <v>3098</v>
      </c>
      <c r="D774" s="940" t="str">
        <f>D773</f>
        <v>Sattyagraha</v>
      </c>
      <c r="E774" s="532">
        <v>1</v>
      </c>
      <c r="F774" s="532">
        <v>35</v>
      </c>
      <c r="G774" s="2232">
        <f t="shared" si="30"/>
        <v>35</v>
      </c>
      <c r="H774" s="2231" t="s">
        <v>3099</v>
      </c>
      <c r="I774" s="2231" t="s">
        <v>9745</v>
      </c>
      <c r="J774" s="2231" t="s">
        <v>7172</v>
      </c>
      <c r="K774" s="2231"/>
      <c r="L774" s="2231"/>
      <c r="M774" s="2364">
        <f t="shared" si="31"/>
        <v>0</v>
      </c>
      <c r="N774" s="2348" t="s">
        <v>9839</v>
      </c>
      <c r="O774" s="2348" t="s">
        <v>7172</v>
      </c>
      <c r="P774" s="2348" t="s">
        <v>7172</v>
      </c>
      <c r="Q774" s="2348" t="s">
        <v>7172</v>
      </c>
      <c r="R774" s="2348" t="s">
        <v>7172</v>
      </c>
      <c r="S774" s="2357" t="s">
        <v>7172</v>
      </c>
    </row>
    <row r="775" spans="1:19" ht="12" customHeight="1" x14ac:dyDescent="0.2">
      <c r="A775" s="5664"/>
      <c r="B775" s="5664"/>
      <c r="C775" s="1163" t="s">
        <v>3100</v>
      </c>
      <c r="D775" s="940" t="str">
        <f>D774</f>
        <v>Sattyagraha</v>
      </c>
      <c r="E775" s="532">
        <v>1</v>
      </c>
      <c r="F775" s="532">
        <v>45</v>
      </c>
      <c r="G775" s="2232">
        <f t="shared" si="30"/>
        <v>45</v>
      </c>
      <c r="H775" s="2231" t="s">
        <v>3097</v>
      </c>
      <c r="I775" s="2231" t="s">
        <v>9746</v>
      </c>
      <c r="J775" s="2231" t="s">
        <v>7172</v>
      </c>
      <c r="K775" s="2231"/>
      <c r="L775" s="2231"/>
      <c r="M775" s="2364">
        <f t="shared" si="31"/>
        <v>0</v>
      </c>
      <c r="N775" s="2348" t="s">
        <v>9843</v>
      </c>
      <c r="O775" s="2348" t="s">
        <v>9836</v>
      </c>
      <c r="P775" s="2348" t="s">
        <v>7172</v>
      </c>
      <c r="Q775" s="2348" t="s">
        <v>7172</v>
      </c>
      <c r="R775" s="2348" t="s">
        <v>7172</v>
      </c>
      <c r="S775" s="2357" t="s">
        <v>7172</v>
      </c>
    </row>
    <row r="776" spans="1:19" ht="12" customHeight="1" x14ac:dyDescent="0.2">
      <c r="A776" s="5664"/>
      <c r="B776" s="5664"/>
      <c r="C776" s="1163" t="s">
        <v>3101</v>
      </c>
      <c r="D776" s="940" t="str">
        <f>D775</f>
        <v>Sattyagraha</v>
      </c>
      <c r="E776" s="532">
        <v>2</v>
      </c>
      <c r="F776" s="532">
        <v>55</v>
      </c>
      <c r="G776" s="2232">
        <f t="shared" si="30"/>
        <v>55</v>
      </c>
      <c r="H776" s="2231" t="s">
        <v>3102</v>
      </c>
      <c r="I776" s="2231" t="s">
        <v>9747</v>
      </c>
      <c r="J776" s="2231" t="s">
        <v>9725</v>
      </c>
      <c r="K776" s="2231"/>
      <c r="L776" s="2231"/>
      <c r="M776" s="2364">
        <f t="shared" si="31"/>
        <v>0</v>
      </c>
      <c r="N776" s="2348" t="s">
        <v>9834</v>
      </c>
      <c r="O776" s="2348" t="s">
        <v>9852</v>
      </c>
      <c r="P776" s="2348" t="s">
        <v>7172</v>
      </c>
      <c r="Q776" s="2348" t="s">
        <v>7172</v>
      </c>
      <c r="R776" s="2348" t="s">
        <v>7172</v>
      </c>
      <c r="S776" s="2357" t="s">
        <v>7172</v>
      </c>
    </row>
    <row r="777" spans="1:19" ht="12" customHeight="1" x14ac:dyDescent="0.2">
      <c r="A777" s="5664"/>
      <c r="B777" s="5664"/>
      <c r="C777" s="1163" t="s">
        <v>3103</v>
      </c>
      <c r="D777" s="940" t="str">
        <f>D776</f>
        <v>Sattyagraha</v>
      </c>
      <c r="E777" s="532">
        <v>2</v>
      </c>
      <c r="F777" s="532">
        <v>90</v>
      </c>
      <c r="G777" s="2232">
        <f t="shared" si="30"/>
        <v>90</v>
      </c>
      <c r="H777" s="2231" t="s">
        <v>3104</v>
      </c>
      <c r="I777" s="2231" t="s">
        <v>9748</v>
      </c>
      <c r="J777" s="2231" t="s">
        <v>7172</v>
      </c>
      <c r="K777" s="2231"/>
      <c r="L777" s="2231"/>
      <c r="M777" s="2364">
        <f t="shared" si="31"/>
        <v>0</v>
      </c>
      <c r="N777" s="2348" t="s">
        <v>9838</v>
      </c>
      <c r="O777" s="2348" t="s">
        <v>7797</v>
      </c>
      <c r="P777" s="2348" t="s">
        <v>9844</v>
      </c>
      <c r="Q777" s="2348" t="s">
        <v>7172</v>
      </c>
      <c r="R777" s="2348" t="s">
        <v>7172</v>
      </c>
      <c r="S777" s="2357" t="s">
        <v>7172</v>
      </c>
    </row>
    <row r="778" spans="1:19" ht="12" customHeight="1" x14ac:dyDescent="0.2">
      <c r="A778" s="5664"/>
      <c r="B778" s="5664"/>
      <c r="C778" s="1163" t="s">
        <v>3105</v>
      </c>
      <c r="D778" s="940" t="str">
        <f t="shared" ref="D778" si="33">D777</f>
        <v>Sattyagraha</v>
      </c>
      <c r="E778" s="532">
        <v>3</v>
      </c>
      <c r="F778" s="532">
        <v>95</v>
      </c>
      <c r="G778" s="2232">
        <f t="shared" si="30"/>
        <v>95</v>
      </c>
      <c r="H778" s="2231" t="s">
        <v>3106</v>
      </c>
      <c r="I778" s="2231" t="s">
        <v>9749</v>
      </c>
      <c r="J778" s="2231" t="s">
        <v>7172</v>
      </c>
      <c r="K778" s="2231"/>
      <c r="L778" s="2231"/>
      <c r="M778" s="2364">
        <f t="shared" si="31"/>
        <v>0</v>
      </c>
      <c r="N778" s="2348" t="s">
        <v>9836</v>
      </c>
      <c r="O778" s="2348" t="s">
        <v>9363</v>
      </c>
      <c r="P778" s="2348" t="s">
        <v>9837</v>
      </c>
      <c r="Q778" s="2348" t="s">
        <v>7172</v>
      </c>
      <c r="R778" s="2348" t="s">
        <v>7172</v>
      </c>
      <c r="S778" s="2357" t="s">
        <v>7172</v>
      </c>
    </row>
    <row r="779" spans="1:19" ht="12" customHeight="1" x14ac:dyDescent="0.2">
      <c r="A779" s="5664"/>
      <c r="B779" s="5664"/>
      <c r="C779" s="1163" t="s">
        <v>3107</v>
      </c>
      <c r="D779" s="940"/>
      <c r="E779" s="2320"/>
      <c r="F779" s="532"/>
      <c r="G779" s="2232" t="str">
        <f t="shared" si="30"/>
        <v/>
      </c>
      <c r="H779" s="2231"/>
      <c r="I779" s="2231" t="s">
        <v>7172</v>
      </c>
      <c r="J779" s="2231" t="s">
        <v>7172</v>
      </c>
      <c r="K779" s="2231"/>
      <c r="L779" s="2231"/>
      <c r="M779" s="2364" t="str">
        <f t="shared" si="31"/>
        <v/>
      </c>
      <c r="N779" s="2348" t="s">
        <v>7172</v>
      </c>
      <c r="O779" s="2348" t="s">
        <v>7172</v>
      </c>
      <c r="P779" s="2348" t="s">
        <v>7172</v>
      </c>
      <c r="Q779" s="2348" t="s">
        <v>7172</v>
      </c>
      <c r="R779" s="2348" t="s">
        <v>7172</v>
      </c>
      <c r="S779" s="2357" t="s">
        <v>7172</v>
      </c>
    </row>
    <row r="780" spans="1:19" ht="12" customHeight="1" x14ac:dyDescent="0.2">
      <c r="A780" s="5664"/>
      <c r="B780" s="5664"/>
      <c r="C780" s="1163" t="s">
        <v>3108</v>
      </c>
      <c r="D780" s="940" t="str">
        <f>PROPER(MID(C779,3,100))</f>
        <v>A’Arab Zaraq</v>
      </c>
      <c r="E780" s="532">
        <v>1</v>
      </c>
      <c r="F780" s="532">
        <v>30</v>
      </c>
      <c r="G780" s="2232">
        <f t="shared" si="30"/>
        <v>30</v>
      </c>
      <c r="H780" s="2231" t="s">
        <v>3109</v>
      </c>
      <c r="I780" s="2231" t="s">
        <v>9750</v>
      </c>
      <c r="J780" s="2231" t="s">
        <v>9751</v>
      </c>
      <c r="K780" s="2231"/>
      <c r="L780" s="2231"/>
      <c r="M780" s="2364">
        <f t="shared" si="31"/>
        <v>0</v>
      </c>
      <c r="N780" s="2348" t="s">
        <v>9845</v>
      </c>
      <c r="O780" s="2348" t="s">
        <v>9846</v>
      </c>
      <c r="P780" s="2348" t="s">
        <v>7172</v>
      </c>
      <c r="Q780" s="2348" t="s">
        <v>7172</v>
      </c>
      <c r="R780" s="2348" t="s">
        <v>7172</v>
      </c>
      <c r="S780" s="2357" t="s">
        <v>7172</v>
      </c>
    </row>
    <row r="781" spans="1:19" ht="12" customHeight="1" x14ac:dyDescent="0.2">
      <c r="A781" s="5664"/>
      <c r="B781" s="5664"/>
      <c r="C781" s="1163" t="s">
        <v>3110</v>
      </c>
      <c r="D781" s="940" t="str">
        <f>D780</f>
        <v>A’Arab Zaraq</v>
      </c>
      <c r="E781" s="532">
        <v>1</v>
      </c>
      <c r="F781" s="532">
        <v>25</v>
      </c>
      <c r="G781" s="2232">
        <f t="shared" si="30"/>
        <v>25</v>
      </c>
      <c r="H781" s="2231" t="s">
        <v>3111</v>
      </c>
      <c r="I781" s="2231" t="s">
        <v>9752</v>
      </c>
      <c r="J781" s="2231" t="s">
        <v>7172</v>
      </c>
      <c r="K781" s="2231"/>
      <c r="L781" s="2231"/>
      <c r="M781" s="2364">
        <f t="shared" si="31"/>
        <v>0</v>
      </c>
      <c r="N781" s="2348" t="s">
        <v>9848</v>
      </c>
      <c r="O781" s="2348" t="s">
        <v>7172</v>
      </c>
      <c r="P781" s="2348" t="s">
        <v>7172</v>
      </c>
      <c r="Q781" s="2348" t="s">
        <v>7172</v>
      </c>
      <c r="R781" s="2348" t="s">
        <v>7172</v>
      </c>
      <c r="S781" s="2357" t="s">
        <v>7172</v>
      </c>
    </row>
    <row r="782" spans="1:19" ht="12" customHeight="1" x14ac:dyDescent="0.2">
      <c r="A782" s="5664"/>
      <c r="B782" s="5664"/>
      <c r="C782" s="1163" t="s">
        <v>3112</v>
      </c>
      <c r="D782" s="940" t="str">
        <f>D781</f>
        <v>A’Arab Zaraq</v>
      </c>
      <c r="E782" s="532">
        <v>1</v>
      </c>
      <c r="F782" s="532">
        <v>35</v>
      </c>
      <c r="G782" s="2232">
        <f t="shared" si="30"/>
        <v>35</v>
      </c>
      <c r="H782" s="2231" t="s">
        <v>3113</v>
      </c>
      <c r="I782" s="2231" t="s">
        <v>9753</v>
      </c>
      <c r="J782" s="2231" t="s">
        <v>3114</v>
      </c>
      <c r="K782" s="2231"/>
      <c r="L782" s="2231"/>
      <c r="M782" s="2364">
        <f t="shared" si="31"/>
        <v>0</v>
      </c>
      <c r="N782" s="2348" t="s">
        <v>9832</v>
      </c>
      <c r="O782" s="2348" t="s">
        <v>9851</v>
      </c>
      <c r="P782" s="2348" t="s">
        <v>7172</v>
      </c>
      <c r="Q782" s="2348" t="s">
        <v>7172</v>
      </c>
      <c r="R782" s="2348" t="s">
        <v>7172</v>
      </c>
      <c r="S782" s="2357" t="s">
        <v>7172</v>
      </c>
    </row>
    <row r="783" spans="1:19" ht="12" customHeight="1" x14ac:dyDescent="0.2">
      <c r="A783" s="5664"/>
      <c r="B783" s="5664"/>
      <c r="C783" s="1163" t="s">
        <v>3115</v>
      </c>
      <c r="D783" s="940" t="str">
        <f>D782</f>
        <v>A’Arab Zaraq</v>
      </c>
      <c r="E783" s="532">
        <v>2</v>
      </c>
      <c r="F783" s="532">
        <v>45</v>
      </c>
      <c r="G783" s="2232">
        <f t="shared" si="30"/>
        <v>45</v>
      </c>
      <c r="H783" s="2231" t="s">
        <v>3116</v>
      </c>
      <c r="I783" s="2231" t="s">
        <v>9754</v>
      </c>
      <c r="J783" s="2231" t="s">
        <v>9755</v>
      </c>
      <c r="K783" s="2231"/>
      <c r="L783" s="2231"/>
      <c r="M783" s="2364">
        <f t="shared" si="31"/>
        <v>0</v>
      </c>
      <c r="N783" s="2348" t="s">
        <v>9835</v>
      </c>
      <c r="O783" s="2348" t="s">
        <v>9847</v>
      </c>
      <c r="P783" s="2348" t="s">
        <v>9848</v>
      </c>
      <c r="Q783" s="2348" t="s">
        <v>7172</v>
      </c>
      <c r="R783" s="2348" t="s">
        <v>7172</v>
      </c>
      <c r="S783" s="2357" t="s">
        <v>7172</v>
      </c>
    </row>
    <row r="784" spans="1:19" ht="12" customHeight="1" x14ac:dyDescent="0.2">
      <c r="A784" s="5664"/>
      <c r="B784" s="5664"/>
      <c r="C784" s="1163" t="s">
        <v>3117</v>
      </c>
      <c r="D784" s="940" t="str">
        <f>D783</f>
        <v>A’Arab Zaraq</v>
      </c>
      <c r="E784" s="532">
        <v>2</v>
      </c>
      <c r="F784" s="532">
        <v>75</v>
      </c>
      <c r="G784" s="2232">
        <f t="shared" si="30"/>
        <v>75</v>
      </c>
      <c r="H784" s="2231" t="s">
        <v>3118</v>
      </c>
      <c r="I784" s="2231" t="s">
        <v>9756</v>
      </c>
      <c r="J784" s="2231" t="s">
        <v>7172</v>
      </c>
      <c r="K784" s="2231"/>
      <c r="L784" s="2231"/>
      <c r="M784" s="2364">
        <f t="shared" si="31"/>
        <v>0</v>
      </c>
      <c r="N784" s="2348" t="s">
        <v>9851</v>
      </c>
      <c r="O784" s="2348" t="s">
        <v>9837</v>
      </c>
      <c r="P784" s="2348" t="s">
        <v>7172</v>
      </c>
      <c r="Q784" s="2348" t="s">
        <v>7172</v>
      </c>
      <c r="R784" s="2348" t="s">
        <v>7172</v>
      </c>
      <c r="S784" s="2357" t="s">
        <v>7172</v>
      </c>
    </row>
    <row r="785" spans="1:19" ht="12" customHeight="1" x14ac:dyDescent="0.2">
      <c r="A785" s="5664"/>
      <c r="B785" s="5664"/>
      <c r="C785" s="1163" t="s">
        <v>3119</v>
      </c>
      <c r="D785" s="940" t="str">
        <f t="shared" ref="D785" si="34">D784</f>
        <v>A’Arab Zaraq</v>
      </c>
      <c r="E785" s="532">
        <v>3</v>
      </c>
      <c r="F785" s="532">
        <v>95</v>
      </c>
      <c r="G785" s="2232">
        <f t="shared" si="30"/>
        <v>95</v>
      </c>
      <c r="H785" s="2231" t="s">
        <v>3120</v>
      </c>
      <c r="I785" s="2231" t="s">
        <v>9757</v>
      </c>
      <c r="J785" s="2231" t="s">
        <v>9689</v>
      </c>
      <c r="K785" s="2231"/>
      <c r="L785" s="2231"/>
      <c r="M785" s="2364">
        <f t="shared" si="31"/>
        <v>0</v>
      </c>
      <c r="N785" s="2348" t="s">
        <v>9834</v>
      </c>
      <c r="O785" s="2348" t="s">
        <v>9832</v>
      </c>
      <c r="P785" s="2348" t="s">
        <v>9852</v>
      </c>
      <c r="Q785" s="2348" t="s">
        <v>7172</v>
      </c>
      <c r="R785" s="2348" t="s">
        <v>7172</v>
      </c>
      <c r="S785" s="2357" t="s">
        <v>7172</v>
      </c>
    </row>
    <row r="786" spans="1:19" ht="12" customHeight="1" x14ac:dyDescent="0.2">
      <c r="A786" s="5664"/>
      <c r="B786" s="5664"/>
      <c r="C786" s="1163" t="s">
        <v>3121</v>
      </c>
      <c r="D786" s="940"/>
      <c r="E786" s="2320"/>
      <c r="F786" s="532"/>
      <c r="G786" s="2232" t="str">
        <f t="shared" si="30"/>
        <v/>
      </c>
      <c r="H786" s="2231"/>
      <c r="I786" s="2231" t="s">
        <v>7172</v>
      </c>
      <c r="J786" s="2231" t="s">
        <v>7172</v>
      </c>
      <c r="K786" s="2231"/>
      <c r="L786" s="2231"/>
      <c r="M786" s="2364" t="str">
        <f t="shared" si="31"/>
        <v/>
      </c>
      <c r="N786" s="2348" t="s">
        <v>7172</v>
      </c>
      <c r="O786" s="2348" t="s">
        <v>7172</v>
      </c>
      <c r="P786" s="2348" t="s">
        <v>7172</v>
      </c>
      <c r="Q786" s="2348" t="s">
        <v>7172</v>
      </c>
      <c r="R786" s="2348" t="s">
        <v>7172</v>
      </c>
      <c r="S786" s="2357" t="s">
        <v>7172</v>
      </c>
    </row>
    <row r="787" spans="1:19" ht="12" customHeight="1" x14ac:dyDescent="0.2">
      <c r="A787" s="5664"/>
      <c r="B787" s="5664"/>
      <c r="C787" s="1163" t="s">
        <v>3122</v>
      </c>
      <c r="D787" s="940" t="str">
        <f>PROPER(MID(C786,3,100))</f>
        <v>Wushu</v>
      </c>
      <c r="E787" s="532">
        <v>1</v>
      </c>
      <c r="F787" s="532">
        <v>20</v>
      </c>
      <c r="G787" s="2232">
        <f t="shared" si="30"/>
        <v>20</v>
      </c>
      <c r="H787" s="2231" t="s">
        <v>3123</v>
      </c>
      <c r="I787" s="2231" t="s">
        <v>9758</v>
      </c>
      <c r="J787" s="2231" t="s">
        <v>7172</v>
      </c>
      <c r="K787" s="2231"/>
      <c r="L787" s="2231"/>
      <c r="M787" s="2364">
        <f t="shared" si="31"/>
        <v>0</v>
      </c>
      <c r="N787" s="2348" t="s">
        <v>9839</v>
      </c>
      <c r="O787" s="2348" t="s">
        <v>9838</v>
      </c>
      <c r="P787" s="2348" t="s">
        <v>7172</v>
      </c>
      <c r="Q787" s="2348" t="s">
        <v>7172</v>
      </c>
      <c r="R787" s="2348" t="s">
        <v>7172</v>
      </c>
      <c r="S787" s="2357" t="s">
        <v>7172</v>
      </c>
    </row>
    <row r="788" spans="1:19" ht="12" customHeight="1" x14ac:dyDescent="0.2">
      <c r="A788" s="5664"/>
      <c r="B788" s="5664"/>
      <c r="C788" s="1163" t="s">
        <v>3124</v>
      </c>
      <c r="D788" s="940" t="str">
        <f t="shared" ref="D788:D795" si="35">D787</f>
        <v>Wushu</v>
      </c>
      <c r="E788" s="532">
        <v>1</v>
      </c>
      <c r="F788" s="532">
        <v>20</v>
      </c>
      <c r="G788" s="2232">
        <f t="shared" si="30"/>
        <v>20</v>
      </c>
      <c r="H788" s="2231" t="s">
        <v>3125</v>
      </c>
      <c r="I788" s="2231" t="s">
        <v>9759</v>
      </c>
      <c r="J788" s="2231" t="s">
        <v>7172</v>
      </c>
      <c r="K788" s="2231"/>
      <c r="L788" s="2231"/>
      <c r="M788" s="2364">
        <f t="shared" si="31"/>
        <v>0</v>
      </c>
      <c r="N788" s="2348" t="s">
        <v>9836</v>
      </c>
      <c r="O788" s="2348" t="s">
        <v>9846</v>
      </c>
      <c r="P788" s="2348" t="s">
        <v>7172</v>
      </c>
      <c r="Q788" s="2348" t="s">
        <v>7172</v>
      </c>
      <c r="R788" s="2348" t="s">
        <v>7172</v>
      </c>
      <c r="S788" s="2357" t="s">
        <v>7172</v>
      </c>
    </row>
    <row r="789" spans="1:19" ht="12" customHeight="1" x14ac:dyDescent="0.2">
      <c r="A789" s="5664"/>
      <c r="B789" s="5664"/>
      <c r="C789" s="1163" t="s">
        <v>3126</v>
      </c>
      <c r="D789" s="940" t="str">
        <f t="shared" si="35"/>
        <v>Wushu</v>
      </c>
      <c r="E789" s="532">
        <v>1</v>
      </c>
      <c r="F789" s="532">
        <v>25</v>
      </c>
      <c r="G789" s="2232">
        <f t="shared" si="30"/>
        <v>25</v>
      </c>
      <c r="H789" s="2231" t="s">
        <v>3127</v>
      </c>
      <c r="I789" s="2231" t="s">
        <v>9760</v>
      </c>
      <c r="J789" s="2231" t="s">
        <v>7172</v>
      </c>
      <c r="K789" s="2231"/>
      <c r="L789" s="2231"/>
      <c r="M789" s="2364">
        <f t="shared" si="31"/>
        <v>0</v>
      </c>
      <c r="N789" s="2348" t="s">
        <v>9847</v>
      </c>
      <c r="O789" s="2348" t="s">
        <v>9850</v>
      </c>
      <c r="P789" s="2348" t="s">
        <v>7172</v>
      </c>
      <c r="Q789" s="2348" t="s">
        <v>7172</v>
      </c>
      <c r="R789" s="2348" t="s">
        <v>7172</v>
      </c>
      <c r="S789" s="2357" t="s">
        <v>7172</v>
      </c>
    </row>
    <row r="790" spans="1:19" ht="12" customHeight="1" x14ac:dyDescent="0.2">
      <c r="A790" s="5664"/>
      <c r="B790" s="5664"/>
      <c r="C790" s="1163" t="s">
        <v>3128</v>
      </c>
      <c r="D790" s="940" t="str">
        <f t="shared" si="35"/>
        <v>Wushu</v>
      </c>
      <c r="E790" s="532">
        <v>1</v>
      </c>
      <c r="F790" s="532">
        <v>30</v>
      </c>
      <c r="G790" s="2232">
        <f t="shared" si="30"/>
        <v>30</v>
      </c>
      <c r="H790" s="2231" t="s">
        <v>3129</v>
      </c>
      <c r="I790" s="2231" t="s">
        <v>9761</v>
      </c>
      <c r="J790" s="2231" t="s">
        <v>9689</v>
      </c>
      <c r="K790" s="2231"/>
      <c r="L790" s="2231"/>
      <c r="M790" s="2364">
        <f t="shared" si="31"/>
        <v>0</v>
      </c>
      <c r="N790" s="2348" t="s">
        <v>9833</v>
      </c>
      <c r="O790" s="2348" t="s">
        <v>7172</v>
      </c>
      <c r="P790" s="2348" t="s">
        <v>7172</v>
      </c>
      <c r="Q790" s="2348" t="s">
        <v>7172</v>
      </c>
      <c r="R790" s="2348" t="s">
        <v>7172</v>
      </c>
      <c r="S790" s="2357" t="s">
        <v>7172</v>
      </c>
    </row>
    <row r="791" spans="1:19" ht="12" customHeight="1" x14ac:dyDescent="0.2">
      <c r="A791" s="5664"/>
      <c r="B791" s="5664"/>
      <c r="C791" s="1163" t="s">
        <v>3130</v>
      </c>
      <c r="D791" s="940" t="str">
        <f t="shared" si="35"/>
        <v>Wushu</v>
      </c>
      <c r="E791" s="532">
        <v>1</v>
      </c>
      <c r="F791" s="532">
        <v>30</v>
      </c>
      <c r="G791" s="2232">
        <f t="shared" si="30"/>
        <v>30</v>
      </c>
      <c r="H791" s="2231" t="s">
        <v>3125</v>
      </c>
      <c r="I791" s="2231" t="s">
        <v>9762</v>
      </c>
      <c r="J791" s="2231" t="s">
        <v>9725</v>
      </c>
      <c r="K791" s="2231"/>
      <c r="L791" s="2231"/>
      <c r="M791" s="2364">
        <f t="shared" si="31"/>
        <v>0</v>
      </c>
      <c r="N791" s="2348" t="s">
        <v>9834</v>
      </c>
      <c r="O791" s="2348" t="s">
        <v>9851</v>
      </c>
      <c r="P791" s="2348" t="s">
        <v>7172</v>
      </c>
      <c r="Q791" s="2348" t="s">
        <v>7172</v>
      </c>
      <c r="R791" s="2348" t="s">
        <v>7172</v>
      </c>
      <c r="S791" s="2357" t="s">
        <v>7172</v>
      </c>
    </row>
    <row r="792" spans="1:19" ht="12" customHeight="1" x14ac:dyDescent="0.2">
      <c r="A792" s="5664"/>
      <c r="B792" s="5664"/>
      <c r="C792" s="1163" t="s">
        <v>3131</v>
      </c>
      <c r="D792" s="940" t="str">
        <f t="shared" si="35"/>
        <v>Wushu</v>
      </c>
      <c r="E792" s="532">
        <v>1</v>
      </c>
      <c r="F792" s="532">
        <v>30</v>
      </c>
      <c r="G792" s="2232">
        <f t="shared" si="30"/>
        <v>30</v>
      </c>
      <c r="H792" s="2231" t="s">
        <v>3132</v>
      </c>
      <c r="I792" s="2231" t="s">
        <v>9763</v>
      </c>
      <c r="J792" s="2231" t="s">
        <v>7172</v>
      </c>
      <c r="K792" s="2231"/>
      <c r="L792" s="2231"/>
      <c r="M792" s="2364">
        <f t="shared" si="31"/>
        <v>0</v>
      </c>
      <c r="N792" s="2348" t="s">
        <v>7797</v>
      </c>
      <c r="O792" s="2348" t="s">
        <v>9848</v>
      </c>
      <c r="P792" s="2348" t="s">
        <v>7797</v>
      </c>
      <c r="Q792" s="2348" t="s">
        <v>7172</v>
      </c>
      <c r="R792" s="2348" t="s">
        <v>7172</v>
      </c>
      <c r="S792" s="2357" t="s">
        <v>7172</v>
      </c>
    </row>
    <row r="793" spans="1:19" ht="12" customHeight="1" x14ac:dyDescent="0.2">
      <c r="A793" s="5664"/>
      <c r="B793" s="5664"/>
      <c r="C793" s="1163" t="s">
        <v>3133</v>
      </c>
      <c r="D793" s="940" t="str">
        <f t="shared" si="35"/>
        <v>Wushu</v>
      </c>
      <c r="E793" s="532">
        <v>2</v>
      </c>
      <c r="F793" s="532">
        <v>50</v>
      </c>
      <c r="G793" s="2232">
        <f t="shared" si="30"/>
        <v>50</v>
      </c>
      <c r="H793" s="2231" t="s">
        <v>3134</v>
      </c>
      <c r="I793" s="2231" t="s">
        <v>9764</v>
      </c>
      <c r="J793" s="2231" t="s">
        <v>7172</v>
      </c>
      <c r="K793" s="2231"/>
      <c r="L793" s="2231"/>
      <c r="M793" s="2364">
        <f t="shared" si="31"/>
        <v>0</v>
      </c>
      <c r="N793" s="2348" t="s">
        <v>9833</v>
      </c>
      <c r="O793" s="2348" t="s">
        <v>9363</v>
      </c>
      <c r="P793" s="2348" t="s">
        <v>7797</v>
      </c>
      <c r="Q793" s="2348" t="s">
        <v>7172</v>
      </c>
      <c r="R793" s="2348" t="s">
        <v>7172</v>
      </c>
      <c r="S793" s="2357" t="s">
        <v>7172</v>
      </c>
    </row>
    <row r="794" spans="1:19" ht="12" customHeight="1" x14ac:dyDescent="0.2">
      <c r="A794" s="5664"/>
      <c r="B794" s="5664"/>
      <c r="C794" s="1163" t="s">
        <v>3135</v>
      </c>
      <c r="D794" s="940" t="str">
        <f t="shared" si="35"/>
        <v>Wushu</v>
      </c>
      <c r="E794" s="532">
        <v>2</v>
      </c>
      <c r="F794" s="532">
        <v>70</v>
      </c>
      <c r="G794" s="2232">
        <f t="shared" si="30"/>
        <v>70</v>
      </c>
      <c r="H794" s="2231" t="s">
        <v>3136</v>
      </c>
      <c r="I794" s="2231" t="s">
        <v>9765</v>
      </c>
      <c r="J794" s="2231" t="s">
        <v>7172</v>
      </c>
      <c r="K794" s="2231"/>
      <c r="L794" s="2231"/>
      <c r="M794" s="2364">
        <f t="shared" si="31"/>
        <v>0</v>
      </c>
      <c r="N794" s="2348" t="s">
        <v>9851</v>
      </c>
      <c r="O794" s="2348" t="s">
        <v>9847</v>
      </c>
      <c r="P794" s="2348" t="s">
        <v>9834</v>
      </c>
      <c r="Q794" s="2348" t="s">
        <v>7172</v>
      </c>
      <c r="R794" s="2348" t="s">
        <v>7172</v>
      </c>
      <c r="S794" s="2357" t="s">
        <v>7172</v>
      </c>
    </row>
    <row r="795" spans="1:19" ht="12" customHeight="1" x14ac:dyDescent="0.2">
      <c r="A795" s="5664"/>
      <c r="B795" s="5664"/>
      <c r="C795" s="1163" t="s">
        <v>3137</v>
      </c>
      <c r="D795" s="940" t="str">
        <f t="shared" si="35"/>
        <v>Wushu</v>
      </c>
      <c r="E795" s="532">
        <v>2</v>
      </c>
      <c r="F795" s="532">
        <v>85</v>
      </c>
      <c r="G795" s="2232">
        <f t="shared" ref="G795:G837" si="36">IF(E795="","",MAX(IF(E795=3,60,IF(E795=2,40,20)),F795+M795))</f>
        <v>85</v>
      </c>
      <c r="H795" s="2231" t="s">
        <v>3138</v>
      </c>
      <c r="I795" s="2231" t="s">
        <v>9766</v>
      </c>
      <c r="J795" s="2231" t="s">
        <v>7172</v>
      </c>
      <c r="K795" s="2231"/>
      <c r="L795" s="2231"/>
      <c r="M795" s="2364">
        <f t="shared" si="31"/>
        <v>0</v>
      </c>
      <c r="N795" s="2348" t="s">
        <v>9834</v>
      </c>
      <c r="O795" s="2348" t="s">
        <v>9363</v>
      </c>
      <c r="P795" s="2348" t="s">
        <v>7172</v>
      </c>
      <c r="Q795" s="2348" t="s">
        <v>7172</v>
      </c>
      <c r="R795" s="2348" t="s">
        <v>7172</v>
      </c>
      <c r="S795" s="2357" t="s">
        <v>7172</v>
      </c>
    </row>
    <row r="796" spans="1:19" ht="12" customHeight="1" x14ac:dyDescent="0.2">
      <c r="A796" s="5664"/>
      <c r="B796" s="5664"/>
      <c r="C796" s="1163" t="s">
        <v>3139</v>
      </c>
      <c r="D796" s="940"/>
      <c r="E796" s="2320"/>
      <c r="F796" s="532"/>
      <c r="G796" s="2232" t="str">
        <f t="shared" si="36"/>
        <v/>
      </c>
      <c r="H796" s="2231"/>
      <c r="I796" s="2231" t="s">
        <v>7172</v>
      </c>
      <c r="J796" s="2231" t="s">
        <v>7172</v>
      </c>
      <c r="K796" s="2231"/>
      <c r="L796" s="2231"/>
      <c r="M796" s="2364"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8" t="s">
        <v>7172</v>
      </c>
      <c r="O796" s="2348" t="s">
        <v>7172</v>
      </c>
      <c r="P796" s="2348" t="s">
        <v>7172</v>
      </c>
      <c r="Q796" s="2348" t="s">
        <v>7172</v>
      </c>
      <c r="R796" s="2348" t="s">
        <v>7172</v>
      </c>
      <c r="S796" s="2357" t="s">
        <v>7172</v>
      </c>
    </row>
    <row r="797" spans="1:19" ht="12" customHeight="1" x14ac:dyDescent="0.2">
      <c r="A797" s="5664"/>
      <c r="B797" s="5664"/>
      <c r="C797" s="1163" t="s">
        <v>3140</v>
      </c>
      <c r="D797" s="940" t="str">
        <f>PROPER(MID(C796,3,100))</f>
        <v>La Vía De Meizo</v>
      </c>
      <c r="E797" s="532">
        <v>1</v>
      </c>
      <c r="F797" s="532">
        <v>30</v>
      </c>
      <c r="G797" s="2232">
        <f t="shared" si="36"/>
        <v>30</v>
      </c>
      <c r="H797" s="2231" t="s">
        <v>3141</v>
      </c>
      <c r="I797" s="2231" t="s">
        <v>9767</v>
      </c>
      <c r="J797" s="2231" t="s">
        <v>9768</v>
      </c>
      <c r="K797" s="2231"/>
      <c r="L797" s="2231"/>
      <c r="M797" s="2364">
        <f t="shared" si="37"/>
        <v>0</v>
      </c>
      <c r="N797" s="2348" t="s">
        <v>9847</v>
      </c>
      <c r="O797" s="2348" t="s">
        <v>9846</v>
      </c>
      <c r="P797" s="2348" t="s">
        <v>7172</v>
      </c>
      <c r="Q797" s="2348" t="s">
        <v>7172</v>
      </c>
      <c r="R797" s="2348" t="s">
        <v>7172</v>
      </c>
      <c r="S797" s="2357" t="s">
        <v>7172</v>
      </c>
    </row>
    <row r="798" spans="1:19" ht="12" customHeight="1" x14ac:dyDescent="0.2">
      <c r="A798" s="5664"/>
      <c r="B798" s="5664"/>
      <c r="C798" s="1163" t="s">
        <v>3142</v>
      </c>
      <c r="D798" s="940" t="str">
        <f>D797</f>
        <v>La Vía De Meizo</v>
      </c>
      <c r="E798" s="532">
        <v>1</v>
      </c>
      <c r="F798" s="532">
        <v>20</v>
      </c>
      <c r="G798" s="2232">
        <f t="shared" si="36"/>
        <v>20</v>
      </c>
      <c r="H798" s="2231" t="s">
        <v>3143</v>
      </c>
      <c r="I798" s="2231" t="s">
        <v>9769</v>
      </c>
      <c r="J798" s="2231" t="s">
        <v>7172</v>
      </c>
      <c r="K798" s="2231"/>
      <c r="L798" s="2231"/>
      <c r="M798" s="2364">
        <f t="shared" si="37"/>
        <v>0</v>
      </c>
      <c r="N798" s="2348" t="s">
        <v>7797</v>
      </c>
      <c r="O798" s="2348" t="s">
        <v>9846</v>
      </c>
      <c r="P798" s="2348" t="s">
        <v>7172</v>
      </c>
      <c r="Q798" s="2348" t="s">
        <v>7172</v>
      </c>
      <c r="R798" s="2348" t="s">
        <v>7172</v>
      </c>
      <c r="S798" s="2357" t="s">
        <v>7172</v>
      </c>
    </row>
    <row r="799" spans="1:19" ht="12" customHeight="1" x14ac:dyDescent="0.2">
      <c r="A799" s="5664"/>
      <c r="B799" s="5664"/>
      <c r="C799" s="1163" t="s">
        <v>3144</v>
      </c>
      <c r="D799" s="940" t="str">
        <f>D798</f>
        <v>La Vía De Meizo</v>
      </c>
      <c r="E799" s="532">
        <v>1</v>
      </c>
      <c r="F799" s="532">
        <v>20</v>
      </c>
      <c r="G799" s="2232">
        <f t="shared" si="36"/>
        <v>20</v>
      </c>
      <c r="H799" s="2231" t="s">
        <v>3145</v>
      </c>
      <c r="I799" s="2231" t="s">
        <v>9770</v>
      </c>
      <c r="J799" s="2231" t="s">
        <v>7172</v>
      </c>
      <c r="K799" s="2231"/>
      <c r="L799" s="2231"/>
      <c r="M799" s="2364">
        <f t="shared" si="37"/>
        <v>0</v>
      </c>
      <c r="N799" s="2348" t="s">
        <v>9832</v>
      </c>
      <c r="O799" s="2348" t="s">
        <v>9850</v>
      </c>
      <c r="P799" s="2348" t="s">
        <v>7172</v>
      </c>
      <c r="Q799" s="2348" t="s">
        <v>7172</v>
      </c>
      <c r="R799" s="2348" t="s">
        <v>7172</v>
      </c>
      <c r="S799" s="2357" t="s">
        <v>7172</v>
      </c>
    </row>
    <row r="800" spans="1:19" ht="12" customHeight="1" x14ac:dyDescent="0.2">
      <c r="A800" s="5664"/>
      <c r="B800" s="5664"/>
      <c r="C800" s="1163" t="s">
        <v>3146</v>
      </c>
      <c r="D800" s="940" t="str">
        <f>D799</f>
        <v>La Vía De Meizo</v>
      </c>
      <c r="E800" s="532">
        <v>2</v>
      </c>
      <c r="F800" s="2320">
        <v>50</v>
      </c>
      <c r="G800" s="2232">
        <f t="shared" si="36"/>
        <v>50</v>
      </c>
      <c r="H800" s="2231" t="s">
        <v>3104</v>
      </c>
      <c r="I800" s="2231" t="s">
        <v>9771</v>
      </c>
      <c r="J800" s="2231" t="s">
        <v>7172</v>
      </c>
      <c r="K800" s="2231"/>
      <c r="L800" s="2231"/>
      <c r="M800" s="2364">
        <f t="shared" si="37"/>
        <v>0</v>
      </c>
      <c r="N800" s="2348" t="s">
        <v>9833</v>
      </c>
      <c r="O800" s="2348" t="s">
        <v>7172</v>
      </c>
      <c r="P800" s="2348" t="s">
        <v>7172</v>
      </c>
      <c r="Q800" s="2348" t="s">
        <v>7172</v>
      </c>
      <c r="R800" s="2348" t="s">
        <v>7172</v>
      </c>
      <c r="S800" s="2357" t="s">
        <v>7172</v>
      </c>
    </row>
    <row r="801" spans="1:19" ht="12" customHeight="1" x14ac:dyDescent="0.2">
      <c r="A801" s="5664"/>
      <c r="B801" s="5664"/>
      <c r="C801" s="1163" t="s">
        <v>3147</v>
      </c>
      <c r="D801" s="940" t="str">
        <f>D800</f>
        <v>La Vía De Meizo</v>
      </c>
      <c r="E801" s="532">
        <v>2</v>
      </c>
      <c r="F801" s="2320">
        <v>70</v>
      </c>
      <c r="G801" s="2232">
        <f t="shared" si="36"/>
        <v>70</v>
      </c>
      <c r="H801" s="2231" t="s">
        <v>3148</v>
      </c>
      <c r="I801" s="2231" t="s">
        <v>9772</v>
      </c>
      <c r="J801" s="2231" t="s">
        <v>9773</v>
      </c>
      <c r="K801" s="2231"/>
      <c r="L801" s="2231"/>
      <c r="M801" s="2364">
        <f t="shared" si="37"/>
        <v>0</v>
      </c>
      <c r="N801" s="2348" t="s">
        <v>9835</v>
      </c>
      <c r="O801" s="2348" t="s">
        <v>9847</v>
      </c>
      <c r="P801" s="2348" t="s">
        <v>9834</v>
      </c>
      <c r="Q801" s="2348" t="s">
        <v>7172</v>
      </c>
      <c r="R801" s="2348" t="s">
        <v>7172</v>
      </c>
      <c r="S801" s="2357" t="s">
        <v>7172</v>
      </c>
    </row>
    <row r="802" spans="1:19" ht="12" customHeight="1" x14ac:dyDescent="0.2">
      <c r="A802" s="5664"/>
      <c r="B802" s="5664"/>
      <c r="C802" s="1163" t="s">
        <v>3149</v>
      </c>
      <c r="D802" s="940" t="str">
        <f>D801</f>
        <v>La Vía De Meizo</v>
      </c>
      <c r="E802" s="532">
        <v>3</v>
      </c>
      <c r="F802" s="532">
        <v>75</v>
      </c>
      <c r="G802" s="2232">
        <f t="shared" si="36"/>
        <v>75</v>
      </c>
      <c r="H802" s="2231" t="s">
        <v>3150</v>
      </c>
      <c r="I802" s="2231" t="s">
        <v>9774</v>
      </c>
      <c r="J802" s="2231" t="s">
        <v>9775</v>
      </c>
      <c r="K802" s="2231"/>
      <c r="L802" s="2231"/>
      <c r="M802" s="2364">
        <f t="shared" si="37"/>
        <v>0</v>
      </c>
      <c r="N802" s="2348" t="s">
        <v>9834</v>
      </c>
      <c r="O802" s="2348" t="s">
        <v>7797</v>
      </c>
      <c r="P802" s="2348" t="s">
        <v>9846</v>
      </c>
      <c r="Q802" s="2348" t="s">
        <v>9840</v>
      </c>
      <c r="R802" s="2348" t="s">
        <v>7172</v>
      </c>
      <c r="S802" s="2357" t="s">
        <v>7172</v>
      </c>
    </row>
    <row r="803" spans="1:19" ht="12" customHeight="1" x14ac:dyDescent="0.2">
      <c r="A803" s="5664"/>
      <c r="B803" s="5664"/>
      <c r="C803" s="1163" t="s">
        <v>3151</v>
      </c>
      <c r="D803" s="940"/>
      <c r="E803" s="2320"/>
      <c r="F803" s="532"/>
      <c r="G803" s="2232" t="str">
        <f t="shared" si="36"/>
        <v/>
      </c>
      <c r="H803" s="2231"/>
      <c r="I803" s="2231" t="s">
        <v>7172</v>
      </c>
      <c r="J803" s="2231" t="s">
        <v>7172</v>
      </c>
      <c r="K803" s="2231"/>
      <c r="L803" s="2231"/>
      <c r="M803" s="2364" t="str">
        <f t="shared" si="37"/>
        <v/>
      </c>
      <c r="N803" s="2348" t="s">
        <v>7172</v>
      </c>
      <c r="O803" s="2348" t="s">
        <v>7172</v>
      </c>
      <c r="P803" s="2348" t="s">
        <v>7172</v>
      </c>
      <c r="Q803" s="2348" t="s">
        <v>7172</v>
      </c>
      <c r="R803" s="2348" t="s">
        <v>7172</v>
      </c>
      <c r="S803" s="2357" t="s">
        <v>7172</v>
      </c>
    </row>
    <row r="804" spans="1:19" ht="12" customHeight="1" x14ac:dyDescent="0.2">
      <c r="A804" s="5664"/>
      <c r="B804" s="5664"/>
      <c r="C804" s="1163" t="s">
        <v>3152</v>
      </c>
      <c r="D804" s="940" t="str">
        <f>PROPER(MID(C803,3,100))</f>
        <v>Maestro De Catástrofes</v>
      </c>
      <c r="E804" s="532">
        <v>1</v>
      </c>
      <c r="F804" s="532">
        <v>25</v>
      </c>
      <c r="G804" s="2232">
        <f t="shared" si="36"/>
        <v>25</v>
      </c>
      <c r="H804" s="2231" t="s">
        <v>3153</v>
      </c>
      <c r="I804" s="2231" t="s">
        <v>9776</v>
      </c>
      <c r="J804" s="2231" t="s">
        <v>3114</v>
      </c>
      <c r="K804" s="2231"/>
      <c r="L804" s="2231"/>
      <c r="M804" s="2364">
        <f t="shared" si="37"/>
        <v>0</v>
      </c>
      <c r="N804" s="2348" t="s">
        <v>9835</v>
      </c>
      <c r="O804" s="2348" t="s">
        <v>9847</v>
      </c>
      <c r="P804" s="2348" t="s">
        <v>7172</v>
      </c>
      <c r="Q804" s="2348" t="s">
        <v>7172</v>
      </c>
      <c r="R804" s="2348" t="s">
        <v>7172</v>
      </c>
      <c r="S804" s="2357" t="s">
        <v>7172</v>
      </c>
    </row>
    <row r="805" spans="1:19" ht="12" customHeight="1" x14ac:dyDescent="0.2">
      <c r="A805" s="5664"/>
      <c r="B805" s="5664"/>
      <c r="C805" s="1163" t="s">
        <v>3154</v>
      </c>
      <c r="D805" s="940" t="str">
        <f>D804</f>
        <v>Maestro De Catástrofes</v>
      </c>
      <c r="E805" s="532">
        <v>1</v>
      </c>
      <c r="F805" s="532">
        <v>45</v>
      </c>
      <c r="G805" s="2232">
        <f t="shared" si="36"/>
        <v>45</v>
      </c>
      <c r="H805" s="2231" t="s">
        <v>3155</v>
      </c>
      <c r="I805" s="2231" t="s">
        <v>9777</v>
      </c>
      <c r="J805" s="2231" t="s">
        <v>9778</v>
      </c>
      <c r="K805" s="2231"/>
      <c r="L805" s="2231"/>
      <c r="M805" s="2364">
        <f t="shared" si="37"/>
        <v>0</v>
      </c>
      <c r="N805" s="2348" t="s">
        <v>9835</v>
      </c>
      <c r="O805" s="2348" t="s">
        <v>9847</v>
      </c>
      <c r="P805" s="2348" t="s">
        <v>7172</v>
      </c>
      <c r="Q805" s="2348" t="s">
        <v>7172</v>
      </c>
      <c r="R805" s="2348" t="s">
        <v>7172</v>
      </c>
      <c r="S805" s="2357" t="s">
        <v>7172</v>
      </c>
    </row>
    <row r="806" spans="1:19" ht="12" customHeight="1" x14ac:dyDescent="0.2">
      <c r="A806" s="5664"/>
      <c r="B806" s="5664"/>
      <c r="C806" s="1163" t="s">
        <v>3156</v>
      </c>
      <c r="D806" s="940" t="str">
        <f>D805</f>
        <v>Maestro De Catástrofes</v>
      </c>
      <c r="E806" s="532">
        <v>2</v>
      </c>
      <c r="F806" s="532">
        <v>65</v>
      </c>
      <c r="G806" s="2232">
        <f t="shared" si="36"/>
        <v>65</v>
      </c>
      <c r="H806" s="2231" t="s">
        <v>3157</v>
      </c>
      <c r="I806" s="2231" t="s">
        <v>9779</v>
      </c>
      <c r="J806" s="2231" t="s">
        <v>9780</v>
      </c>
      <c r="K806" s="2231"/>
      <c r="L806" s="2231"/>
      <c r="M806" s="2364">
        <f t="shared" si="37"/>
        <v>0</v>
      </c>
      <c r="N806" s="2348" t="s">
        <v>9835</v>
      </c>
      <c r="O806" s="2348" t="s">
        <v>9834</v>
      </c>
      <c r="P806" s="2348" t="s">
        <v>7172</v>
      </c>
      <c r="Q806" s="2348" t="s">
        <v>7172</v>
      </c>
      <c r="R806" s="2348" t="s">
        <v>7172</v>
      </c>
      <c r="S806" s="2357" t="s">
        <v>7172</v>
      </c>
    </row>
    <row r="807" spans="1:19" ht="12" customHeight="1" x14ac:dyDescent="0.2">
      <c r="A807" s="5664"/>
      <c r="B807" s="5664"/>
      <c r="C807" s="1163" t="s">
        <v>3158</v>
      </c>
      <c r="D807" s="940" t="str">
        <f>D806</f>
        <v>Maestro De Catástrofes</v>
      </c>
      <c r="E807" s="532">
        <v>2</v>
      </c>
      <c r="F807" s="532">
        <v>75</v>
      </c>
      <c r="G807" s="2232">
        <f t="shared" si="36"/>
        <v>75</v>
      </c>
      <c r="H807" s="2231" t="s">
        <v>3159</v>
      </c>
      <c r="I807" s="2231" t="s">
        <v>9781</v>
      </c>
      <c r="J807" s="2231" t="s">
        <v>9782</v>
      </c>
      <c r="K807" s="2231"/>
      <c r="L807" s="2231"/>
      <c r="M807" s="2364">
        <f t="shared" si="37"/>
        <v>0</v>
      </c>
      <c r="N807" s="2348" t="s">
        <v>9852</v>
      </c>
      <c r="O807" s="2348" t="s">
        <v>7172</v>
      </c>
      <c r="P807" s="2348" t="s">
        <v>7172</v>
      </c>
      <c r="Q807" s="2348" t="s">
        <v>7172</v>
      </c>
      <c r="R807" s="2348" t="s">
        <v>7172</v>
      </c>
      <c r="S807" s="2357" t="s">
        <v>7172</v>
      </c>
    </row>
    <row r="808" spans="1:19" ht="12" customHeight="1" x14ac:dyDescent="0.2">
      <c r="A808" s="5664"/>
      <c r="B808" s="5664"/>
      <c r="C808" s="1163" t="s">
        <v>3160</v>
      </c>
      <c r="D808" s="940" t="str">
        <f>D807</f>
        <v>Maestro De Catástrofes</v>
      </c>
      <c r="E808" s="532">
        <v>3</v>
      </c>
      <c r="F808" s="532">
        <v>110</v>
      </c>
      <c r="G808" s="2232">
        <f t="shared" si="36"/>
        <v>110</v>
      </c>
      <c r="H808" s="2231" t="s">
        <v>3161</v>
      </c>
      <c r="I808" s="2231" t="s">
        <v>9817</v>
      </c>
      <c r="J808" s="2231" t="s">
        <v>9778</v>
      </c>
      <c r="K808" s="2231"/>
      <c r="L808" s="2231"/>
      <c r="M808" s="2364">
        <f t="shared" si="37"/>
        <v>0</v>
      </c>
      <c r="N808" s="2348" t="s">
        <v>9835</v>
      </c>
      <c r="O808" s="2348" t="s">
        <v>9848</v>
      </c>
      <c r="P808" s="2348" t="s">
        <v>9847</v>
      </c>
      <c r="Q808" s="2348" t="s">
        <v>9846</v>
      </c>
      <c r="R808" s="2348" t="s">
        <v>7172</v>
      </c>
      <c r="S808" s="2357" t="s">
        <v>7172</v>
      </c>
    </row>
    <row r="809" spans="1:19" ht="12" customHeight="1" x14ac:dyDescent="0.2">
      <c r="A809" s="5664"/>
      <c r="B809" s="5664"/>
      <c r="C809" s="1163" t="s">
        <v>3162</v>
      </c>
      <c r="D809" s="940" t="str">
        <f t="shared" ref="D809" si="38">D808</f>
        <v>Maestro De Catástrofes</v>
      </c>
      <c r="E809" s="532">
        <v>3</v>
      </c>
      <c r="F809" s="532">
        <v>110</v>
      </c>
      <c r="G809" s="2232">
        <f t="shared" si="36"/>
        <v>110</v>
      </c>
      <c r="H809" s="2231" t="s">
        <v>3163</v>
      </c>
      <c r="I809" s="2231" t="s">
        <v>9783</v>
      </c>
      <c r="J809" s="2231" t="s">
        <v>9784</v>
      </c>
      <c r="K809" s="2231"/>
      <c r="L809" s="2231"/>
      <c r="M809" s="2364">
        <f t="shared" si="37"/>
        <v>0</v>
      </c>
      <c r="N809" s="2348" t="s">
        <v>9835</v>
      </c>
      <c r="O809" s="2348" t="s">
        <v>9847</v>
      </c>
      <c r="P809" s="2348" t="s">
        <v>9847</v>
      </c>
      <c r="Q809" s="2348" t="s">
        <v>9842</v>
      </c>
      <c r="R809" s="2348" t="s">
        <v>7172</v>
      </c>
      <c r="S809" s="2357" t="s">
        <v>7172</v>
      </c>
    </row>
    <row r="810" spans="1:19" ht="12" customHeight="1" x14ac:dyDescent="0.2">
      <c r="A810" s="5664"/>
      <c r="B810" s="5664"/>
      <c r="C810" s="1163" t="s">
        <v>3164</v>
      </c>
      <c r="D810" s="940"/>
      <c r="E810" s="2320"/>
      <c r="F810" s="532"/>
      <c r="G810" s="2232" t="str">
        <f t="shared" si="36"/>
        <v/>
      </c>
      <c r="H810" s="2231"/>
      <c r="I810" s="2231" t="s">
        <v>7172</v>
      </c>
      <c r="J810" s="2231" t="s">
        <v>7172</v>
      </c>
      <c r="K810" s="2231"/>
      <c r="L810" s="2231"/>
      <c r="M810" s="2364" t="str">
        <f t="shared" si="37"/>
        <v/>
      </c>
      <c r="N810" s="2348" t="s">
        <v>7172</v>
      </c>
      <c r="O810" s="2348" t="s">
        <v>7172</v>
      </c>
      <c r="P810" s="2348" t="s">
        <v>7172</v>
      </c>
      <c r="Q810" s="2348" t="s">
        <v>7172</v>
      </c>
      <c r="R810" s="2348" t="s">
        <v>7172</v>
      </c>
      <c r="S810" s="2357" t="s">
        <v>7172</v>
      </c>
    </row>
    <row r="811" spans="1:19" ht="12" customHeight="1" x14ac:dyDescent="0.2">
      <c r="A811" s="5664"/>
      <c r="B811" s="5664"/>
      <c r="C811" s="1163" t="s">
        <v>3165</v>
      </c>
      <c r="D811" s="940" t="str">
        <f>PROPER(MID(C810,3,100))</f>
        <v>Thanathos</v>
      </c>
      <c r="E811" s="532">
        <v>1</v>
      </c>
      <c r="F811" s="532">
        <v>20</v>
      </c>
      <c r="G811" s="2232">
        <f t="shared" si="36"/>
        <v>20</v>
      </c>
      <c r="H811" s="2231" t="s">
        <v>3166</v>
      </c>
      <c r="I811" s="2231" t="s">
        <v>9785</v>
      </c>
      <c r="J811" s="2231" t="s">
        <v>9786</v>
      </c>
      <c r="K811" s="2231"/>
      <c r="L811" s="2231"/>
      <c r="M811" s="2364">
        <f t="shared" si="37"/>
        <v>0</v>
      </c>
      <c r="N811" s="2348" t="s">
        <v>9832</v>
      </c>
      <c r="O811" s="2348" t="s">
        <v>9834</v>
      </c>
      <c r="P811" s="2348" t="s">
        <v>7172</v>
      </c>
      <c r="Q811" s="2348" t="s">
        <v>7172</v>
      </c>
      <c r="R811" s="2348" t="s">
        <v>7172</v>
      </c>
      <c r="S811" s="2357" t="s">
        <v>7172</v>
      </c>
    </row>
    <row r="812" spans="1:19" ht="12" customHeight="1" x14ac:dyDescent="0.2">
      <c r="A812" s="5664"/>
      <c r="B812" s="5664"/>
      <c r="C812" s="1163" t="s">
        <v>3167</v>
      </c>
      <c r="D812" s="940" t="str">
        <f t="shared" ref="D812:D816" si="39">D811</f>
        <v>Thanathos</v>
      </c>
      <c r="E812" s="532">
        <v>1</v>
      </c>
      <c r="F812" s="532">
        <v>25</v>
      </c>
      <c r="G812" s="2232">
        <f t="shared" si="36"/>
        <v>25</v>
      </c>
      <c r="H812" s="2231" t="s">
        <v>3168</v>
      </c>
      <c r="I812" s="2231" t="s">
        <v>9787</v>
      </c>
      <c r="J812" s="2231" t="s">
        <v>9786</v>
      </c>
      <c r="K812" s="2231"/>
      <c r="L812" s="2231"/>
      <c r="M812" s="2364">
        <f t="shared" si="37"/>
        <v>0</v>
      </c>
      <c r="N812" s="2348" t="s">
        <v>9834</v>
      </c>
      <c r="O812" s="2348" t="s">
        <v>9847</v>
      </c>
      <c r="P812" s="2348" t="s">
        <v>7172</v>
      </c>
      <c r="Q812" s="2348" t="s">
        <v>7172</v>
      </c>
      <c r="R812" s="2348" t="s">
        <v>7172</v>
      </c>
      <c r="S812" s="2357" t="s">
        <v>7172</v>
      </c>
    </row>
    <row r="813" spans="1:19" ht="12" customHeight="1" x14ac:dyDescent="0.2">
      <c r="A813" s="5664"/>
      <c r="B813" s="5664"/>
      <c r="C813" s="1163" t="s">
        <v>3169</v>
      </c>
      <c r="D813" s="940" t="str">
        <f t="shared" si="39"/>
        <v>Thanathos</v>
      </c>
      <c r="E813" s="532">
        <v>2</v>
      </c>
      <c r="F813" s="532">
        <v>65</v>
      </c>
      <c r="G813" s="2232">
        <f t="shared" si="36"/>
        <v>65</v>
      </c>
      <c r="H813" s="2231" t="s">
        <v>3170</v>
      </c>
      <c r="I813" s="2231" t="s">
        <v>9788</v>
      </c>
      <c r="J813" s="2231" t="s">
        <v>9786</v>
      </c>
      <c r="K813" s="2231"/>
      <c r="L813" s="2231"/>
      <c r="M813" s="2364">
        <f t="shared" si="37"/>
        <v>0</v>
      </c>
      <c r="N813" s="2348" t="s">
        <v>9832</v>
      </c>
      <c r="O813" s="2348" t="s">
        <v>9835</v>
      </c>
      <c r="P813" s="2348" t="s">
        <v>7172</v>
      </c>
      <c r="Q813" s="2348" t="s">
        <v>7172</v>
      </c>
      <c r="R813" s="2348" t="s">
        <v>7172</v>
      </c>
      <c r="S813" s="2357" t="s">
        <v>7172</v>
      </c>
    </row>
    <row r="814" spans="1:19" ht="12" customHeight="1" x14ac:dyDescent="0.2">
      <c r="A814" s="5664"/>
      <c r="B814" s="5664"/>
      <c r="C814" s="1163" t="s">
        <v>3171</v>
      </c>
      <c r="D814" s="940" t="str">
        <f t="shared" si="39"/>
        <v>Thanathos</v>
      </c>
      <c r="E814" s="532">
        <v>2</v>
      </c>
      <c r="F814" s="532">
        <v>50</v>
      </c>
      <c r="G814" s="2232">
        <f t="shared" si="36"/>
        <v>50</v>
      </c>
      <c r="H814" s="2231" t="s">
        <v>3172</v>
      </c>
      <c r="I814" s="2231" t="s">
        <v>9789</v>
      </c>
      <c r="J814" s="2231" t="s">
        <v>9786</v>
      </c>
      <c r="K814" s="2231"/>
      <c r="L814" s="2231"/>
      <c r="M814" s="2364">
        <f t="shared" si="37"/>
        <v>0</v>
      </c>
      <c r="N814" s="2348" t="s">
        <v>9836</v>
      </c>
      <c r="O814" s="2348" t="s">
        <v>9838</v>
      </c>
      <c r="P814" s="2348" t="s">
        <v>7172</v>
      </c>
      <c r="Q814" s="2348" t="s">
        <v>7172</v>
      </c>
      <c r="R814" s="2348" t="s">
        <v>7172</v>
      </c>
      <c r="S814" s="2357" t="s">
        <v>7172</v>
      </c>
    </row>
    <row r="815" spans="1:19" ht="12" customHeight="1" x14ac:dyDescent="0.2">
      <c r="A815" s="5664"/>
      <c r="B815" s="5664"/>
      <c r="C815" s="1163" t="s">
        <v>3173</v>
      </c>
      <c r="D815" s="940" t="str">
        <f t="shared" si="39"/>
        <v>Thanathos</v>
      </c>
      <c r="E815" s="532">
        <v>2</v>
      </c>
      <c r="F815" s="532">
        <v>60</v>
      </c>
      <c r="G815" s="2232">
        <f t="shared" si="36"/>
        <v>60</v>
      </c>
      <c r="H815" s="2231" t="s">
        <v>3172</v>
      </c>
      <c r="I815" s="2231" t="s">
        <v>9790</v>
      </c>
      <c r="J815" s="2231" t="s">
        <v>9786</v>
      </c>
      <c r="K815" s="2231"/>
      <c r="L815" s="2231"/>
      <c r="M815" s="2364">
        <f t="shared" si="37"/>
        <v>0</v>
      </c>
      <c r="N815" s="2348" t="s">
        <v>9839</v>
      </c>
      <c r="O815" s="2348" t="s">
        <v>9838</v>
      </c>
      <c r="P815" s="2348" t="s">
        <v>7172</v>
      </c>
      <c r="Q815" s="2348" t="s">
        <v>7172</v>
      </c>
      <c r="R815" s="2348" t="s">
        <v>7172</v>
      </c>
      <c r="S815" s="2357" t="s">
        <v>7172</v>
      </c>
    </row>
    <row r="816" spans="1:19" ht="12" customHeight="1" x14ac:dyDescent="0.2">
      <c r="A816" s="5664"/>
      <c r="B816" s="5664"/>
      <c r="C816" s="1163" t="s">
        <v>3174</v>
      </c>
      <c r="D816" s="940" t="str">
        <f t="shared" si="39"/>
        <v>Thanathos</v>
      </c>
      <c r="E816" s="532">
        <v>3</v>
      </c>
      <c r="F816" s="532">
        <v>90</v>
      </c>
      <c r="G816" s="2232">
        <f t="shared" si="36"/>
        <v>90</v>
      </c>
      <c r="H816" s="2231" t="s">
        <v>3175</v>
      </c>
      <c r="I816" s="2231" t="s">
        <v>9791</v>
      </c>
      <c r="J816" s="2231" t="s">
        <v>9792</v>
      </c>
      <c r="K816" s="2231"/>
      <c r="L816" s="2231"/>
      <c r="M816" s="2364">
        <f t="shared" si="37"/>
        <v>0</v>
      </c>
      <c r="N816" s="2348" t="s">
        <v>9834</v>
      </c>
      <c r="O816" s="2348" t="s">
        <v>9832</v>
      </c>
      <c r="P816" s="2348" t="s">
        <v>7172</v>
      </c>
      <c r="Q816" s="2348" t="s">
        <v>7172</v>
      </c>
      <c r="R816" s="2348" t="s">
        <v>7172</v>
      </c>
      <c r="S816" s="2357" t="s">
        <v>7172</v>
      </c>
    </row>
    <row r="817" spans="1:19" ht="12" customHeight="1" x14ac:dyDescent="0.2">
      <c r="A817" s="5664"/>
      <c r="B817" s="5664"/>
      <c r="C817" s="1163" t="s">
        <v>3176</v>
      </c>
      <c r="D817" s="940"/>
      <c r="E817" s="2320"/>
      <c r="F817" s="532"/>
      <c r="G817" s="2232" t="str">
        <f t="shared" si="36"/>
        <v/>
      </c>
      <c r="H817" s="2231"/>
      <c r="I817" s="2231" t="s">
        <v>7172</v>
      </c>
      <c r="J817" s="2231" t="s">
        <v>7172</v>
      </c>
      <c r="K817" s="2231"/>
      <c r="L817" s="2231"/>
      <c r="M817" s="2364" t="str">
        <f t="shared" si="37"/>
        <v/>
      </c>
      <c r="N817" s="2348" t="s">
        <v>7172</v>
      </c>
      <c r="O817" s="2348" t="s">
        <v>7172</v>
      </c>
      <c r="P817" s="2348" t="s">
        <v>7172</v>
      </c>
      <c r="Q817" s="2348" t="s">
        <v>7172</v>
      </c>
      <c r="R817" s="2348" t="s">
        <v>7172</v>
      </c>
      <c r="S817" s="2357" t="s">
        <v>7172</v>
      </c>
    </row>
    <row r="818" spans="1:19" ht="12" customHeight="1" x14ac:dyDescent="0.2">
      <c r="A818" s="5664"/>
      <c r="B818" s="5664"/>
      <c r="C818" s="1163" t="s">
        <v>3177</v>
      </c>
      <c r="D818" s="940" t="str">
        <f>PROPER(MID(C817,3,100))</f>
        <v>Legado De Sólomon</v>
      </c>
      <c r="E818" s="532">
        <v>1</v>
      </c>
      <c r="F818" s="532">
        <v>50</v>
      </c>
      <c r="G818" s="2232">
        <f t="shared" si="36"/>
        <v>50</v>
      </c>
      <c r="H818" s="2231" t="s">
        <v>3178</v>
      </c>
      <c r="I818" s="2231" t="s">
        <v>9793</v>
      </c>
      <c r="J818" s="2231" t="s">
        <v>9794</v>
      </c>
      <c r="K818" s="2231"/>
      <c r="L818" s="2231"/>
      <c r="M818" s="2364">
        <f t="shared" si="37"/>
        <v>0</v>
      </c>
      <c r="N818" s="2348" t="s">
        <v>9836</v>
      </c>
      <c r="O818" s="2348" t="s">
        <v>9363</v>
      </c>
      <c r="P818" s="2348" t="s">
        <v>7172</v>
      </c>
      <c r="Q818" s="2348" t="s">
        <v>7172</v>
      </c>
      <c r="R818" s="2348" t="s">
        <v>7172</v>
      </c>
      <c r="S818" s="2357" t="s">
        <v>7172</v>
      </c>
    </row>
    <row r="819" spans="1:19" ht="12" customHeight="1" x14ac:dyDescent="0.2">
      <c r="A819" s="5664"/>
      <c r="B819" s="5664"/>
      <c r="C819" s="1163" t="s">
        <v>3179</v>
      </c>
      <c r="D819" s="940" t="str">
        <f>D818</f>
        <v>Legado De Sólomon</v>
      </c>
      <c r="E819" s="532">
        <v>1</v>
      </c>
      <c r="F819" s="532">
        <v>25</v>
      </c>
      <c r="G819" s="2232">
        <f t="shared" si="36"/>
        <v>25</v>
      </c>
      <c r="H819" s="2231" t="s">
        <v>3145</v>
      </c>
      <c r="I819" s="2231" t="s">
        <v>9795</v>
      </c>
      <c r="J819" s="2231" t="s">
        <v>9794</v>
      </c>
      <c r="K819" s="2231"/>
      <c r="L819" s="2231"/>
      <c r="M819" s="2364">
        <f t="shared" si="37"/>
        <v>0</v>
      </c>
      <c r="N819" s="2348" t="s">
        <v>9845</v>
      </c>
      <c r="O819" s="2348" t="s">
        <v>7172</v>
      </c>
      <c r="P819" s="2348" t="s">
        <v>7172</v>
      </c>
      <c r="Q819" s="2348" t="s">
        <v>7172</v>
      </c>
      <c r="R819" s="2348" t="s">
        <v>7172</v>
      </c>
      <c r="S819" s="2357" t="s">
        <v>7172</v>
      </c>
    </row>
    <row r="820" spans="1:19" ht="12" customHeight="1" x14ac:dyDescent="0.2">
      <c r="A820" s="5664"/>
      <c r="B820" s="5664"/>
      <c r="C820" s="1163" t="s">
        <v>3180</v>
      </c>
      <c r="D820" s="940" t="str">
        <f>D819</f>
        <v>Legado De Sólomon</v>
      </c>
      <c r="E820" s="532">
        <v>1</v>
      </c>
      <c r="F820" s="532">
        <v>35</v>
      </c>
      <c r="G820" s="2232">
        <f t="shared" si="36"/>
        <v>35</v>
      </c>
      <c r="H820" s="2231" t="s">
        <v>3148</v>
      </c>
      <c r="I820" s="2231" t="s">
        <v>9796</v>
      </c>
      <c r="J820" s="2231" t="s">
        <v>9794</v>
      </c>
      <c r="K820" s="2231"/>
      <c r="L820" s="2231"/>
      <c r="M820" s="2364">
        <f t="shared" si="37"/>
        <v>0</v>
      </c>
      <c r="N820" s="2348" t="s">
        <v>9846</v>
      </c>
      <c r="O820" s="2348" t="s">
        <v>9842</v>
      </c>
      <c r="P820" s="2348" t="s">
        <v>9846</v>
      </c>
      <c r="Q820" s="2348" t="s">
        <v>7172</v>
      </c>
      <c r="R820" s="2348" t="s">
        <v>7172</v>
      </c>
      <c r="S820" s="2357" t="s">
        <v>7172</v>
      </c>
    </row>
    <row r="821" spans="1:19" ht="12" customHeight="1" x14ac:dyDescent="0.2">
      <c r="A821" s="5664"/>
      <c r="B821" s="5664"/>
      <c r="C821" s="1163" t="s">
        <v>3181</v>
      </c>
      <c r="D821" s="940" t="str">
        <f>D820</f>
        <v>Legado De Sólomon</v>
      </c>
      <c r="E821" s="532">
        <v>2</v>
      </c>
      <c r="F821" s="532">
        <v>65</v>
      </c>
      <c r="G821" s="2232">
        <f t="shared" si="36"/>
        <v>65</v>
      </c>
      <c r="H821" s="2231" t="s">
        <v>3182</v>
      </c>
      <c r="I821" s="2231" t="s">
        <v>9797</v>
      </c>
      <c r="J821" s="2231" t="s">
        <v>9794</v>
      </c>
      <c r="K821" s="2231"/>
      <c r="L821" s="2231"/>
      <c r="M821" s="2364">
        <f t="shared" si="37"/>
        <v>0</v>
      </c>
      <c r="N821" s="2348" t="s">
        <v>9836</v>
      </c>
      <c r="O821" s="2348" t="s">
        <v>9363</v>
      </c>
      <c r="P821" s="2348" t="s">
        <v>7172</v>
      </c>
      <c r="Q821" s="2348" t="s">
        <v>7172</v>
      </c>
      <c r="R821" s="2348" t="s">
        <v>7172</v>
      </c>
      <c r="S821" s="2357" t="s">
        <v>7172</v>
      </c>
    </row>
    <row r="822" spans="1:19" ht="12" customHeight="1" x14ac:dyDescent="0.2">
      <c r="A822" s="5664"/>
      <c r="B822" s="5664"/>
      <c r="C822" s="1163" t="s">
        <v>3183</v>
      </c>
      <c r="D822" s="940" t="str">
        <f>D821</f>
        <v>Legado De Sólomon</v>
      </c>
      <c r="E822" s="532">
        <v>2</v>
      </c>
      <c r="F822" s="532">
        <v>60</v>
      </c>
      <c r="G822" s="2232">
        <f t="shared" si="36"/>
        <v>60</v>
      </c>
      <c r="H822" s="2231" t="s">
        <v>3184</v>
      </c>
      <c r="I822" s="2231" t="s">
        <v>9798</v>
      </c>
      <c r="J822" s="2231" t="s">
        <v>9794</v>
      </c>
      <c r="K822" s="2231"/>
      <c r="L822" s="2231"/>
      <c r="M822" s="2364">
        <f t="shared" si="37"/>
        <v>0</v>
      </c>
      <c r="N822" s="2348" t="s">
        <v>9839</v>
      </c>
      <c r="O822" s="2348" t="s">
        <v>7172</v>
      </c>
      <c r="P822" s="2348" t="s">
        <v>7172</v>
      </c>
      <c r="Q822" s="2348" t="s">
        <v>7172</v>
      </c>
      <c r="R822" s="2348" t="s">
        <v>7172</v>
      </c>
      <c r="S822" s="2357" t="s">
        <v>7172</v>
      </c>
    </row>
    <row r="823" spans="1:19" ht="12" customHeight="1" x14ac:dyDescent="0.2">
      <c r="A823" s="5664"/>
      <c r="B823" s="5664"/>
      <c r="C823" s="1163" t="s">
        <v>3185</v>
      </c>
      <c r="D823" s="940" t="str">
        <f t="shared" ref="D823:D826" si="40">D822</f>
        <v>Legado De Sólomon</v>
      </c>
      <c r="E823" s="532">
        <v>2</v>
      </c>
      <c r="F823" s="532">
        <v>100</v>
      </c>
      <c r="G823" s="2232">
        <f t="shared" si="36"/>
        <v>100</v>
      </c>
      <c r="H823" s="2231" t="s">
        <v>3186</v>
      </c>
      <c r="I823" s="2231" t="s">
        <v>9799</v>
      </c>
      <c r="J823" s="2231" t="s">
        <v>9794</v>
      </c>
      <c r="K823" s="2231"/>
      <c r="L823" s="2231"/>
      <c r="M823" s="2364">
        <f t="shared" si="37"/>
        <v>0</v>
      </c>
      <c r="N823" s="2348" t="s">
        <v>9846</v>
      </c>
      <c r="O823" s="2348" t="s">
        <v>9842</v>
      </c>
      <c r="P823" s="2348" t="s">
        <v>9832</v>
      </c>
      <c r="Q823" s="2348" t="s">
        <v>7172</v>
      </c>
      <c r="R823" s="2348" t="s">
        <v>7172</v>
      </c>
      <c r="S823" s="2357" t="s">
        <v>7172</v>
      </c>
    </row>
    <row r="824" spans="1:19" ht="12" customHeight="1" x14ac:dyDescent="0.2">
      <c r="A824" s="5664"/>
      <c r="B824" s="5664"/>
      <c r="C824" s="1163" t="s">
        <v>3187</v>
      </c>
      <c r="D824" s="940" t="str">
        <f t="shared" si="40"/>
        <v>Legado De Sólomon</v>
      </c>
      <c r="E824" s="532">
        <v>2</v>
      </c>
      <c r="F824" s="532">
        <v>65</v>
      </c>
      <c r="G824" s="2232">
        <f t="shared" si="36"/>
        <v>65</v>
      </c>
      <c r="H824" s="2231" t="s">
        <v>3145</v>
      </c>
      <c r="I824" s="2231" t="s">
        <v>9800</v>
      </c>
      <c r="J824" s="2231" t="s">
        <v>9801</v>
      </c>
      <c r="K824" s="2231"/>
      <c r="L824" s="2231"/>
      <c r="M824" s="2364">
        <f t="shared" si="37"/>
        <v>0</v>
      </c>
      <c r="N824" s="2348" t="s">
        <v>9835</v>
      </c>
      <c r="O824" s="2348" t="s">
        <v>7172</v>
      </c>
      <c r="P824" s="2348" t="s">
        <v>7172</v>
      </c>
      <c r="Q824" s="2348" t="s">
        <v>7172</v>
      </c>
      <c r="R824" s="2348" t="s">
        <v>7172</v>
      </c>
      <c r="S824" s="2357" t="s">
        <v>7172</v>
      </c>
    </row>
    <row r="825" spans="1:19" ht="12" customHeight="1" x14ac:dyDescent="0.2">
      <c r="A825" s="5664"/>
      <c r="B825" s="5664"/>
      <c r="C825" s="1163" t="s">
        <v>3188</v>
      </c>
      <c r="D825" s="940" t="str">
        <f t="shared" si="40"/>
        <v>Legado De Sólomon</v>
      </c>
      <c r="E825" s="532">
        <v>3</v>
      </c>
      <c r="F825" s="532">
        <v>95</v>
      </c>
      <c r="G825" s="2232">
        <f t="shared" si="36"/>
        <v>95</v>
      </c>
      <c r="H825" s="2231" t="s">
        <v>3189</v>
      </c>
      <c r="I825" s="2231" t="s">
        <v>9802</v>
      </c>
      <c r="J825" s="2231" t="s">
        <v>9794</v>
      </c>
      <c r="K825" s="2231"/>
      <c r="L825" s="2231"/>
      <c r="M825" s="2364">
        <f t="shared" si="37"/>
        <v>0</v>
      </c>
      <c r="N825" s="2348" t="s">
        <v>9836</v>
      </c>
      <c r="O825" s="2348" t="s">
        <v>9363</v>
      </c>
      <c r="P825" s="2348" t="s">
        <v>7172</v>
      </c>
      <c r="Q825" s="2348" t="s">
        <v>7172</v>
      </c>
      <c r="R825" s="2348" t="s">
        <v>7172</v>
      </c>
      <c r="S825" s="2357" t="s">
        <v>7172</v>
      </c>
    </row>
    <row r="826" spans="1:19" ht="12" customHeight="1" x14ac:dyDescent="0.2">
      <c r="A826" s="5664"/>
      <c r="B826" s="5664"/>
      <c r="C826" s="1163" t="s">
        <v>3190</v>
      </c>
      <c r="D826" s="940" t="str">
        <f t="shared" si="40"/>
        <v>Legado De Sólomon</v>
      </c>
      <c r="E826" s="532">
        <v>3</v>
      </c>
      <c r="F826" s="532">
        <v>80</v>
      </c>
      <c r="G826" s="2232">
        <f t="shared" si="36"/>
        <v>80</v>
      </c>
      <c r="H826" s="2231" t="s">
        <v>3191</v>
      </c>
      <c r="I826" s="2231" t="s">
        <v>9803</v>
      </c>
      <c r="J826" s="2231" t="s">
        <v>9804</v>
      </c>
      <c r="K826" s="2231"/>
      <c r="L826" s="2231"/>
      <c r="M826" s="2364">
        <f t="shared" si="37"/>
        <v>0</v>
      </c>
      <c r="N826" s="2348" t="s">
        <v>9842</v>
      </c>
      <c r="O826" s="2348" t="s">
        <v>9847</v>
      </c>
      <c r="P826" s="2348" t="s">
        <v>7172</v>
      </c>
      <c r="Q826" s="2348" t="s">
        <v>7172</v>
      </c>
      <c r="R826" s="2348" t="s">
        <v>7172</v>
      </c>
      <c r="S826" s="2357" t="s">
        <v>7172</v>
      </c>
    </row>
    <row r="827" spans="1:19" ht="12" customHeight="1" x14ac:dyDescent="0.2">
      <c r="A827" s="5664"/>
      <c r="B827" s="5664"/>
      <c r="C827" s="1163" t="s">
        <v>3192</v>
      </c>
      <c r="D827" s="940"/>
      <c r="E827" s="2320"/>
      <c r="F827" s="532"/>
      <c r="G827" s="2232" t="str">
        <f t="shared" si="36"/>
        <v/>
      </c>
      <c r="H827" s="2231"/>
      <c r="I827" s="2231" t="s">
        <v>7172</v>
      </c>
      <c r="J827" s="2231" t="s">
        <v>7172</v>
      </c>
      <c r="K827" s="2231"/>
      <c r="L827" s="2231"/>
      <c r="M827" s="2364" t="str">
        <f t="shared" si="37"/>
        <v/>
      </c>
      <c r="N827" s="2348" t="s">
        <v>7172</v>
      </c>
      <c r="O827" s="2348" t="s">
        <v>7172</v>
      </c>
      <c r="P827" s="2348" t="s">
        <v>7172</v>
      </c>
      <c r="Q827" s="2348" t="s">
        <v>7172</v>
      </c>
      <c r="R827" s="2348" t="s">
        <v>7172</v>
      </c>
      <c r="S827" s="2357" t="s">
        <v>7172</v>
      </c>
    </row>
    <row r="828" spans="1:19" ht="12" customHeight="1" x14ac:dyDescent="0.2">
      <c r="A828" s="5664"/>
      <c r="B828" s="5664"/>
      <c r="C828" s="1163" t="s">
        <v>3193</v>
      </c>
      <c r="D828" s="940" t="str">
        <f>PROPER(MID(C827,3,100))</f>
        <v>Frostkolier</v>
      </c>
      <c r="E828" s="532">
        <v>1</v>
      </c>
      <c r="F828" s="532">
        <v>35</v>
      </c>
      <c r="G828" s="2232">
        <f t="shared" si="36"/>
        <v>35</v>
      </c>
      <c r="H828" s="2231" t="s">
        <v>3194</v>
      </c>
      <c r="I828" s="2231" t="s">
        <v>9805</v>
      </c>
      <c r="J828" s="2231" t="s">
        <v>9806</v>
      </c>
      <c r="K828" s="2231"/>
      <c r="L828" s="2231"/>
      <c r="M828" s="2364">
        <f t="shared" si="37"/>
        <v>0</v>
      </c>
      <c r="N828" s="2348" t="s">
        <v>9832</v>
      </c>
      <c r="O828" s="2348" t="s">
        <v>9363</v>
      </c>
      <c r="P828" s="2348" t="s">
        <v>7172</v>
      </c>
      <c r="Q828" s="2348" t="s">
        <v>7172</v>
      </c>
      <c r="R828" s="2348" t="s">
        <v>7172</v>
      </c>
      <c r="S828" s="2357" t="s">
        <v>7172</v>
      </c>
    </row>
    <row r="829" spans="1:19" ht="12" customHeight="1" x14ac:dyDescent="0.2">
      <c r="A829" s="5664"/>
      <c r="B829" s="5664"/>
      <c r="C829" s="1163" t="s">
        <v>3195</v>
      </c>
      <c r="D829" s="940" t="str">
        <f>D828</f>
        <v>Frostkolier</v>
      </c>
      <c r="E829" s="532">
        <v>1</v>
      </c>
      <c r="F829" s="532">
        <v>25</v>
      </c>
      <c r="G829" s="2232">
        <f t="shared" si="36"/>
        <v>25</v>
      </c>
      <c r="H829" s="2231" t="s">
        <v>3196</v>
      </c>
      <c r="I829" s="2231" t="s">
        <v>9807</v>
      </c>
      <c r="J829" s="2231" t="s">
        <v>9806</v>
      </c>
      <c r="K829" s="2231"/>
      <c r="L829" s="2231"/>
      <c r="M829" s="2364">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348" t="s">
        <v>9846</v>
      </c>
      <c r="O829" s="2348" t="s">
        <v>9846</v>
      </c>
      <c r="P829" s="2348" t="s">
        <v>7172</v>
      </c>
      <c r="Q829" s="2348" t="s">
        <v>7172</v>
      </c>
      <c r="R829" s="2348" t="s">
        <v>7172</v>
      </c>
      <c r="S829" s="2357" t="s">
        <v>7172</v>
      </c>
    </row>
    <row r="830" spans="1:19" ht="12" customHeight="1" x14ac:dyDescent="0.2">
      <c r="A830" s="5664"/>
      <c r="B830" s="5664"/>
      <c r="C830" s="1163" t="s">
        <v>3197</v>
      </c>
      <c r="D830" s="940" t="str">
        <f>D829</f>
        <v>Frostkolier</v>
      </c>
      <c r="E830" s="532">
        <v>2</v>
      </c>
      <c r="F830" s="532">
        <v>45</v>
      </c>
      <c r="G830" s="2232">
        <f t="shared" si="36"/>
        <v>45</v>
      </c>
      <c r="H830" s="2231" t="s">
        <v>3198</v>
      </c>
      <c r="I830" s="2231" t="s">
        <v>9730</v>
      </c>
      <c r="J830" s="2231" t="s">
        <v>9806</v>
      </c>
      <c r="K830" s="2231"/>
      <c r="L830" s="2231"/>
      <c r="M830" s="2364">
        <f t="shared" si="37"/>
        <v>0</v>
      </c>
      <c r="N830" s="2348" t="s">
        <v>9836</v>
      </c>
      <c r="O830" s="2348" t="s">
        <v>9846</v>
      </c>
      <c r="P830" s="2348" t="s">
        <v>7172</v>
      </c>
      <c r="Q830" s="2348" t="s">
        <v>7172</v>
      </c>
      <c r="R830" s="2348" t="s">
        <v>7172</v>
      </c>
      <c r="S830" s="2357" t="s">
        <v>7172</v>
      </c>
    </row>
    <row r="831" spans="1:19" ht="12" customHeight="1" x14ac:dyDescent="0.2">
      <c r="A831" s="5664"/>
      <c r="B831" s="5664"/>
      <c r="C831" s="1163" t="s">
        <v>3199</v>
      </c>
      <c r="D831" s="940" t="str">
        <f>D830</f>
        <v>Frostkolier</v>
      </c>
      <c r="E831" s="532">
        <v>2</v>
      </c>
      <c r="F831" s="532">
        <v>45</v>
      </c>
      <c r="G831" s="2232">
        <f t="shared" si="36"/>
        <v>45</v>
      </c>
      <c r="H831" s="2231" t="s">
        <v>3200</v>
      </c>
      <c r="I831" s="2231" t="s">
        <v>9818</v>
      </c>
      <c r="J831" s="2231" t="s">
        <v>9806</v>
      </c>
      <c r="K831" s="2231"/>
      <c r="L831" s="2231"/>
      <c r="M831" s="2364">
        <f t="shared" si="37"/>
        <v>0</v>
      </c>
      <c r="N831" s="2348" t="s">
        <v>9836</v>
      </c>
      <c r="O831" s="2348" t="s">
        <v>9838</v>
      </c>
      <c r="P831" s="2348" t="s">
        <v>7172</v>
      </c>
      <c r="Q831" s="2348" t="s">
        <v>9846</v>
      </c>
      <c r="R831" s="2348" t="s">
        <v>9846</v>
      </c>
      <c r="S831" s="2357" t="s">
        <v>7172</v>
      </c>
    </row>
    <row r="832" spans="1:19" ht="12" customHeight="1" x14ac:dyDescent="0.2">
      <c r="A832" s="5664"/>
      <c r="B832" s="5664"/>
      <c r="C832" s="1163" t="s">
        <v>3201</v>
      </c>
      <c r="D832" s="940" t="str">
        <f>D831</f>
        <v>Frostkolier</v>
      </c>
      <c r="E832" s="532">
        <v>3</v>
      </c>
      <c r="F832" s="532">
        <v>75</v>
      </c>
      <c r="G832" s="2232">
        <f t="shared" si="36"/>
        <v>75</v>
      </c>
      <c r="H832" s="2231" t="s">
        <v>3202</v>
      </c>
      <c r="I832" s="2231" t="s">
        <v>10272</v>
      </c>
      <c r="J832" s="2231" t="s">
        <v>9806</v>
      </c>
      <c r="K832" s="2231"/>
      <c r="L832" s="2231"/>
      <c r="M832" s="2364">
        <f t="shared" si="37"/>
        <v>0</v>
      </c>
      <c r="N832" s="2348" t="s">
        <v>9833</v>
      </c>
      <c r="O832" s="2348"/>
      <c r="P832" s="2348" t="s">
        <v>7172</v>
      </c>
      <c r="Q832" s="2348" t="s">
        <v>7172</v>
      </c>
      <c r="R832" s="2348" t="s">
        <v>7172</v>
      </c>
      <c r="S832" s="2357" t="s">
        <v>7172</v>
      </c>
    </row>
    <row r="833" spans="1:19" ht="12" customHeight="1" x14ac:dyDescent="0.2">
      <c r="A833" s="5664"/>
      <c r="B833" s="5664"/>
      <c r="C833" s="1163" t="s">
        <v>3203</v>
      </c>
      <c r="D833" s="940"/>
      <c r="E833" s="2320"/>
      <c r="F833" s="532"/>
      <c r="G833" s="2232" t="str">
        <f t="shared" si="36"/>
        <v/>
      </c>
      <c r="H833" s="2231"/>
      <c r="I833" s="2231" t="s">
        <v>7172</v>
      </c>
      <c r="J833" s="2231" t="s">
        <v>7172</v>
      </c>
      <c r="K833" s="2231"/>
      <c r="L833" s="2231"/>
      <c r="M833" s="2364" t="str">
        <f t="shared" si="37"/>
        <v/>
      </c>
      <c r="N833" s="2348" t="s">
        <v>7172</v>
      </c>
      <c r="O833" s="2348" t="s">
        <v>7172</v>
      </c>
      <c r="P833" s="2348" t="s">
        <v>7172</v>
      </c>
      <c r="Q833" s="2348" t="s">
        <v>7172</v>
      </c>
      <c r="R833" s="2348" t="s">
        <v>7172</v>
      </c>
      <c r="S833" s="2357" t="s">
        <v>7172</v>
      </c>
    </row>
    <row r="834" spans="1:19" ht="12" customHeight="1" x14ac:dyDescent="0.2">
      <c r="A834" s="5664"/>
      <c r="B834" s="5664"/>
      <c r="C834" s="1163" t="s">
        <v>3205</v>
      </c>
      <c r="D834" s="940" t="str">
        <f>PROPER(MID(C833,3,100))</f>
        <v>Anima, La Canción De Los Ángeles Caídos</v>
      </c>
      <c r="E834" s="532">
        <v>1</v>
      </c>
      <c r="F834" s="532">
        <v>50</v>
      </c>
      <c r="G834" s="2232">
        <f t="shared" si="36"/>
        <v>50</v>
      </c>
      <c r="H834" s="2231" t="s">
        <v>3206</v>
      </c>
      <c r="I834" s="2231" t="s">
        <v>9808</v>
      </c>
      <c r="J834" s="2231" t="s">
        <v>7172</v>
      </c>
      <c r="K834" s="2231"/>
      <c r="L834" s="2231"/>
      <c r="M834" s="2364">
        <f t="shared" si="37"/>
        <v>0</v>
      </c>
      <c r="N834" s="2348" t="s">
        <v>9834</v>
      </c>
      <c r="O834" s="2348" t="s">
        <v>9363</v>
      </c>
      <c r="P834" s="2348" t="s">
        <v>7172</v>
      </c>
      <c r="Q834" s="2348" t="s">
        <v>7172</v>
      </c>
      <c r="R834" s="2348" t="s">
        <v>7172</v>
      </c>
      <c r="S834" s="2357" t="s">
        <v>7172</v>
      </c>
    </row>
    <row r="835" spans="1:19" ht="12" customHeight="1" x14ac:dyDescent="0.2">
      <c r="A835" s="5664"/>
      <c r="B835" s="5664"/>
      <c r="C835" s="1163" t="s">
        <v>3208</v>
      </c>
      <c r="D835" s="940" t="str">
        <f>D834</f>
        <v>Anima, La Canción De Los Ángeles Caídos</v>
      </c>
      <c r="E835" s="532">
        <v>1</v>
      </c>
      <c r="F835" s="532">
        <v>40</v>
      </c>
      <c r="G835" s="2232">
        <f t="shared" si="36"/>
        <v>40</v>
      </c>
      <c r="H835" s="2231" t="s">
        <v>3209</v>
      </c>
      <c r="I835" s="2231" t="s">
        <v>9809</v>
      </c>
      <c r="J835" s="2231" t="s">
        <v>7172</v>
      </c>
      <c r="K835" s="2231"/>
      <c r="L835" s="2231"/>
      <c r="M835" s="2364">
        <f t="shared" si="37"/>
        <v>0</v>
      </c>
      <c r="N835" s="2348" t="s">
        <v>9839</v>
      </c>
      <c r="O835" s="2348" t="s">
        <v>9849</v>
      </c>
      <c r="P835" s="2348" t="s">
        <v>7172</v>
      </c>
      <c r="Q835" s="2348" t="s">
        <v>7172</v>
      </c>
      <c r="R835" s="2348" t="s">
        <v>7172</v>
      </c>
      <c r="S835" s="2357" t="s">
        <v>7172</v>
      </c>
    </row>
    <row r="836" spans="1:19" ht="12" customHeight="1" x14ac:dyDescent="0.2">
      <c r="A836" s="5664"/>
      <c r="B836" s="5664"/>
      <c r="C836" s="1163" t="s">
        <v>3211</v>
      </c>
      <c r="D836" s="940" t="str">
        <f>D835</f>
        <v>Anima, La Canción De Los Ángeles Caídos</v>
      </c>
      <c r="E836" s="532">
        <v>2</v>
      </c>
      <c r="F836" s="532">
        <v>100</v>
      </c>
      <c r="G836" s="2232">
        <f t="shared" si="36"/>
        <v>100</v>
      </c>
      <c r="H836" s="2231" t="s">
        <v>3212</v>
      </c>
      <c r="I836" s="2231" t="s">
        <v>9810</v>
      </c>
      <c r="J836" s="2231" t="s">
        <v>3266</v>
      </c>
      <c r="K836" s="2231"/>
      <c r="L836" s="2231"/>
      <c r="M836" s="2364">
        <f t="shared" si="37"/>
        <v>0</v>
      </c>
      <c r="N836" s="2348" t="s">
        <v>9834</v>
      </c>
      <c r="O836" s="2348" t="s">
        <v>9832</v>
      </c>
      <c r="P836" s="2348" t="s">
        <v>9835</v>
      </c>
      <c r="Q836" s="2348" t="s">
        <v>7172</v>
      </c>
      <c r="R836" s="2348" t="s">
        <v>7172</v>
      </c>
      <c r="S836" s="2357" t="s">
        <v>7172</v>
      </c>
    </row>
    <row r="837" spans="1:19" ht="12" customHeight="1" x14ac:dyDescent="0.2">
      <c r="A837" s="5664"/>
      <c r="B837" s="5664"/>
      <c r="C837" s="1163" t="s">
        <v>3214</v>
      </c>
      <c r="D837" s="940" t="str">
        <f>D836</f>
        <v>Anima, La Canción De Los Ángeles Caídos</v>
      </c>
      <c r="E837" s="532">
        <v>2</v>
      </c>
      <c r="F837" s="532">
        <v>100</v>
      </c>
      <c r="G837" s="2232">
        <f t="shared" si="36"/>
        <v>100</v>
      </c>
      <c r="H837" s="2231" t="s">
        <v>3215</v>
      </c>
      <c r="I837" s="2231" t="s">
        <v>9811</v>
      </c>
      <c r="J837" s="2231" t="s">
        <v>7172</v>
      </c>
      <c r="K837" s="2231"/>
      <c r="L837" s="2231"/>
      <c r="M837" s="2364">
        <f t="shared" si="37"/>
        <v>0</v>
      </c>
      <c r="N837" s="2348" t="s">
        <v>9834</v>
      </c>
      <c r="O837" s="2348" t="s">
        <v>9833</v>
      </c>
      <c r="P837" s="2348" t="s">
        <v>7172</v>
      </c>
      <c r="Q837" s="2348" t="s">
        <v>7172</v>
      </c>
      <c r="R837" s="2348" t="s">
        <v>7172</v>
      </c>
      <c r="S837" s="2357" t="s">
        <v>7172</v>
      </c>
    </row>
    <row r="838" spans="1:19" ht="12" customHeight="1" thickBot="1" x14ac:dyDescent="0.25">
      <c r="A838" s="5664"/>
      <c r="B838" s="5664"/>
      <c r="C838" s="1547" t="s">
        <v>3216</v>
      </c>
      <c r="D838" s="2233" t="str">
        <f>D837</f>
        <v>Anima, La Canción De Los Ángeles Caídos</v>
      </c>
      <c r="E838" s="581">
        <v>3</v>
      </c>
      <c r="F838" s="581">
        <v>200</v>
      </c>
      <c r="G838" s="2358">
        <f>IF(E838="","",MAX(IF(E838=3,60,IF(E838=2,40,20)),F838+M838))</f>
        <v>200</v>
      </c>
      <c r="H838" s="2359" t="s">
        <v>3217</v>
      </c>
      <c r="I838" s="2359" t="s">
        <v>9819</v>
      </c>
      <c r="J838" s="2359" t="s">
        <v>9812</v>
      </c>
      <c r="K838" s="2359"/>
      <c r="L838" s="2359" t="s">
        <v>9556</v>
      </c>
      <c r="M838" s="2365">
        <f t="shared" si="37"/>
        <v>0</v>
      </c>
      <c r="N838" s="2360" t="s">
        <v>9834</v>
      </c>
      <c r="O838" s="2360" t="s">
        <v>9835</v>
      </c>
      <c r="P838" s="2360" t="s">
        <v>9847</v>
      </c>
      <c r="Q838" s="2360" t="s">
        <v>9852</v>
      </c>
      <c r="R838" s="2360" t="s">
        <v>7172</v>
      </c>
      <c r="S838" s="2361" t="s">
        <v>9850</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154" zoomScaleNormal="100" workbookViewId="0">
      <selection activeCell="G180" sqref="G180"/>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2:26" ht="12.75" customHeight="1" thickBot="1" x14ac:dyDescent="0.25"/>
    <row r="2" spans="2:26" ht="12.75" customHeight="1" x14ac:dyDescent="0.2">
      <c r="B2" s="903"/>
      <c r="C2" s="5872" t="s">
        <v>3271</v>
      </c>
      <c r="D2" s="5873"/>
      <c r="E2" s="5873"/>
      <c r="F2" s="5873"/>
      <c r="G2" s="5873"/>
      <c r="H2" s="5873"/>
      <c r="I2" s="5873"/>
      <c r="J2" s="5873"/>
      <c r="K2" s="5873"/>
      <c r="L2" s="5873"/>
      <c r="M2" s="5873"/>
      <c r="N2" s="5873"/>
      <c r="O2" s="5873"/>
      <c r="P2" s="5873"/>
      <c r="Q2" s="5873"/>
      <c r="R2" s="5873"/>
      <c r="S2" s="5873"/>
      <c r="T2" s="5873"/>
      <c r="U2" s="5873"/>
      <c r="V2" s="5873"/>
      <c r="W2" s="5873"/>
      <c r="X2" s="5873"/>
      <c r="Y2" s="5873"/>
      <c r="Z2" s="5874"/>
    </row>
    <row r="3" spans="2:26" ht="12.75" customHeight="1" x14ac:dyDescent="0.2">
      <c r="B3" s="903"/>
      <c r="C3" s="5875"/>
      <c r="D3" s="5876"/>
      <c r="E3" s="5876"/>
      <c r="F3" s="5876"/>
      <c r="G3" s="5876"/>
      <c r="H3" s="5876"/>
      <c r="I3" s="5876"/>
      <c r="J3" s="5876"/>
      <c r="K3" s="5876"/>
      <c r="L3" s="5876"/>
      <c r="M3" s="5876"/>
      <c r="N3" s="5876"/>
      <c r="O3" s="5876"/>
      <c r="P3" s="5876"/>
      <c r="Q3" s="5876"/>
      <c r="R3" s="5876"/>
      <c r="S3" s="5876"/>
      <c r="T3" s="5876"/>
      <c r="U3" s="5876"/>
      <c r="V3" s="5876"/>
      <c r="W3" s="5876"/>
      <c r="X3" s="5876"/>
      <c r="Y3" s="5876"/>
      <c r="Z3" s="5877"/>
    </row>
    <row r="4" spans="2: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2:26" ht="12.75" customHeight="1" thickBot="1" x14ac:dyDescent="0.25">
      <c r="C5" s="409"/>
      <c r="D5" s="410" t="s">
        <v>1703</v>
      </c>
      <c r="E5" s="410" t="s">
        <v>1704</v>
      </c>
      <c r="F5" s="410" t="s">
        <v>1411</v>
      </c>
      <c r="G5" s="410" t="s">
        <v>3272</v>
      </c>
      <c r="H5" s="410" t="s">
        <v>1407</v>
      </c>
      <c r="I5" s="410" t="s">
        <v>2906</v>
      </c>
      <c r="J5" s="410" t="s">
        <v>3273</v>
      </c>
      <c r="K5" s="410" t="s">
        <v>3274</v>
      </c>
      <c r="L5" s="410" t="s">
        <v>3275</v>
      </c>
      <c r="M5" s="410" t="s">
        <v>3276</v>
      </c>
      <c r="N5" s="410" t="s">
        <v>3277</v>
      </c>
      <c r="O5" s="410" t="s">
        <v>3278</v>
      </c>
      <c r="P5" s="410" t="s">
        <v>3279</v>
      </c>
      <c r="Q5" s="410" t="s">
        <v>3280</v>
      </c>
      <c r="R5" s="410" t="s">
        <v>3281</v>
      </c>
      <c r="S5" s="410" t="s">
        <v>3282</v>
      </c>
      <c r="T5" s="410" t="s">
        <v>3283</v>
      </c>
      <c r="U5" s="410" t="s">
        <v>3284</v>
      </c>
      <c r="V5" s="308" t="s">
        <v>1373</v>
      </c>
      <c r="W5" s="308" t="s">
        <v>3285</v>
      </c>
      <c r="X5" s="308" t="s">
        <v>3286</v>
      </c>
      <c r="Y5" s="308" t="s">
        <v>3287</v>
      </c>
      <c r="Z5" s="309" t="s">
        <v>1242</v>
      </c>
    </row>
    <row r="6" spans="2:26" ht="12.75" customHeight="1" x14ac:dyDescent="0.2">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2:26" ht="12.75" customHeight="1" x14ac:dyDescent="0.2">
      <c r="B7" s="266" t="str">
        <f>E7&amp;F7</f>
        <v>Luz2</v>
      </c>
      <c r="C7" s="422"/>
      <c r="D7" s="287" t="s">
        <v>240</v>
      </c>
      <c r="E7" s="414" t="s">
        <v>1708</v>
      </c>
      <c r="F7" s="414">
        <v>2</v>
      </c>
      <c r="G7" s="415" t="s">
        <v>2121</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3288</v>
      </c>
      <c r="W7" s="420" t="s">
        <v>3289</v>
      </c>
      <c r="X7" s="420" t="s">
        <v>3290</v>
      </c>
      <c r="Y7" s="420" t="s">
        <v>3291</v>
      </c>
      <c r="Z7" s="421" t="s">
        <v>3292</v>
      </c>
    </row>
    <row r="8" spans="2:26" ht="12.75" customHeight="1" x14ac:dyDescent="0.2">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3293</v>
      </c>
      <c r="W8" s="420" t="s">
        <v>3294</v>
      </c>
      <c r="X8" s="420" t="s">
        <v>3295</v>
      </c>
      <c r="Y8" s="420" t="s">
        <v>3296</v>
      </c>
      <c r="Z8" s="421" t="s">
        <v>3297</v>
      </c>
    </row>
    <row r="9" spans="2:26" ht="12.75" customHeight="1" x14ac:dyDescent="0.2">
      <c r="B9" s="266" t="str">
        <f t="shared" si="0"/>
        <v>Luz8</v>
      </c>
      <c r="C9" s="422"/>
      <c r="D9" s="287" t="s">
        <v>256</v>
      </c>
      <c r="E9" s="414" t="s">
        <v>1708</v>
      </c>
      <c r="F9" s="414">
        <v>8</v>
      </c>
      <c r="G9" s="415" t="s">
        <v>1389</v>
      </c>
      <c r="H9" s="415" t="s">
        <v>3298</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3299</v>
      </c>
      <c r="W9" s="420" t="s">
        <v>3300</v>
      </c>
      <c r="X9" s="420" t="s">
        <v>3301</v>
      </c>
      <c r="Y9" s="420" t="s">
        <v>3302</v>
      </c>
      <c r="Z9" s="421" t="s">
        <v>3303</v>
      </c>
    </row>
    <row r="10" spans="2:26" ht="12.75" customHeight="1" x14ac:dyDescent="0.2">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3304</v>
      </c>
      <c r="W10" s="420" t="s">
        <v>3305</v>
      </c>
      <c r="X10" s="420" t="s">
        <v>3306</v>
      </c>
      <c r="Y10" s="420" t="s">
        <v>3307</v>
      </c>
      <c r="Z10" s="421" t="s">
        <v>3308</v>
      </c>
    </row>
    <row r="11" spans="2:26" ht="12.75" customHeight="1" x14ac:dyDescent="0.2">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3309</v>
      </c>
      <c r="W11" s="420" t="s">
        <v>3310</v>
      </c>
      <c r="X11" s="420" t="s">
        <v>3311</v>
      </c>
      <c r="Y11" s="420" t="s">
        <v>3312</v>
      </c>
      <c r="Z11" s="421" t="s">
        <v>3313</v>
      </c>
    </row>
    <row r="12" spans="2:26" ht="12.75" customHeight="1" x14ac:dyDescent="0.2">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3314</v>
      </c>
      <c r="W12" s="420" t="s">
        <v>3315</v>
      </c>
      <c r="X12" s="420" t="s">
        <v>3316</v>
      </c>
      <c r="Y12" s="420" t="s">
        <v>3317</v>
      </c>
      <c r="Z12" s="421" t="s">
        <v>3318</v>
      </c>
    </row>
    <row r="13" spans="2:26" ht="12.75" customHeight="1" x14ac:dyDescent="0.2">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3319</v>
      </c>
      <c r="W13" s="420" t="s">
        <v>3320</v>
      </c>
      <c r="X13" s="420" t="s">
        <v>3321</v>
      </c>
      <c r="Y13" s="420" t="s">
        <v>3322</v>
      </c>
      <c r="Z13" s="421" t="s">
        <v>3323</v>
      </c>
    </row>
    <row r="14" spans="2:26" ht="12.75" customHeight="1" x14ac:dyDescent="0.2">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3324</v>
      </c>
      <c r="W14" s="420" t="s">
        <v>3325</v>
      </c>
      <c r="X14" s="420" t="s">
        <v>3326</v>
      </c>
      <c r="Y14" s="420" t="s">
        <v>3327</v>
      </c>
      <c r="Z14" s="421" t="s">
        <v>3328</v>
      </c>
    </row>
    <row r="15" spans="2:26" ht="12.75" customHeight="1" x14ac:dyDescent="0.2">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3329</v>
      </c>
      <c r="W15" s="420" t="s">
        <v>3330</v>
      </c>
      <c r="X15" s="420" t="s">
        <v>3331</v>
      </c>
      <c r="Y15" s="420" t="s">
        <v>3332</v>
      </c>
      <c r="Z15" s="421" t="s">
        <v>3333</v>
      </c>
    </row>
    <row r="16" spans="2:26" ht="12.75" customHeight="1" x14ac:dyDescent="0.2">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3334</v>
      </c>
      <c r="W16" s="420" t="s">
        <v>3335</v>
      </c>
      <c r="X16" s="420" t="s">
        <v>3336</v>
      </c>
      <c r="Y16" s="420" t="s">
        <v>3337</v>
      </c>
      <c r="Z16" s="421" t="s">
        <v>3338</v>
      </c>
    </row>
    <row r="17" spans="2:26" ht="12.75" customHeight="1" x14ac:dyDescent="0.2">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3339</v>
      </c>
      <c r="W17" s="420" t="s">
        <v>3340</v>
      </c>
      <c r="X17" s="420" t="s">
        <v>3341</v>
      </c>
      <c r="Y17" s="420" t="s">
        <v>3342</v>
      </c>
      <c r="Z17" s="421" t="s">
        <v>3343</v>
      </c>
    </row>
    <row r="18" spans="2:26" ht="12.75" customHeight="1" x14ac:dyDescent="0.2">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3344</v>
      </c>
      <c r="W18" s="420" t="s">
        <v>3345</v>
      </c>
      <c r="X18" s="420" t="s">
        <v>3346</v>
      </c>
      <c r="Y18" s="420" t="s">
        <v>3347</v>
      </c>
      <c r="Z18" s="421" t="s">
        <v>3348</v>
      </c>
    </row>
    <row r="19" spans="2:26" ht="12.75" customHeight="1" x14ac:dyDescent="0.2">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3349</v>
      </c>
      <c r="W19" s="420" t="s">
        <v>3350</v>
      </c>
      <c r="X19" s="420" t="s">
        <v>3351</v>
      </c>
      <c r="Y19" s="420" t="s">
        <v>3352</v>
      </c>
      <c r="Z19" s="421" t="s">
        <v>3353</v>
      </c>
    </row>
    <row r="20" spans="2:26" ht="12.75" customHeight="1" x14ac:dyDescent="0.2">
      <c r="B20" s="266" t="str">
        <f t="shared" si="0"/>
        <v>Luz36</v>
      </c>
      <c r="C20" s="422"/>
      <c r="D20" s="287" t="s">
        <v>266</v>
      </c>
      <c r="E20" s="414" t="s">
        <v>1708</v>
      </c>
      <c r="F20" s="414">
        <v>36</v>
      </c>
      <c r="G20" s="415" t="s">
        <v>2121</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3354</v>
      </c>
      <c r="W20" s="420" t="s">
        <v>3355</v>
      </c>
      <c r="X20" s="420" t="s">
        <v>3356</v>
      </c>
      <c r="Y20" s="420" t="s">
        <v>3357</v>
      </c>
      <c r="Z20" s="421" t="s">
        <v>3358</v>
      </c>
    </row>
    <row r="21" spans="2:26" ht="12.75" customHeight="1" x14ac:dyDescent="0.2">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3359</v>
      </c>
      <c r="W21" s="420" t="s">
        <v>3360</v>
      </c>
      <c r="X21" s="420" t="s">
        <v>3361</v>
      </c>
      <c r="Y21" s="420" t="s">
        <v>3362</v>
      </c>
      <c r="Z21" s="421" t="s">
        <v>3363</v>
      </c>
    </row>
    <row r="22" spans="2:26" ht="12.75" customHeight="1" x14ac:dyDescent="0.2">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3364</v>
      </c>
      <c r="W22" s="420" t="s">
        <v>3365</v>
      </c>
      <c r="X22" s="420" t="s">
        <v>3366</v>
      </c>
      <c r="Y22" s="420" t="s">
        <v>3367</v>
      </c>
      <c r="Z22" s="421" t="s">
        <v>3368</v>
      </c>
    </row>
    <row r="23" spans="2:26" ht="12.75" customHeight="1" x14ac:dyDescent="0.2">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3369</v>
      </c>
      <c r="W23" s="420" t="s">
        <v>3370</v>
      </c>
      <c r="X23" s="420" t="s">
        <v>3371</v>
      </c>
      <c r="Y23" s="420" t="s">
        <v>3372</v>
      </c>
      <c r="Z23" s="421" t="s">
        <v>3373</v>
      </c>
    </row>
    <row r="24" spans="2:26" ht="12.75" customHeight="1" x14ac:dyDescent="0.2">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3374</v>
      </c>
      <c r="W24" s="420" t="s">
        <v>3375</v>
      </c>
      <c r="X24" s="420" t="s">
        <v>3376</v>
      </c>
      <c r="Y24" s="420" t="s">
        <v>3377</v>
      </c>
      <c r="Z24" s="421" t="s">
        <v>3378</v>
      </c>
    </row>
    <row r="25" spans="2:26" ht="12.75" customHeight="1" x14ac:dyDescent="0.2">
      <c r="B25" s="266" t="str">
        <f t="shared" si="0"/>
        <v>Luz48</v>
      </c>
      <c r="C25" s="422"/>
      <c r="D25" s="287" t="s">
        <v>271</v>
      </c>
      <c r="E25" s="414" t="s">
        <v>1708</v>
      </c>
      <c r="F25" s="414">
        <v>48</v>
      </c>
      <c r="G25" s="415" t="s">
        <v>2121</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3379</v>
      </c>
      <c r="W25" s="420" t="s">
        <v>3380</v>
      </c>
      <c r="X25" s="420" t="s">
        <v>3381</v>
      </c>
      <c r="Y25" s="420" t="s">
        <v>3382</v>
      </c>
      <c r="Z25" s="421" t="s">
        <v>3383</v>
      </c>
    </row>
    <row r="26" spans="2:26" ht="12.75" customHeight="1" x14ac:dyDescent="0.2">
      <c r="B26" s="266" t="str">
        <f t="shared" si="0"/>
        <v>Luz50</v>
      </c>
      <c r="C26" s="422"/>
      <c r="D26" s="287" t="s">
        <v>272</v>
      </c>
      <c r="E26" s="414" t="s">
        <v>1708</v>
      </c>
      <c r="F26" s="414">
        <v>50</v>
      </c>
      <c r="G26" s="415" t="s">
        <v>2121</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3384</v>
      </c>
      <c r="W26" s="420" t="s">
        <v>3385</v>
      </c>
      <c r="X26" s="420" t="s">
        <v>3386</v>
      </c>
      <c r="Y26" s="420" t="s">
        <v>3387</v>
      </c>
      <c r="Z26" s="421" t="s">
        <v>9983</v>
      </c>
    </row>
    <row r="27" spans="2:26" ht="12.75" customHeight="1" x14ac:dyDescent="0.2">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3388</v>
      </c>
      <c r="W27" s="420" t="s">
        <v>3389</v>
      </c>
      <c r="X27" s="420" t="s">
        <v>3390</v>
      </c>
      <c r="Y27" s="420" t="s">
        <v>3391</v>
      </c>
      <c r="Z27" s="421" t="s">
        <v>3392</v>
      </c>
    </row>
    <row r="28" spans="2:26" ht="12.75" customHeight="1" x14ac:dyDescent="0.2">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3393</v>
      </c>
      <c r="W28" s="420" t="s">
        <v>3394</v>
      </c>
      <c r="X28" s="420" t="s">
        <v>3395</v>
      </c>
      <c r="Y28" s="420" t="s">
        <v>3396</v>
      </c>
      <c r="Z28" s="421" t="s">
        <v>3397</v>
      </c>
    </row>
    <row r="29" spans="2:26" ht="12.75" customHeight="1" x14ac:dyDescent="0.2">
      <c r="B29" s="266" t="str">
        <f t="shared" si="0"/>
        <v>Luz58</v>
      </c>
      <c r="C29" s="422"/>
      <c r="D29" s="287" t="s">
        <v>275</v>
      </c>
      <c r="E29" s="414" t="s">
        <v>1708</v>
      </c>
      <c r="F29" s="414">
        <v>58</v>
      </c>
      <c r="G29" s="415" t="s">
        <v>2121</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3398</v>
      </c>
      <c r="W29" s="420" t="s">
        <v>3399</v>
      </c>
      <c r="X29" s="420" t="s">
        <v>3400</v>
      </c>
      <c r="Y29" s="420" t="s">
        <v>3401</v>
      </c>
      <c r="Z29" s="421" t="s">
        <v>3402</v>
      </c>
    </row>
    <row r="30" spans="2:26" ht="12.75" customHeight="1" x14ac:dyDescent="0.2">
      <c r="B30" s="266" t="str">
        <f t="shared" si="0"/>
        <v>Luz60</v>
      </c>
      <c r="C30" s="422"/>
      <c r="D30" s="287" t="s">
        <v>276</v>
      </c>
      <c r="E30" s="414" t="s">
        <v>1708</v>
      </c>
      <c r="F30" s="414">
        <v>60</v>
      </c>
      <c r="G30" s="415" t="s">
        <v>2121</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7297</v>
      </c>
      <c r="W30" s="420" t="s">
        <v>3403</v>
      </c>
      <c r="X30" s="420" t="s">
        <v>7298</v>
      </c>
      <c r="Y30" s="420" t="s">
        <v>7299</v>
      </c>
      <c r="Z30" s="421" t="s">
        <v>7300</v>
      </c>
    </row>
    <row r="31" spans="2:26" ht="12.75" customHeight="1" x14ac:dyDescent="0.2">
      <c r="B31" s="266" t="str">
        <f t="shared" si="0"/>
        <v>Luz62</v>
      </c>
      <c r="C31" s="422"/>
      <c r="D31" s="287" t="s">
        <v>277</v>
      </c>
      <c r="E31" s="414" t="s">
        <v>1708</v>
      </c>
      <c r="F31" s="414">
        <v>62</v>
      </c>
      <c r="G31" s="415" t="s">
        <v>2121</v>
      </c>
      <c r="H31" s="415" t="s">
        <v>3298</v>
      </c>
      <c r="I31" s="416" t="s">
        <v>1312</v>
      </c>
      <c r="J31" s="414">
        <v>7</v>
      </c>
      <c r="K31" s="414">
        <v>9</v>
      </c>
      <c r="L31" s="414">
        <v>12</v>
      </c>
      <c r="M31" s="417">
        <v>15</v>
      </c>
      <c r="N31" s="414">
        <v>140</v>
      </c>
      <c r="O31" s="414">
        <v>180</v>
      </c>
      <c r="P31" s="414">
        <v>240</v>
      </c>
      <c r="Q31" s="417">
        <v>300</v>
      </c>
      <c r="R31" s="414">
        <v>15</v>
      </c>
      <c r="S31" s="414">
        <v>20</v>
      </c>
      <c r="T31" s="418">
        <v>25</v>
      </c>
      <c r="U31" s="423">
        <v>30</v>
      </c>
      <c r="V31" s="420" t="s">
        <v>3404</v>
      </c>
      <c r="W31" s="420" t="s">
        <v>3405</v>
      </c>
      <c r="X31" s="420" t="s">
        <v>3406</v>
      </c>
      <c r="Y31" s="420" t="s">
        <v>3407</v>
      </c>
      <c r="Z31" s="421" t="s">
        <v>3408</v>
      </c>
    </row>
    <row r="32" spans="2:26" ht="12.75" customHeight="1" x14ac:dyDescent="0.2">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3409</v>
      </c>
      <c r="W32" s="420" t="s">
        <v>3410</v>
      </c>
      <c r="X32" s="420" t="s">
        <v>3411</v>
      </c>
      <c r="Y32" s="420" t="s">
        <v>3412</v>
      </c>
      <c r="Z32" s="421" t="s">
        <v>3413</v>
      </c>
    </row>
    <row r="33" spans="2:26" ht="12.75" customHeight="1" x14ac:dyDescent="0.2">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3414</v>
      </c>
      <c r="W33" s="420" t="s">
        <v>3415</v>
      </c>
      <c r="X33" s="420" t="s">
        <v>3416</v>
      </c>
      <c r="Y33" s="420" t="s">
        <v>3417</v>
      </c>
      <c r="Z33" s="421" t="s">
        <v>3418</v>
      </c>
    </row>
    <row r="34" spans="2:26" ht="12.75" customHeight="1" x14ac:dyDescent="0.2">
      <c r="B34" s="266" t="str">
        <f t="shared" si="0"/>
        <v>Luz70</v>
      </c>
      <c r="C34" s="422"/>
      <c r="D34" s="287" t="s">
        <v>280</v>
      </c>
      <c r="E34" s="414" t="s">
        <v>1708</v>
      </c>
      <c r="F34" s="414">
        <v>70</v>
      </c>
      <c r="G34" s="415" t="s">
        <v>1389</v>
      </c>
      <c r="H34" s="415" t="s">
        <v>3298</v>
      </c>
      <c r="I34" s="416" t="s">
        <v>1312</v>
      </c>
      <c r="J34" s="414">
        <v>10</v>
      </c>
      <c r="K34" s="414">
        <v>12</v>
      </c>
      <c r="L34" s="414">
        <v>14</v>
      </c>
      <c r="M34" s="417">
        <v>16</v>
      </c>
      <c r="N34" s="414">
        <v>140</v>
      </c>
      <c r="O34" s="414">
        <v>200</v>
      </c>
      <c r="P34" s="414">
        <v>2880</v>
      </c>
      <c r="Q34" s="417">
        <v>360</v>
      </c>
      <c r="R34" s="414">
        <v>5</v>
      </c>
      <c r="S34" s="414">
        <v>10</v>
      </c>
      <c r="T34" s="418">
        <v>10</v>
      </c>
      <c r="U34" s="423">
        <v>15</v>
      </c>
      <c r="V34" s="420" t="s">
        <v>3419</v>
      </c>
      <c r="W34" s="420" t="s">
        <v>3420</v>
      </c>
      <c r="X34" s="420" t="s">
        <v>3421</v>
      </c>
      <c r="Y34" s="420" t="s">
        <v>3422</v>
      </c>
      <c r="Z34" s="421" t="s">
        <v>3423</v>
      </c>
    </row>
    <row r="35" spans="2:26" ht="12.75" customHeight="1" x14ac:dyDescent="0.2">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3424</v>
      </c>
      <c r="W35" s="420" t="s">
        <v>3425</v>
      </c>
      <c r="X35" s="420" t="s">
        <v>3426</v>
      </c>
      <c r="Y35" s="420" t="s">
        <v>3427</v>
      </c>
      <c r="Z35" s="421" t="s">
        <v>3428</v>
      </c>
    </row>
    <row r="36" spans="2:26" ht="12.75" customHeight="1" x14ac:dyDescent="0.2">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3429</v>
      </c>
      <c r="W36" s="420" t="s">
        <v>3430</v>
      </c>
      <c r="X36" s="420" t="s">
        <v>3431</v>
      </c>
      <c r="Y36" s="420" t="s">
        <v>3432</v>
      </c>
      <c r="Z36" s="421" t="s">
        <v>3433</v>
      </c>
    </row>
    <row r="37" spans="2:26" ht="12.75" customHeight="1" x14ac:dyDescent="0.2">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3434</v>
      </c>
      <c r="W37" s="420" t="s">
        <v>3435</v>
      </c>
      <c r="X37" s="420" t="s">
        <v>3436</v>
      </c>
      <c r="Y37" s="420" t="s">
        <v>3437</v>
      </c>
      <c r="Z37" s="421" t="s">
        <v>3438</v>
      </c>
    </row>
    <row r="38" spans="2:26" ht="12.75" customHeight="1" x14ac:dyDescent="0.2">
      <c r="B38" s="266" t="str">
        <f t="shared" si="0"/>
        <v>Luz80</v>
      </c>
      <c r="C38" s="422"/>
      <c r="D38" s="287" t="s">
        <v>284</v>
      </c>
      <c r="E38" s="414" t="s">
        <v>1708</v>
      </c>
      <c r="F38" s="414">
        <v>80</v>
      </c>
      <c r="G38" s="415" t="s">
        <v>2121</v>
      </c>
      <c r="H38" s="415" t="s">
        <v>3439</v>
      </c>
      <c r="I38" s="416" t="s">
        <v>1312</v>
      </c>
      <c r="J38" s="414">
        <v>12</v>
      </c>
      <c r="K38" s="414">
        <v>14</v>
      </c>
      <c r="L38" s="414">
        <v>16</v>
      </c>
      <c r="M38" s="417">
        <v>18</v>
      </c>
      <c r="N38" s="414">
        <v>300</v>
      </c>
      <c r="O38" s="414">
        <v>400</v>
      </c>
      <c r="P38" s="414">
        <v>500</v>
      </c>
      <c r="Q38" s="417">
        <v>750</v>
      </c>
      <c r="R38" s="414">
        <v>60</v>
      </c>
      <c r="S38" s="414">
        <v>65</v>
      </c>
      <c r="T38" s="418">
        <v>70</v>
      </c>
      <c r="U38" s="423">
        <v>80</v>
      </c>
      <c r="V38" s="420" t="s">
        <v>3409</v>
      </c>
      <c r="W38" s="420" t="s">
        <v>3440</v>
      </c>
      <c r="X38" s="420" t="s">
        <v>3441</v>
      </c>
      <c r="Y38" s="420" t="s">
        <v>3442</v>
      </c>
      <c r="Z38" s="421" t="s">
        <v>7309</v>
      </c>
    </row>
    <row r="39" spans="2:26" ht="12.75" customHeight="1" x14ac:dyDescent="0.2">
      <c r="B39" s="266" t="str">
        <f t="shared" si="0"/>
        <v>Luz82</v>
      </c>
      <c r="C39" s="422"/>
      <c r="D39" s="287" t="s">
        <v>285</v>
      </c>
      <c r="E39" s="414" t="s">
        <v>1708</v>
      </c>
      <c r="F39" s="414">
        <v>82</v>
      </c>
      <c r="G39" s="415" t="s">
        <v>2121</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3443</v>
      </c>
      <c r="W39" s="420" t="s">
        <v>3444</v>
      </c>
      <c r="X39" s="420" t="s">
        <v>3445</v>
      </c>
      <c r="Y39" s="420" t="s">
        <v>3446</v>
      </c>
      <c r="Z39" s="421" t="s">
        <v>3447</v>
      </c>
    </row>
    <row r="40" spans="2:26" ht="12.75" customHeight="1" x14ac:dyDescent="0.2">
      <c r="B40" s="266" t="str">
        <f t="shared" si="0"/>
        <v>Luz86</v>
      </c>
      <c r="C40" s="422"/>
      <c r="D40" s="287" t="s">
        <v>286</v>
      </c>
      <c r="E40" s="414" t="s">
        <v>1708</v>
      </c>
      <c r="F40" s="414">
        <v>86</v>
      </c>
      <c r="G40" s="415" t="s">
        <v>2121</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3448</v>
      </c>
      <c r="W40" s="420" t="s">
        <v>3449</v>
      </c>
      <c r="X40" s="420" t="s">
        <v>3450</v>
      </c>
      <c r="Y40" s="420" t="s">
        <v>3451</v>
      </c>
      <c r="Z40" s="421" t="s">
        <v>3452</v>
      </c>
    </row>
    <row r="41" spans="2:26" ht="12.75" customHeight="1" x14ac:dyDescent="0.2">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3453</v>
      </c>
      <c r="W41" s="420" t="s">
        <v>3454</v>
      </c>
      <c r="X41" s="420" t="s">
        <v>3455</v>
      </c>
      <c r="Y41" s="420" t="s">
        <v>3456</v>
      </c>
      <c r="Z41" s="421" t="s">
        <v>3457</v>
      </c>
    </row>
    <row r="42" spans="2:26" ht="12.75" customHeight="1" x14ac:dyDescent="0.2">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3458</v>
      </c>
      <c r="W42" s="420" t="s">
        <v>3459</v>
      </c>
      <c r="X42" s="420" t="s">
        <v>3460</v>
      </c>
      <c r="Y42" s="420" t="s">
        <v>3461</v>
      </c>
      <c r="Z42" s="421" t="s">
        <v>3462</v>
      </c>
    </row>
    <row r="43" spans="2:26" ht="12.75" customHeight="1" x14ac:dyDescent="0.2">
      <c r="B43" s="266" t="str">
        <f t="shared" si="0"/>
        <v>Luz92</v>
      </c>
      <c r="C43" s="422"/>
      <c r="D43" s="287" t="s">
        <v>289</v>
      </c>
      <c r="E43" s="414" t="s">
        <v>1708</v>
      </c>
      <c r="F43" s="414">
        <v>92</v>
      </c>
      <c r="G43" s="415" t="s">
        <v>2121</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3463</v>
      </c>
      <c r="W43" s="420" t="s">
        <v>3464</v>
      </c>
      <c r="X43" s="420" t="s">
        <v>3465</v>
      </c>
      <c r="Y43" s="420" t="s">
        <v>3466</v>
      </c>
      <c r="Z43" s="421" t="s">
        <v>3467</v>
      </c>
    </row>
    <row r="44" spans="2:26" ht="12.75" customHeight="1" x14ac:dyDescent="0.2">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3468</v>
      </c>
      <c r="W44" s="420" t="s">
        <v>3469</v>
      </c>
      <c r="X44" s="420" t="s">
        <v>3470</v>
      </c>
      <c r="Y44" s="420" t="s">
        <v>3458</v>
      </c>
      <c r="Z44" s="424" t="s">
        <v>3471</v>
      </c>
    </row>
    <row r="45" spans="2:26" ht="12.75" customHeight="1" x14ac:dyDescent="0.2">
      <c r="B45" s="266" t="str">
        <f t="shared" si="0"/>
        <v>Luz98</v>
      </c>
      <c r="C45" s="422"/>
      <c r="D45" s="287" t="s">
        <v>291</v>
      </c>
      <c r="E45" s="414" t="s">
        <v>1708</v>
      </c>
      <c r="F45" s="414">
        <v>98</v>
      </c>
      <c r="G45" s="415" t="s">
        <v>2121</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3472</v>
      </c>
      <c r="W45" s="420" t="s">
        <v>3473</v>
      </c>
      <c r="X45" s="420" t="s">
        <v>3474</v>
      </c>
      <c r="Y45" s="420" t="s">
        <v>3475</v>
      </c>
      <c r="Z45" s="421" t="s">
        <v>3476</v>
      </c>
    </row>
    <row r="46" spans="2:26" ht="12.75" customHeight="1" x14ac:dyDescent="0.2">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3477</v>
      </c>
      <c r="W46" s="420" t="s">
        <v>3478</v>
      </c>
      <c r="X46" s="420" t="s">
        <v>3479</v>
      </c>
      <c r="Y46" s="420" t="s">
        <v>3480</v>
      </c>
      <c r="Z46" s="421" t="s">
        <v>3481</v>
      </c>
    </row>
    <row r="47" spans="2:26" ht="12.75" customHeight="1" x14ac:dyDescent="0.2">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2:26" ht="12.75" customHeight="1" x14ac:dyDescent="0.2">
      <c r="B48" s="266" t="str">
        <f t="shared" si="0"/>
        <v>Oscuridad2</v>
      </c>
      <c r="C48" s="422"/>
      <c r="D48" s="287" t="s">
        <v>294</v>
      </c>
      <c r="E48" s="414" t="s">
        <v>1709</v>
      </c>
      <c r="F48" s="414">
        <v>2</v>
      </c>
      <c r="G48" s="415" t="s">
        <v>2121</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3482</v>
      </c>
      <c r="W48" s="420" t="s">
        <v>3483</v>
      </c>
      <c r="X48" s="420" t="s">
        <v>3484</v>
      </c>
      <c r="Y48" s="420" t="s">
        <v>3485</v>
      </c>
      <c r="Z48" s="421" t="s">
        <v>3486</v>
      </c>
    </row>
    <row r="49" spans="2:26" ht="12.75" customHeight="1" x14ac:dyDescent="0.2">
      <c r="B49" s="266" t="str">
        <f t="shared" si="0"/>
        <v>Oscuridad6</v>
      </c>
      <c r="C49" s="422"/>
      <c r="D49" s="287" t="s">
        <v>10009</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3487</v>
      </c>
      <c r="W49" s="420" t="s">
        <v>3488</v>
      </c>
      <c r="X49" s="420" t="s">
        <v>3489</v>
      </c>
      <c r="Y49" s="420" t="s">
        <v>3490</v>
      </c>
      <c r="Z49" s="421" t="s">
        <v>3491</v>
      </c>
    </row>
    <row r="50" spans="2:26" ht="12.75" customHeight="1" x14ac:dyDescent="0.2">
      <c r="B50" s="266" t="str">
        <f t="shared" si="0"/>
        <v>Oscuridad8</v>
      </c>
      <c r="C50" s="422"/>
      <c r="D50" s="287" t="s">
        <v>10010</v>
      </c>
      <c r="E50" s="414" t="s">
        <v>1709</v>
      </c>
      <c r="F50" s="414">
        <v>8</v>
      </c>
      <c r="G50" s="415" t="s">
        <v>2121</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3492</v>
      </c>
      <c r="W50" s="420" t="s">
        <v>3493</v>
      </c>
      <c r="X50" s="420" t="s">
        <v>3494</v>
      </c>
      <c r="Y50" s="420" t="s">
        <v>3495</v>
      </c>
      <c r="Z50" s="421" t="s">
        <v>3496</v>
      </c>
    </row>
    <row r="51" spans="2:26" ht="12.75" customHeight="1" x14ac:dyDescent="0.2">
      <c r="B51" s="266" t="str">
        <f t="shared" si="0"/>
        <v>Oscuridad10</v>
      </c>
      <c r="C51" s="422"/>
      <c r="D51" s="287" t="s">
        <v>10011</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3304</v>
      </c>
      <c r="W51" s="420" t="s">
        <v>3305</v>
      </c>
      <c r="X51" s="420" t="s">
        <v>3306</v>
      </c>
      <c r="Y51" s="420" t="s">
        <v>3307</v>
      </c>
      <c r="Z51" s="421" t="s">
        <v>3497</v>
      </c>
    </row>
    <row r="52" spans="2:26" ht="12.75" customHeight="1" x14ac:dyDescent="0.2">
      <c r="B52" s="266" t="str">
        <f t="shared" si="0"/>
        <v>Oscuridad12</v>
      </c>
      <c r="C52" s="422"/>
      <c r="D52" s="287" t="s">
        <v>2093</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3498</v>
      </c>
      <c r="W52" s="420" t="s">
        <v>3499</v>
      </c>
      <c r="X52" s="420" t="s">
        <v>3500</v>
      </c>
      <c r="Y52" s="420" t="s">
        <v>3501</v>
      </c>
      <c r="Z52" s="421" t="s">
        <v>3502</v>
      </c>
    </row>
    <row r="53" spans="2:26" ht="12.75" customHeight="1" x14ac:dyDescent="0.2">
      <c r="B53" s="266" t="str">
        <f t="shared" si="0"/>
        <v>Oscuridad16</v>
      </c>
      <c r="C53" s="422"/>
      <c r="D53" s="287" t="s">
        <v>10012</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3314</v>
      </c>
      <c r="W53" s="420" t="s">
        <v>3315</v>
      </c>
      <c r="X53" s="420" t="s">
        <v>3503</v>
      </c>
      <c r="Y53" s="420" t="s">
        <v>3504</v>
      </c>
      <c r="Z53" s="421" t="s">
        <v>3505</v>
      </c>
    </row>
    <row r="54" spans="2:26" ht="12.75" customHeight="1" x14ac:dyDescent="0.2">
      <c r="B54" s="266" t="str">
        <f t="shared" si="0"/>
        <v>Oscuridad18</v>
      </c>
      <c r="C54" s="422"/>
      <c r="D54" s="287" t="s">
        <v>10013</v>
      </c>
      <c r="E54" s="414" t="s">
        <v>1709</v>
      </c>
      <c r="F54" s="414">
        <v>18</v>
      </c>
      <c r="G54" s="415" t="s">
        <v>1389</v>
      </c>
      <c r="H54" s="415" t="s">
        <v>3506</v>
      </c>
      <c r="I54" s="416" t="s">
        <v>1312</v>
      </c>
      <c r="J54" s="414">
        <v>6</v>
      </c>
      <c r="K54" s="414">
        <v>9</v>
      </c>
      <c r="L54" s="414">
        <v>12</v>
      </c>
      <c r="M54" s="417">
        <v>15</v>
      </c>
      <c r="N54" s="414">
        <v>60</v>
      </c>
      <c r="O54" s="414">
        <v>100</v>
      </c>
      <c r="P54" s="414">
        <v>150</v>
      </c>
      <c r="Q54" s="417">
        <v>250</v>
      </c>
      <c r="R54" s="414">
        <v>10</v>
      </c>
      <c r="S54" s="414">
        <v>10</v>
      </c>
      <c r="T54" s="418">
        <v>15</v>
      </c>
      <c r="U54" s="423">
        <v>15</v>
      </c>
      <c r="V54" s="420" t="s">
        <v>3319</v>
      </c>
      <c r="W54" s="420" t="s">
        <v>3507</v>
      </c>
      <c r="X54" s="420" t="s">
        <v>3508</v>
      </c>
      <c r="Y54" s="420" t="s">
        <v>3322</v>
      </c>
      <c r="Z54" s="421" t="s">
        <v>3509</v>
      </c>
    </row>
    <row r="55" spans="2:26" ht="12.75" customHeight="1" x14ac:dyDescent="0.2">
      <c r="B55" s="266" t="str">
        <f t="shared" si="0"/>
        <v>Oscuridad20</v>
      </c>
      <c r="C55" s="422"/>
      <c r="D55" s="287" t="s">
        <v>10014</v>
      </c>
      <c r="E55" s="414" t="s">
        <v>1709</v>
      </c>
      <c r="F55" s="414">
        <v>20</v>
      </c>
      <c r="G55" s="415" t="s">
        <v>2121</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3510</v>
      </c>
      <c r="W55" s="420" t="s">
        <v>3511</v>
      </c>
      <c r="X55" s="420" t="s">
        <v>3512</v>
      </c>
      <c r="Y55" s="420" t="s">
        <v>3513</v>
      </c>
      <c r="Z55" s="421" t="s">
        <v>3514</v>
      </c>
    </row>
    <row r="56" spans="2:26" ht="12.75" customHeight="1" x14ac:dyDescent="0.2">
      <c r="B56" s="266" t="str">
        <f t="shared" si="0"/>
        <v>Oscuridad22</v>
      </c>
      <c r="C56" s="422"/>
      <c r="D56" s="287" t="s">
        <v>10015</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3329</v>
      </c>
      <c r="W56" s="420" t="s">
        <v>3330</v>
      </c>
      <c r="X56" s="420" t="s">
        <v>3515</v>
      </c>
      <c r="Y56" s="420" t="s">
        <v>3516</v>
      </c>
      <c r="Z56" s="421" t="s">
        <v>3517</v>
      </c>
    </row>
    <row r="57" spans="2:26" ht="12.75" customHeight="1" x14ac:dyDescent="0.2">
      <c r="B57" s="266" t="str">
        <f t="shared" si="0"/>
        <v>Oscuridad26</v>
      </c>
      <c r="C57" s="422"/>
      <c r="D57" s="287" t="s">
        <v>10016</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3518</v>
      </c>
      <c r="W57" s="420" t="s">
        <v>3519</v>
      </c>
      <c r="X57" s="420" t="s">
        <v>3520</v>
      </c>
      <c r="Y57" s="420" t="s">
        <v>3521</v>
      </c>
      <c r="Z57" s="421" t="s">
        <v>3522</v>
      </c>
    </row>
    <row r="58" spans="2:26" ht="12.75" customHeight="1" x14ac:dyDescent="0.2">
      <c r="B58" s="266" t="str">
        <f t="shared" si="0"/>
        <v>Oscuridad28</v>
      </c>
      <c r="C58" s="422"/>
      <c r="D58" s="287" t="s">
        <v>10017</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3339</v>
      </c>
      <c r="W58" s="420" t="s">
        <v>3340</v>
      </c>
      <c r="X58" s="420" t="s">
        <v>3341</v>
      </c>
      <c r="Y58" s="420" t="s">
        <v>3342</v>
      </c>
      <c r="Z58" s="421" t="s">
        <v>3523</v>
      </c>
    </row>
    <row r="59" spans="2:26" ht="12.75" customHeight="1" x14ac:dyDescent="0.2">
      <c r="B59" s="266" t="str">
        <f t="shared" si="0"/>
        <v>Oscuridad30</v>
      </c>
      <c r="C59" s="422"/>
      <c r="D59" s="287" t="s">
        <v>10018</v>
      </c>
      <c r="E59" s="414" t="s">
        <v>1709</v>
      </c>
      <c r="F59" s="414">
        <v>30</v>
      </c>
      <c r="G59" s="415" t="s">
        <v>1389</v>
      </c>
      <c r="H59" s="415" t="s">
        <v>3506</v>
      </c>
      <c r="I59" s="416" t="s">
        <v>1312</v>
      </c>
      <c r="J59" s="414">
        <v>6</v>
      </c>
      <c r="K59" s="414">
        <v>9</v>
      </c>
      <c r="L59" s="414">
        <v>12</v>
      </c>
      <c r="M59" s="417">
        <v>16</v>
      </c>
      <c r="N59" s="414">
        <v>50</v>
      </c>
      <c r="O59" s="414">
        <v>150</v>
      </c>
      <c r="P59" s="414">
        <v>250</v>
      </c>
      <c r="Q59" s="417">
        <v>350</v>
      </c>
      <c r="R59" s="414">
        <v>5</v>
      </c>
      <c r="S59" s="414">
        <v>20</v>
      </c>
      <c r="T59" s="418">
        <v>25</v>
      </c>
      <c r="U59" s="423">
        <v>30</v>
      </c>
      <c r="V59" s="420" t="s">
        <v>3344</v>
      </c>
      <c r="W59" s="420" t="s">
        <v>3345</v>
      </c>
      <c r="X59" s="420" t="s">
        <v>3524</v>
      </c>
      <c r="Y59" s="420" t="s">
        <v>3347</v>
      </c>
      <c r="Z59" s="421" t="s">
        <v>3525</v>
      </c>
    </row>
    <row r="60" spans="2:26" ht="12.75" customHeight="1" x14ac:dyDescent="0.2">
      <c r="B60" s="266" t="str">
        <f t="shared" si="0"/>
        <v>Oscuridad32</v>
      </c>
      <c r="C60" s="422"/>
      <c r="D60" s="287" t="s">
        <v>10019</v>
      </c>
      <c r="E60" s="414" t="s">
        <v>1709</v>
      </c>
      <c r="F60" s="414">
        <v>32</v>
      </c>
      <c r="G60" s="415" t="s">
        <v>2121</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3526</v>
      </c>
      <c r="W60" s="420" t="s">
        <v>3527</v>
      </c>
      <c r="X60" s="420" t="s">
        <v>3528</v>
      </c>
      <c r="Y60" s="420" t="s">
        <v>3529</v>
      </c>
      <c r="Z60" s="421" t="s">
        <v>3530</v>
      </c>
    </row>
    <row r="61" spans="2:26" ht="12.75" customHeight="1" x14ac:dyDescent="0.2">
      <c r="B61" s="266" t="str">
        <f t="shared" si="0"/>
        <v>Oscuridad36</v>
      </c>
      <c r="C61" s="422"/>
      <c r="D61" s="287" t="s">
        <v>295</v>
      </c>
      <c r="E61" s="414" t="s">
        <v>1709</v>
      </c>
      <c r="F61" s="414">
        <v>36</v>
      </c>
      <c r="G61" s="415" t="s">
        <v>2121</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3531</v>
      </c>
      <c r="W61" s="420" t="s">
        <v>3532</v>
      </c>
      <c r="X61" s="420" t="s">
        <v>3533</v>
      </c>
      <c r="Y61" s="420" t="s">
        <v>3534</v>
      </c>
      <c r="Z61" s="421" t="s">
        <v>3535</v>
      </c>
    </row>
    <row r="62" spans="2:26" ht="12.75" customHeight="1" x14ac:dyDescent="0.2">
      <c r="B62" s="266" t="str">
        <f t="shared" si="0"/>
        <v>Oscuridad38</v>
      </c>
      <c r="C62" s="422"/>
      <c r="D62" s="287" t="s">
        <v>10020</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3536</v>
      </c>
      <c r="W62" s="420" t="s">
        <v>3537</v>
      </c>
      <c r="X62" s="420" t="s">
        <v>3538</v>
      </c>
      <c r="Y62" s="420" t="s">
        <v>3539</v>
      </c>
      <c r="Z62" s="421" t="s">
        <v>3540</v>
      </c>
    </row>
    <row r="63" spans="2:26" ht="12.75" customHeight="1" x14ac:dyDescent="0.2">
      <c r="B63" s="266" t="str">
        <f t="shared" si="0"/>
        <v>Oscuridad40</v>
      </c>
      <c r="C63" s="422"/>
      <c r="D63" s="287" t="s">
        <v>10021</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3364</v>
      </c>
      <c r="W63" s="420" t="s">
        <v>3365</v>
      </c>
      <c r="X63" s="420" t="s">
        <v>3366</v>
      </c>
      <c r="Y63" s="420" t="s">
        <v>3367</v>
      </c>
      <c r="Z63" s="421" t="s">
        <v>3541</v>
      </c>
    </row>
    <row r="64" spans="2:26" ht="12.75" customHeight="1" x14ac:dyDescent="0.2">
      <c r="B64" s="266" t="str">
        <f t="shared" si="0"/>
        <v>Oscuridad42</v>
      </c>
      <c r="C64" s="422"/>
      <c r="D64" s="287" t="s">
        <v>10022</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3542</v>
      </c>
      <c r="W64" s="420" t="s">
        <v>3543</v>
      </c>
      <c r="X64" s="420" t="s">
        <v>3544</v>
      </c>
      <c r="Y64" s="420" t="s">
        <v>3545</v>
      </c>
      <c r="Z64" s="421" t="s">
        <v>3546</v>
      </c>
    </row>
    <row r="65" spans="2:26" ht="12.75" customHeight="1" x14ac:dyDescent="0.2">
      <c r="B65" s="266" t="str">
        <f t="shared" si="0"/>
        <v>Oscuridad46</v>
      </c>
      <c r="C65" s="422"/>
      <c r="D65" s="287" t="s">
        <v>10023</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3547</v>
      </c>
      <c r="W65" s="420" t="s">
        <v>3375</v>
      </c>
      <c r="X65" s="420" t="s">
        <v>3376</v>
      </c>
      <c r="Y65" s="420" t="s">
        <v>3377</v>
      </c>
      <c r="Z65" s="421" t="s">
        <v>3548</v>
      </c>
    </row>
    <row r="66" spans="2:26" ht="12.75" customHeight="1" x14ac:dyDescent="0.2">
      <c r="B66" s="266" t="str">
        <f t="shared" si="0"/>
        <v>Oscuridad48</v>
      </c>
      <c r="C66" s="422"/>
      <c r="D66" s="287" t="s">
        <v>10025</v>
      </c>
      <c r="E66" s="414" t="s">
        <v>1709</v>
      </c>
      <c r="F66" s="414">
        <v>48</v>
      </c>
      <c r="G66" s="415" t="s">
        <v>2121</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3549</v>
      </c>
      <c r="W66" s="420" t="s">
        <v>3550</v>
      </c>
      <c r="X66" s="420" t="s">
        <v>3551</v>
      </c>
      <c r="Y66" s="420" t="s">
        <v>3552</v>
      </c>
      <c r="Z66" s="421" t="s">
        <v>3553</v>
      </c>
    </row>
    <row r="67" spans="2:26" ht="12.75" customHeight="1" x14ac:dyDescent="0.2">
      <c r="B67" s="266" t="str">
        <f t="shared" si="0"/>
        <v>Oscuridad50</v>
      </c>
      <c r="C67" s="422"/>
      <c r="D67" s="287" t="s">
        <v>10024</v>
      </c>
      <c r="E67" s="414" t="s">
        <v>1709</v>
      </c>
      <c r="F67" s="414">
        <v>50</v>
      </c>
      <c r="G67" s="415" t="s">
        <v>2121</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3384</v>
      </c>
      <c r="W67" s="420" t="s">
        <v>3385</v>
      </c>
      <c r="X67" s="420" t="s">
        <v>3386</v>
      </c>
      <c r="Y67" s="420" t="s">
        <v>3387</v>
      </c>
      <c r="Z67" s="421" t="s">
        <v>7310</v>
      </c>
    </row>
    <row r="68" spans="2:26" ht="12.75" customHeight="1" x14ac:dyDescent="0.2">
      <c r="B68" s="266" t="str">
        <f t="shared" si="0"/>
        <v>Oscuridad52</v>
      </c>
      <c r="C68" s="422"/>
      <c r="D68" s="287" t="s">
        <v>10026</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3388</v>
      </c>
      <c r="W68" s="420" t="s">
        <v>3389</v>
      </c>
      <c r="X68" s="420" t="s">
        <v>3554</v>
      </c>
      <c r="Y68" s="420" t="s">
        <v>3555</v>
      </c>
      <c r="Z68" s="421" t="s">
        <v>3556</v>
      </c>
    </row>
    <row r="69" spans="2:26" ht="12.75" customHeight="1" x14ac:dyDescent="0.2">
      <c r="B69" s="266" t="str">
        <f t="shared" si="0"/>
        <v>Oscuridad56</v>
      </c>
      <c r="C69" s="422"/>
      <c r="D69" s="287" t="s">
        <v>10027</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3557</v>
      </c>
      <c r="W69" s="420" t="s">
        <v>3558</v>
      </c>
      <c r="X69" s="420" t="s">
        <v>3559</v>
      </c>
      <c r="Y69" s="420" t="s">
        <v>3560</v>
      </c>
      <c r="Z69" s="421" t="s">
        <v>3561</v>
      </c>
    </row>
    <row r="70" spans="2:26" ht="12.75" customHeight="1" x14ac:dyDescent="0.2">
      <c r="B70" s="266" t="str">
        <f t="shared" si="0"/>
        <v>Oscuridad58</v>
      </c>
      <c r="C70" s="422"/>
      <c r="D70" s="287" t="s">
        <v>10028</v>
      </c>
      <c r="E70" s="414" t="s">
        <v>1709</v>
      </c>
      <c r="F70" s="414">
        <v>58</v>
      </c>
      <c r="G70" s="415" t="s">
        <v>2121</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3562</v>
      </c>
      <c r="W70" s="420" t="s">
        <v>3399</v>
      </c>
      <c r="X70" s="420" t="s">
        <v>3563</v>
      </c>
      <c r="Y70" s="420" t="s">
        <v>3401</v>
      </c>
      <c r="Z70" s="421" t="s">
        <v>3564</v>
      </c>
    </row>
    <row r="71" spans="2:26" ht="12.75" customHeight="1" x14ac:dyDescent="0.2">
      <c r="B71" s="266" t="str">
        <f t="shared" si="0"/>
        <v>Oscuridad60</v>
      </c>
      <c r="C71" s="422"/>
      <c r="D71" s="287" t="s">
        <v>10029</v>
      </c>
      <c r="E71" s="414" t="s">
        <v>1709</v>
      </c>
      <c r="F71" s="414">
        <v>60</v>
      </c>
      <c r="G71" s="415" t="s">
        <v>2121</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3565</v>
      </c>
      <c r="W71" s="420" t="s">
        <v>3566</v>
      </c>
      <c r="X71" s="420" t="s">
        <v>3567</v>
      </c>
      <c r="Y71" s="420" t="s">
        <v>3568</v>
      </c>
      <c r="Z71" s="421" t="s">
        <v>3569</v>
      </c>
    </row>
    <row r="72" spans="2:26" ht="12.75" customHeight="1" x14ac:dyDescent="0.2">
      <c r="B72" s="266" t="str">
        <f t="shared" ref="B72:B135" si="1">E72&amp;F72</f>
        <v>Oscuridad62</v>
      </c>
      <c r="C72" s="422"/>
      <c r="D72" s="287" t="s">
        <v>10030</v>
      </c>
      <c r="E72" s="414" t="s">
        <v>1709</v>
      </c>
      <c r="F72" s="414">
        <v>62</v>
      </c>
      <c r="G72" s="415" t="s">
        <v>2121</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3404</v>
      </c>
      <c r="W72" s="420" t="s">
        <v>3405</v>
      </c>
      <c r="X72" s="420" t="s">
        <v>3406</v>
      </c>
      <c r="Y72" s="420" t="s">
        <v>3407</v>
      </c>
      <c r="Z72" s="421" t="s">
        <v>3570</v>
      </c>
    </row>
    <row r="73" spans="2:26" ht="12.75" customHeight="1" x14ac:dyDescent="0.2">
      <c r="B73" s="266" t="str">
        <f t="shared" si="1"/>
        <v>Oscuridad66</v>
      </c>
      <c r="C73" s="422"/>
      <c r="D73" s="287" t="s">
        <v>10031</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3571</v>
      </c>
      <c r="W73" s="420" t="s">
        <v>3572</v>
      </c>
      <c r="X73" s="420" t="s">
        <v>3573</v>
      </c>
      <c r="Y73" s="420" t="s">
        <v>3574</v>
      </c>
      <c r="Z73" s="421" t="s">
        <v>3575</v>
      </c>
    </row>
    <row r="74" spans="2:26" ht="12.75" customHeight="1" x14ac:dyDescent="0.2">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3576</v>
      </c>
      <c r="W74" s="420" t="s">
        <v>3577</v>
      </c>
      <c r="X74" s="420" t="s">
        <v>3578</v>
      </c>
      <c r="Y74" s="420" t="s">
        <v>3579</v>
      </c>
      <c r="Z74" s="421" t="s">
        <v>3580</v>
      </c>
    </row>
    <row r="75" spans="2:26" ht="12.75" customHeight="1" x14ac:dyDescent="0.2">
      <c r="B75" s="266" t="str">
        <f t="shared" si="1"/>
        <v>Oscuridad70</v>
      </c>
      <c r="C75" s="422"/>
      <c r="D75" s="287" t="s">
        <v>10032</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3419</v>
      </c>
      <c r="W75" s="420" t="s">
        <v>3420</v>
      </c>
      <c r="X75" s="420" t="s">
        <v>3581</v>
      </c>
      <c r="Y75" s="420" t="s">
        <v>3422</v>
      </c>
      <c r="Z75" s="421" t="s">
        <v>3582</v>
      </c>
    </row>
    <row r="76" spans="2:26" ht="12.75" customHeight="1" x14ac:dyDescent="0.2">
      <c r="B76" s="266" t="str">
        <f t="shared" si="1"/>
        <v>Oscuridad72</v>
      </c>
      <c r="C76" s="422"/>
      <c r="D76" s="287" t="s">
        <v>10033</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3424</v>
      </c>
      <c r="W76" s="420" t="s">
        <v>3425</v>
      </c>
      <c r="X76" s="420" t="s">
        <v>3426</v>
      </c>
      <c r="Y76" s="420" t="s">
        <v>3583</v>
      </c>
      <c r="Z76" s="421" t="s">
        <v>3584</v>
      </c>
    </row>
    <row r="77" spans="2:26" ht="12.75" customHeight="1" x14ac:dyDescent="0.2">
      <c r="B77" s="266" t="str">
        <f t="shared" si="1"/>
        <v>Oscuridad76</v>
      </c>
      <c r="C77" s="422"/>
      <c r="D77" s="287" t="s">
        <v>10034</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3585</v>
      </c>
      <c r="W77" s="420" t="s">
        <v>3430</v>
      </c>
      <c r="X77" s="420" t="s">
        <v>3431</v>
      </c>
      <c r="Y77" s="420" t="s">
        <v>3432</v>
      </c>
      <c r="Z77" s="421" t="s">
        <v>3586</v>
      </c>
    </row>
    <row r="78" spans="2:26" ht="12.75" customHeight="1" x14ac:dyDescent="0.2">
      <c r="B78" s="266" t="str">
        <f t="shared" si="1"/>
        <v>Oscuridad78</v>
      </c>
      <c r="C78" s="422"/>
      <c r="D78" s="287" t="s">
        <v>10035</v>
      </c>
      <c r="E78" s="414" t="s">
        <v>1709</v>
      </c>
      <c r="F78" s="414">
        <v>78</v>
      </c>
      <c r="G78" s="415" t="s">
        <v>1389</v>
      </c>
      <c r="H78" s="415" t="s">
        <v>3506</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3434</v>
      </c>
      <c r="W78" s="420" t="s">
        <v>3435</v>
      </c>
      <c r="X78" s="420" t="s">
        <v>3436</v>
      </c>
      <c r="Y78" s="420" t="s">
        <v>3437</v>
      </c>
      <c r="Z78" s="421" t="s">
        <v>3587</v>
      </c>
    </row>
    <row r="79" spans="2:26" ht="12.75" customHeight="1" x14ac:dyDescent="0.2">
      <c r="B79" s="266" t="str">
        <f t="shared" si="1"/>
        <v>Oscuridad80</v>
      </c>
      <c r="C79" s="422"/>
      <c r="D79" s="287" t="s">
        <v>10036</v>
      </c>
      <c r="E79" s="414" t="s">
        <v>1709</v>
      </c>
      <c r="F79" s="414">
        <v>80</v>
      </c>
      <c r="G79" s="415" t="s">
        <v>2121</v>
      </c>
      <c r="H79" s="415" t="s">
        <v>3506</v>
      </c>
      <c r="I79" s="416" t="s">
        <v>1312</v>
      </c>
      <c r="J79" s="414">
        <v>12</v>
      </c>
      <c r="K79" s="414">
        <v>14</v>
      </c>
      <c r="L79" s="414">
        <v>16</v>
      </c>
      <c r="M79" s="417">
        <v>18</v>
      </c>
      <c r="N79" s="414">
        <v>300</v>
      </c>
      <c r="O79" s="414">
        <v>400</v>
      </c>
      <c r="P79" s="414">
        <v>500</v>
      </c>
      <c r="Q79" s="417">
        <v>750</v>
      </c>
      <c r="R79" s="414">
        <v>60</v>
      </c>
      <c r="S79" s="414">
        <v>65</v>
      </c>
      <c r="T79" s="418">
        <v>70</v>
      </c>
      <c r="U79" s="423">
        <v>80</v>
      </c>
      <c r="V79" s="420" t="s">
        <v>3409</v>
      </c>
      <c r="W79" s="420" t="s">
        <v>3588</v>
      </c>
      <c r="X79" s="420" t="s">
        <v>3589</v>
      </c>
      <c r="Y79" s="420" t="s">
        <v>3442</v>
      </c>
      <c r="Z79" s="421" t="s">
        <v>7311</v>
      </c>
    </row>
    <row r="80" spans="2:26" ht="12.75" customHeight="1" x14ac:dyDescent="0.2">
      <c r="B80" s="266" t="str">
        <f t="shared" si="1"/>
        <v>Oscuridad82</v>
      </c>
      <c r="C80" s="422"/>
      <c r="D80" s="287" t="s">
        <v>10037</v>
      </c>
      <c r="E80" s="414" t="s">
        <v>1709</v>
      </c>
      <c r="F80" s="414">
        <v>82</v>
      </c>
      <c r="G80" s="415" t="s">
        <v>2121</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3443</v>
      </c>
      <c r="W80" s="420" t="s">
        <v>3590</v>
      </c>
      <c r="X80" s="420" t="s">
        <v>3445</v>
      </c>
      <c r="Y80" s="420" t="s">
        <v>3446</v>
      </c>
      <c r="Z80" s="421" t="s">
        <v>3591</v>
      </c>
    </row>
    <row r="81" spans="2:26" ht="12.75" customHeight="1" x14ac:dyDescent="0.2">
      <c r="B81" s="266" t="str">
        <f t="shared" si="1"/>
        <v>Oscuridad86</v>
      </c>
      <c r="C81" s="422"/>
      <c r="D81" s="287" t="s">
        <v>10038</v>
      </c>
      <c r="E81" s="414" t="s">
        <v>1709</v>
      </c>
      <c r="F81" s="414">
        <v>86</v>
      </c>
      <c r="G81" s="415" t="s">
        <v>2121</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3592</v>
      </c>
      <c r="W81" s="420" t="s">
        <v>3593</v>
      </c>
      <c r="X81" s="420" t="s">
        <v>3594</v>
      </c>
      <c r="Y81" s="420" t="s">
        <v>3595</v>
      </c>
      <c r="Z81" s="421" t="s">
        <v>3596</v>
      </c>
    </row>
    <row r="82" spans="2:26" ht="12.75" customHeight="1" x14ac:dyDescent="0.2">
      <c r="B82" s="266" t="str">
        <f t="shared" si="1"/>
        <v>Oscuridad88</v>
      </c>
      <c r="C82" s="422"/>
      <c r="D82" s="287" t="s">
        <v>10039</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3597</v>
      </c>
      <c r="W82" s="420" t="s">
        <v>3485</v>
      </c>
      <c r="X82" s="420" t="s">
        <v>3598</v>
      </c>
      <c r="Y82" s="420" t="s">
        <v>3599</v>
      </c>
      <c r="Z82" s="421" t="s">
        <v>3600</v>
      </c>
    </row>
    <row r="83" spans="2:26" ht="12.75" customHeight="1" x14ac:dyDescent="0.2">
      <c r="B83" s="266" t="str">
        <f t="shared" si="1"/>
        <v>Oscuridad90</v>
      </c>
      <c r="C83" s="422"/>
      <c r="D83" s="287" t="s">
        <v>1689</v>
      </c>
      <c r="E83" s="414" t="s">
        <v>1709</v>
      </c>
      <c r="F83" s="414">
        <v>90</v>
      </c>
      <c r="G83" s="415" t="s">
        <v>2121</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3601</v>
      </c>
      <c r="W83" s="420" t="s">
        <v>3602</v>
      </c>
      <c r="X83" s="420" t="s">
        <v>3603</v>
      </c>
      <c r="Y83" s="420" t="s">
        <v>3604</v>
      </c>
      <c r="Z83" s="421" t="s">
        <v>3605</v>
      </c>
    </row>
    <row r="84" spans="2:26" ht="12.75" customHeight="1" x14ac:dyDescent="0.2">
      <c r="B84" s="266" t="str">
        <f t="shared" si="1"/>
        <v>Oscuridad92</v>
      </c>
      <c r="C84" s="422"/>
      <c r="D84" s="287" t="s">
        <v>10040</v>
      </c>
      <c r="E84" s="414" t="s">
        <v>1709</v>
      </c>
      <c r="F84" s="414">
        <v>92</v>
      </c>
      <c r="G84" s="415" t="s">
        <v>2121</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3463</v>
      </c>
      <c r="W84" s="420" t="s">
        <v>3464</v>
      </c>
      <c r="X84" s="420" t="s">
        <v>3465</v>
      </c>
      <c r="Y84" s="420" t="s">
        <v>3606</v>
      </c>
      <c r="Z84" s="421" t="s">
        <v>3607</v>
      </c>
    </row>
    <row r="85" spans="2:26" ht="12.75" customHeight="1" x14ac:dyDescent="0.2">
      <c r="B85" s="266" t="str">
        <f t="shared" si="1"/>
        <v>Oscuridad96</v>
      </c>
      <c r="C85" s="422"/>
      <c r="D85" s="287" t="s">
        <v>10041</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3468</v>
      </c>
      <c r="W85" s="420" t="s">
        <v>3469</v>
      </c>
      <c r="X85" s="420" t="s">
        <v>3470</v>
      </c>
      <c r="Y85" s="420" t="s">
        <v>3458</v>
      </c>
      <c r="Z85" s="421" t="s">
        <v>3608</v>
      </c>
    </row>
    <row r="86" spans="2:26" ht="12.75" customHeight="1" x14ac:dyDescent="0.2">
      <c r="B86" s="266" t="str">
        <f t="shared" si="1"/>
        <v>Oscuridad98</v>
      </c>
      <c r="C86" s="422"/>
      <c r="D86" s="287" t="s">
        <v>10042</v>
      </c>
      <c r="E86" s="414" t="s">
        <v>1709</v>
      </c>
      <c r="F86" s="414">
        <v>98</v>
      </c>
      <c r="G86" s="415" t="s">
        <v>2121</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3472</v>
      </c>
      <c r="W86" s="420" t="s">
        <v>3473</v>
      </c>
      <c r="X86" s="420" t="s">
        <v>3474</v>
      </c>
      <c r="Y86" s="420" t="s">
        <v>3475</v>
      </c>
      <c r="Z86" s="421" t="s">
        <v>3476</v>
      </c>
    </row>
    <row r="87" spans="2:26" ht="12.75" customHeight="1" x14ac:dyDescent="0.2">
      <c r="B87" s="266" t="str">
        <f t="shared" si="1"/>
        <v>Oscuridad100</v>
      </c>
      <c r="C87" s="422"/>
      <c r="D87" s="287" t="s">
        <v>10043</v>
      </c>
      <c r="E87" s="414" t="s">
        <v>1709</v>
      </c>
      <c r="F87" s="414">
        <v>100</v>
      </c>
      <c r="G87" s="415" t="s">
        <v>1389</v>
      </c>
      <c r="H87" s="415" t="s">
        <v>3609</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3477</v>
      </c>
      <c r="W87" s="420" t="s">
        <v>3478</v>
      </c>
      <c r="X87" s="420" t="s">
        <v>3479</v>
      </c>
      <c r="Y87" s="420" t="s">
        <v>3480</v>
      </c>
      <c r="Z87" s="421" t="s">
        <v>3610</v>
      </c>
    </row>
    <row r="88" spans="2:26" ht="12.75" customHeight="1" x14ac:dyDescent="0.2">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2:26" ht="12.75" customHeight="1" x14ac:dyDescent="0.2">
      <c r="B89" s="266" t="str">
        <f t="shared" si="1"/>
        <v>Creación2</v>
      </c>
      <c r="C89" s="422"/>
      <c r="D89" s="287" t="s">
        <v>10044</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3611</v>
      </c>
      <c r="W89" s="420" t="s">
        <v>3612</v>
      </c>
      <c r="X89" s="420" t="s">
        <v>3613</v>
      </c>
      <c r="Y89" s="420" t="s">
        <v>3614</v>
      </c>
      <c r="Z89" s="421" t="s">
        <v>3615</v>
      </c>
    </row>
    <row r="90" spans="2:26" ht="12.75" customHeight="1" x14ac:dyDescent="0.2">
      <c r="B90" s="266" t="str">
        <f t="shared" si="1"/>
        <v>Creación6</v>
      </c>
      <c r="C90" s="422"/>
      <c r="D90" s="287" t="s">
        <v>10045</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c r="S90" s="414"/>
      <c r="T90" s="418"/>
      <c r="U90" s="423"/>
      <c r="V90" s="420" t="s">
        <v>3616</v>
      </c>
      <c r="W90" s="420" t="s">
        <v>3617</v>
      </c>
      <c r="X90" s="420" t="s">
        <v>3618</v>
      </c>
      <c r="Y90" s="420" t="s">
        <v>3619</v>
      </c>
      <c r="Z90" s="421" t="s">
        <v>3620</v>
      </c>
    </row>
    <row r="91" spans="2:26" ht="12.75" customHeight="1" x14ac:dyDescent="0.2">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3621</v>
      </c>
      <c r="W91" s="420" t="s">
        <v>3622</v>
      </c>
      <c r="X91" s="420" t="s">
        <v>3623</v>
      </c>
      <c r="Y91" s="420" t="s">
        <v>3624</v>
      </c>
      <c r="Z91" s="421" t="s">
        <v>3625</v>
      </c>
    </row>
    <row r="92" spans="2:26" ht="12.75" customHeight="1" x14ac:dyDescent="0.2">
      <c r="B92" s="266" t="str">
        <f t="shared" si="1"/>
        <v>Creación10</v>
      </c>
      <c r="C92" s="422"/>
      <c r="D92" s="287" t="s">
        <v>1376</v>
      </c>
      <c r="E92" s="414" t="s">
        <v>1715</v>
      </c>
      <c r="F92" s="414">
        <v>10</v>
      </c>
      <c r="G92" s="415" t="s">
        <v>2121</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3626</v>
      </c>
      <c r="W92" s="420" t="s">
        <v>3627</v>
      </c>
      <c r="X92" s="420" t="s">
        <v>3628</v>
      </c>
      <c r="Y92" s="420" t="s">
        <v>3629</v>
      </c>
      <c r="Z92" s="421" t="s">
        <v>3630</v>
      </c>
    </row>
    <row r="93" spans="2:26" ht="12.75" customHeight="1" x14ac:dyDescent="0.2">
      <c r="B93" s="266" t="str">
        <f t="shared" si="1"/>
        <v>Creación12</v>
      </c>
      <c r="C93" s="422"/>
      <c r="D93" s="287" t="s">
        <v>10046</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3631</v>
      </c>
      <c r="W93" s="420" t="s">
        <v>3632</v>
      </c>
      <c r="X93" s="420" t="s">
        <v>3633</v>
      </c>
      <c r="Y93" s="420" t="s">
        <v>3634</v>
      </c>
      <c r="Z93" s="421" t="s">
        <v>3635</v>
      </c>
    </row>
    <row r="94" spans="2:26" ht="12.75" customHeight="1" x14ac:dyDescent="0.2">
      <c r="B94" s="266" t="str">
        <f t="shared" si="1"/>
        <v>Creación16</v>
      </c>
      <c r="C94" s="422"/>
      <c r="D94" s="287" t="s">
        <v>10047</v>
      </c>
      <c r="E94" s="414" t="s">
        <v>1715</v>
      </c>
      <c r="F94" s="414">
        <v>16</v>
      </c>
      <c r="G94" s="415" t="s">
        <v>2121</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3636</v>
      </c>
      <c r="W94" s="420" t="s">
        <v>3637</v>
      </c>
      <c r="X94" s="420" t="s">
        <v>3638</v>
      </c>
      <c r="Y94" s="420" t="s">
        <v>3639</v>
      </c>
      <c r="Z94" s="421" t="s">
        <v>3640</v>
      </c>
    </row>
    <row r="95" spans="2:26" ht="12.75" customHeight="1" x14ac:dyDescent="0.2">
      <c r="B95" s="266" t="str">
        <f t="shared" si="1"/>
        <v>Creación18</v>
      </c>
      <c r="C95" s="422"/>
      <c r="D95" s="287" t="s">
        <v>10048</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3641</v>
      </c>
      <c r="W95" s="420" t="s">
        <v>3642</v>
      </c>
      <c r="X95" s="420" t="s">
        <v>3643</v>
      </c>
      <c r="Y95" s="420" t="s">
        <v>3644</v>
      </c>
      <c r="Z95" s="421" t="s">
        <v>3645</v>
      </c>
    </row>
    <row r="96" spans="2:26" ht="12.75" customHeight="1" x14ac:dyDescent="0.2">
      <c r="B96" s="266" t="str">
        <f t="shared" si="1"/>
        <v>Creación20</v>
      </c>
      <c r="C96" s="422"/>
      <c r="D96" s="287" t="s">
        <v>6642</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c r="S96" s="414"/>
      <c r="T96" s="418"/>
      <c r="U96" s="423"/>
      <c r="V96" s="420" t="s">
        <v>3646</v>
      </c>
      <c r="W96" s="420" t="s">
        <v>3647</v>
      </c>
      <c r="X96" s="420" t="s">
        <v>3648</v>
      </c>
      <c r="Y96" s="420" t="s">
        <v>3649</v>
      </c>
      <c r="Z96" s="421" t="s">
        <v>3650</v>
      </c>
    </row>
    <row r="97" spans="2:26" ht="12.75" customHeight="1" x14ac:dyDescent="0.2">
      <c r="B97" s="266" t="str">
        <f t="shared" si="1"/>
        <v>Creación22</v>
      </c>
      <c r="C97" s="422"/>
      <c r="D97" s="287" t="s">
        <v>7600</v>
      </c>
      <c r="E97" s="414" t="s">
        <v>1715</v>
      </c>
      <c r="F97" s="414">
        <v>22</v>
      </c>
      <c r="G97" s="415" t="s">
        <v>2121</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3651</v>
      </c>
      <c r="W97" s="420" t="s">
        <v>3652</v>
      </c>
      <c r="X97" s="420" t="s">
        <v>3653</v>
      </c>
      <c r="Y97" s="420" t="s">
        <v>3654</v>
      </c>
      <c r="Z97" s="421" t="s">
        <v>3655</v>
      </c>
    </row>
    <row r="98" spans="2:26" ht="12.75" customHeight="1" x14ac:dyDescent="0.2">
      <c r="B98" s="266" t="str">
        <f t="shared" si="1"/>
        <v>Creación26</v>
      </c>
      <c r="C98" s="422"/>
      <c r="D98" s="287" t="s">
        <v>10049</v>
      </c>
      <c r="E98" s="414" t="s">
        <v>1715</v>
      </c>
      <c r="F98" s="414">
        <v>26</v>
      </c>
      <c r="G98" s="415" t="s">
        <v>2121</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3656</v>
      </c>
      <c r="W98" s="420" t="s">
        <v>3657</v>
      </c>
      <c r="X98" s="420" t="s">
        <v>3658</v>
      </c>
      <c r="Y98" s="420" t="s">
        <v>3659</v>
      </c>
      <c r="Z98" s="421" t="s">
        <v>3660</v>
      </c>
    </row>
    <row r="99" spans="2:26" ht="12.75" customHeight="1" x14ac:dyDescent="0.2">
      <c r="B99" s="266" t="str">
        <f t="shared" si="1"/>
        <v>Creación28</v>
      </c>
      <c r="C99" s="422"/>
      <c r="D99" s="287" t="s">
        <v>10050</v>
      </c>
      <c r="E99" s="414" t="s">
        <v>1715</v>
      </c>
      <c r="F99" s="414">
        <v>28</v>
      </c>
      <c r="G99" s="415" t="s">
        <v>2121</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3661</v>
      </c>
      <c r="W99" s="420" t="s">
        <v>3662</v>
      </c>
      <c r="X99" s="420" t="s">
        <v>3663</v>
      </c>
      <c r="Y99" s="420" t="s">
        <v>3664</v>
      </c>
      <c r="Z99" s="421" t="s">
        <v>3665</v>
      </c>
    </row>
    <row r="100" spans="2:26" ht="12.75" customHeight="1" x14ac:dyDescent="0.2">
      <c r="B100" s="266" t="str">
        <f t="shared" si="1"/>
        <v>Creación30</v>
      </c>
      <c r="C100" s="422"/>
      <c r="D100" s="287" t="s">
        <v>10051</v>
      </c>
      <c r="E100" s="414" t="s">
        <v>1715</v>
      </c>
      <c r="F100" s="414">
        <v>30</v>
      </c>
      <c r="G100" s="415" t="s">
        <v>2121</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3632</v>
      </c>
      <c r="W100" s="420" t="s">
        <v>3492</v>
      </c>
      <c r="X100" s="420" t="s">
        <v>3666</v>
      </c>
      <c r="Y100" s="420" t="s">
        <v>3667</v>
      </c>
      <c r="Z100" s="421" t="s">
        <v>3668</v>
      </c>
    </row>
    <row r="101" spans="2:26" ht="12.75" customHeight="1" x14ac:dyDescent="0.2">
      <c r="B101" s="266" t="str">
        <f t="shared" si="1"/>
        <v>Creación32</v>
      </c>
      <c r="C101" s="422"/>
      <c r="D101" s="287" t="s">
        <v>195</v>
      </c>
      <c r="E101" s="414" t="s">
        <v>1715</v>
      </c>
      <c r="F101" s="414">
        <v>32</v>
      </c>
      <c r="G101" s="415" t="s">
        <v>2121</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3669</v>
      </c>
      <c r="W101" s="420" t="s">
        <v>3670</v>
      </c>
      <c r="X101" s="420" t="s">
        <v>3671</v>
      </c>
      <c r="Y101" s="420" t="s">
        <v>3672</v>
      </c>
      <c r="Z101" s="421" t="s">
        <v>3673</v>
      </c>
    </row>
    <row r="102" spans="2:26" ht="12.75" customHeight="1" x14ac:dyDescent="0.2">
      <c r="B102" s="266" t="str">
        <f t="shared" si="1"/>
        <v>Creación36</v>
      </c>
      <c r="C102" s="422"/>
      <c r="D102" s="287" t="s">
        <v>7609</v>
      </c>
      <c r="E102" s="414" t="s">
        <v>1715</v>
      </c>
      <c r="F102" s="414">
        <v>36</v>
      </c>
      <c r="G102" s="415"/>
      <c r="H102" s="415" t="s">
        <v>3298</v>
      </c>
      <c r="I102" s="416" t="s">
        <v>1313</v>
      </c>
      <c r="J102" s="414">
        <v>8</v>
      </c>
      <c r="K102" s="414">
        <v>10</v>
      </c>
      <c r="L102" s="414">
        <v>12</v>
      </c>
      <c r="M102" s="417">
        <v>14</v>
      </c>
      <c r="N102" s="414">
        <v>80</v>
      </c>
      <c r="O102" s="414">
        <v>120</v>
      </c>
      <c r="P102" s="414">
        <v>160</v>
      </c>
      <c r="Q102" s="417">
        <v>240</v>
      </c>
      <c r="R102" s="414"/>
      <c r="S102" s="414"/>
      <c r="T102" s="418"/>
      <c r="U102" s="423" t="s">
        <v>3674</v>
      </c>
      <c r="V102" s="420" t="s">
        <v>3675</v>
      </c>
      <c r="W102" s="420" t="s">
        <v>3676</v>
      </c>
      <c r="X102" s="420" t="s">
        <v>3677</v>
      </c>
      <c r="Y102" s="420" t="s">
        <v>3678</v>
      </c>
      <c r="Z102" s="421" t="s">
        <v>3679</v>
      </c>
    </row>
    <row r="103" spans="2:26" ht="12.75" customHeight="1" x14ac:dyDescent="0.2">
      <c r="B103" s="266" t="str">
        <f t="shared" si="1"/>
        <v>Creación38</v>
      </c>
      <c r="C103" s="422"/>
      <c r="D103" s="287" t="s">
        <v>297</v>
      </c>
      <c r="E103" s="414" t="s">
        <v>1715</v>
      </c>
      <c r="F103" s="414">
        <v>38</v>
      </c>
      <c r="G103" s="415" t="s">
        <v>2121</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3680</v>
      </c>
      <c r="W103" s="420" t="s">
        <v>3681</v>
      </c>
      <c r="X103" s="420" t="s">
        <v>3682</v>
      </c>
      <c r="Y103" s="420" t="s">
        <v>3410</v>
      </c>
      <c r="Z103" s="421" t="s">
        <v>3683</v>
      </c>
    </row>
    <row r="104" spans="2:26" ht="12.75" customHeight="1" x14ac:dyDescent="0.2">
      <c r="B104" s="266" t="str">
        <f t="shared" si="1"/>
        <v>Creación40</v>
      </c>
      <c r="C104" s="422"/>
      <c r="D104" s="287" t="s">
        <v>298</v>
      </c>
      <c r="E104" s="414" t="s">
        <v>1715</v>
      </c>
      <c r="F104" s="414">
        <v>40</v>
      </c>
      <c r="G104" s="415"/>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3684</v>
      </c>
      <c r="W104" s="420" t="s">
        <v>3685</v>
      </c>
      <c r="X104" s="420" t="s">
        <v>3686</v>
      </c>
      <c r="Y104" s="420" t="s">
        <v>3687</v>
      </c>
      <c r="Z104" s="421" t="s">
        <v>3688</v>
      </c>
    </row>
    <row r="105" spans="2:26" ht="12.75" customHeight="1" x14ac:dyDescent="0.2">
      <c r="B105" s="266" t="str">
        <f t="shared" si="1"/>
        <v>Creación42</v>
      </c>
      <c r="C105" s="422"/>
      <c r="D105" s="287" t="s">
        <v>299</v>
      </c>
      <c r="E105" s="414" t="s">
        <v>1715</v>
      </c>
      <c r="F105" s="414">
        <v>42</v>
      </c>
      <c r="G105" s="415"/>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3689</v>
      </c>
      <c r="W105" s="420" t="s">
        <v>3690</v>
      </c>
      <c r="X105" s="420" t="s">
        <v>3691</v>
      </c>
      <c r="Y105" s="420" t="s">
        <v>3692</v>
      </c>
      <c r="Z105" s="421" t="s">
        <v>3693</v>
      </c>
    </row>
    <row r="106" spans="2:26" ht="12.75" customHeight="1" x14ac:dyDescent="0.2">
      <c r="B106" s="266" t="str">
        <f t="shared" si="1"/>
        <v>Creación46</v>
      </c>
      <c r="C106" s="422"/>
      <c r="D106" s="287" t="s">
        <v>10052</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c r="S106" s="414"/>
      <c r="T106" s="418"/>
      <c r="U106" s="423"/>
      <c r="V106" s="420" t="s">
        <v>3694</v>
      </c>
      <c r="W106" s="420" t="s">
        <v>3695</v>
      </c>
      <c r="X106" s="420" t="s">
        <v>3696</v>
      </c>
      <c r="Y106" s="420" t="s">
        <v>3697</v>
      </c>
      <c r="Z106" s="421" t="s">
        <v>3698</v>
      </c>
    </row>
    <row r="107" spans="2:26" ht="12.75" customHeight="1" x14ac:dyDescent="0.2">
      <c r="B107" s="266" t="str">
        <f t="shared" si="1"/>
        <v>Creación48</v>
      </c>
      <c r="C107" s="422"/>
      <c r="D107" s="287" t="s">
        <v>10053</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c r="S107" s="414"/>
      <c r="T107" s="418"/>
      <c r="U107" s="423"/>
      <c r="V107" s="420" t="s">
        <v>3699</v>
      </c>
      <c r="W107" s="420" t="s">
        <v>3700</v>
      </c>
      <c r="X107" s="420" t="s">
        <v>3701</v>
      </c>
      <c r="Y107" s="420" t="s">
        <v>3702</v>
      </c>
      <c r="Z107" s="421" t="s">
        <v>3703</v>
      </c>
    </row>
    <row r="108" spans="2:26" ht="12.75" customHeight="1" x14ac:dyDescent="0.2">
      <c r="B108" s="266" t="str">
        <f t="shared" si="1"/>
        <v>Creación50</v>
      </c>
      <c r="C108" s="422"/>
      <c r="D108" s="287" t="s">
        <v>10054</v>
      </c>
      <c r="E108" s="414" t="s">
        <v>1715</v>
      </c>
      <c r="F108" s="414">
        <v>50</v>
      </c>
      <c r="G108" s="415"/>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3704</v>
      </c>
      <c r="W108" s="420" t="s">
        <v>3705</v>
      </c>
      <c r="X108" s="420" t="s">
        <v>3706</v>
      </c>
      <c r="Y108" s="420" t="s">
        <v>3707</v>
      </c>
      <c r="Z108" s="421" t="s">
        <v>3708</v>
      </c>
    </row>
    <row r="109" spans="2:26" ht="12.75" customHeight="1" x14ac:dyDescent="0.2">
      <c r="B109" s="266" t="str">
        <f t="shared" si="1"/>
        <v>Creación52</v>
      </c>
      <c r="C109" s="422"/>
      <c r="D109" s="287" t="s">
        <v>10055</v>
      </c>
      <c r="E109" s="414" t="s">
        <v>1715</v>
      </c>
      <c r="F109" s="414">
        <v>52</v>
      </c>
      <c r="G109" s="415"/>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3709</v>
      </c>
      <c r="W109" s="420" t="s">
        <v>3710</v>
      </c>
      <c r="X109" s="420" t="s">
        <v>3711</v>
      </c>
      <c r="Y109" s="420" t="s">
        <v>3712</v>
      </c>
      <c r="Z109" s="421" t="s">
        <v>3713</v>
      </c>
    </row>
    <row r="110" spans="2:26" ht="12.75" customHeight="1" x14ac:dyDescent="0.2">
      <c r="B110" s="266" t="str">
        <f t="shared" si="1"/>
        <v>Creación56</v>
      </c>
      <c r="C110" s="422"/>
      <c r="D110" s="287" t="s">
        <v>10056</v>
      </c>
      <c r="E110" s="414" t="s">
        <v>1715</v>
      </c>
      <c r="F110" s="414">
        <v>56</v>
      </c>
      <c r="G110" s="415"/>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3714</v>
      </c>
      <c r="W110" s="420" t="s">
        <v>3715</v>
      </c>
      <c r="X110" s="420" t="s">
        <v>3716</v>
      </c>
      <c r="Y110" s="420" t="s">
        <v>3717</v>
      </c>
      <c r="Z110" s="421" t="s">
        <v>3718</v>
      </c>
    </row>
    <row r="111" spans="2:26" ht="12.75" customHeight="1" x14ac:dyDescent="0.2">
      <c r="B111" s="266" t="str">
        <f t="shared" si="1"/>
        <v>Creación58</v>
      </c>
      <c r="C111" s="422"/>
      <c r="D111" s="287" t="s">
        <v>10057</v>
      </c>
      <c r="E111" s="414" t="s">
        <v>1715</v>
      </c>
      <c r="F111" s="414">
        <v>58</v>
      </c>
      <c r="G111" s="415"/>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3719</v>
      </c>
      <c r="W111" s="420" t="s">
        <v>3681</v>
      </c>
      <c r="X111" s="420" t="s">
        <v>3682</v>
      </c>
      <c r="Y111" s="420" t="s">
        <v>3410</v>
      </c>
      <c r="Z111" s="421" t="s">
        <v>3720</v>
      </c>
    </row>
    <row r="112" spans="2:26" ht="12.75" customHeight="1" x14ac:dyDescent="0.2">
      <c r="B112" s="266" t="str">
        <f t="shared" si="1"/>
        <v>Creación60</v>
      </c>
      <c r="C112" s="422"/>
      <c r="D112" s="287" t="s">
        <v>10058</v>
      </c>
      <c r="E112" s="414" t="s">
        <v>1715</v>
      </c>
      <c r="F112" s="414">
        <v>60</v>
      </c>
      <c r="G112" s="415" t="s">
        <v>2121</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3721</v>
      </c>
      <c r="W112" s="420" t="s">
        <v>3722</v>
      </c>
      <c r="X112" s="420" t="s">
        <v>3723</v>
      </c>
      <c r="Y112" s="420" t="s">
        <v>3724</v>
      </c>
      <c r="Z112" s="421" t="s">
        <v>3725</v>
      </c>
    </row>
    <row r="113" spans="2:26" ht="12.75" customHeight="1" x14ac:dyDescent="0.2">
      <c r="B113" s="266" t="str">
        <f t="shared" si="1"/>
        <v>Creación62</v>
      </c>
      <c r="C113" s="422"/>
      <c r="D113" s="287" t="s">
        <v>10059</v>
      </c>
      <c r="E113" s="414" t="s">
        <v>1715</v>
      </c>
      <c r="F113" s="414">
        <v>62</v>
      </c>
      <c r="G113" s="415" t="s">
        <v>2121</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3726</v>
      </c>
      <c r="W113" s="420" t="s">
        <v>3727</v>
      </c>
      <c r="X113" s="420" t="s">
        <v>3728</v>
      </c>
      <c r="Y113" s="420" t="s">
        <v>3729</v>
      </c>
      <c r="Z113" s="421" t="s">
        <v>3730</v>
      </c>
    </row>
    <row r="114" spans="2:26" ht="12.75" customHeight="1" x14ac:dyDescent="0.2">
      <c r="B114" s="266" t="str">
        <f t="shared" si="1"/>
        <v>Creación66</v>
      </c>
      <c r="C114" s="422"/>
      <c r="D114" s="287" t="s">
        <v>10060</v>
      </c>
      <c r="E114" s="414" t="s">
        <v>1715</v>
      </c>
      <c r="F114" s="414">
        <v>66</v>
      </c>
      <c r="G114" s="415" t="s">
        <v>2121</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3634</v>
      </c>
      <c r="W114" s="420" t="s">
        <v>3492</v>
      </c>
      <c r="X114" s="420" t="s">
        <v>3666</v>
      </c>
      <c r="Y114" s="420" t="s">
        <v>3731</v>
      </c>
      <c r="Z114" s="421" t="s">
        <v>3732</v>
      </c>
    </row>
    <row r="115" spans="2:26" ht="12.75" customHeight="1" x14ac:dyDescent="0.2">
      <c r="B115" s="266" t="str">
        <f t="shared" si="1"/>
        <v>Creación68</v>
      </c>
      <c r="C115" s="422"/>
      <c r="D115" s="287" t="s">
        <v>10061</v>
      </c>
      <c r="E115" s="414" t="s">
        <v>1715</v>
      </c>
      <c r="F115" s="414">
        <v>68</v>
      </c>
      <c r="G115" s="415"/>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3733</v>
      </c>
      <c r="W115" s="420" t="s">
        <v>3734</v>
      </c>
      <c r="X115" s="420" t="s">
        <v>3735</v>
      </c>
      <c r="Y115" s="420" t="s">
        <v>3736</v>
      </c>
      <c r="Z115" s="424" t="s">
        <v>3737</v>
      </c>
    </row>
    <row r="116" spans="2:26" ht="12.75" customHeight="1" x14ac:dyDescent="0.2">
      <c r="B116" s="266" t="str">
        <f t="shared" si="1"/>
        <v>Creación70</v>
      </c>
      <c r="C116" s="422"/>
      <c r="D116" s="287" t="s">
        <v>10062</v>
      </c>
      <c r="E116" s="414" t="s">
        <v>1715</v>
      </c>
      <c r="F116" s="414">
        <v>70</v>
      </c>
      <c r="G116" s="415"/>
      <c r="H116" s="415" t="s">
        <v>1241</v>
      </c>
      <c r="I116" s="416" t="s">
        <v>1312</v>
      </c>
      <c r="J116" s="414">
        <v>9</v>
      </c>
      <c r="K116" s="414">
        <v>12</v>
      </c>
      <c r="L116" s="414">
        <v>15</v>
      </c>
      <c r="M116" s="417">
        <v>18</v>
      </c>
      <c r="N116" s="414">
        <v>250</v>
      </c>
      <c r="O116" s="414">
        <v>350</v>
      </c>
      <c r="P116" s="414">
        <v>500</v>
      </c>
      <c r="Q116" s="417">
        <v>800</v>
      </c>
      <c r="R116" s="414"/>
      <c r="S116" s="414"/>
      <c r="T116" s="418"/>
      <c r="U116" s="423" t="s">
        <v>3674</v>
      </c>
      <c r="V116" s="420" t="s">
        <v>3738</v>
      </c>
      <c r="W116" s="420" t="s">
        <v>3739</v>
      </c>
      <c r="X116" s="420" t="s">
        <v>3740</v>
      </c>
      <c r="Y116" s="420" t="s">
        <v>3741</v>
      </c>
      <c r="Z116" s="421" t="s">
        <v>3742</v>
      </c>
    </row>
    <row r="117" spans="2:26" ht="12.75" customHeight="1" x14ac:dyDescent="0.2">
      <c r="B117" s="266" t="str">
        <f t="shared" si="1"/>
        <v>Creación72</v>
      </c>
      <c r="C117" s="422"/>
      <c r="D117" s="287" t="s">
        <v>1</v>
      </c>
      <c r="E117" s="414" t="s">
        <v>1715</v>
      </c>
      <c r="F117" s="414">
        <v>72</v>
      </c>
      <c r="G117" s="415" t="s">
        <v>2121</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3719</v>
      </c>
      <c r="W117" s="420" t="s">
        <v>3681</v>
      </c>
      <c r="X117" s="420" t="s">
        <v>3577</v>
      </c>
      <c r="Y117" s="420" t="s">
        <v>3578</v>
      </c>
      <c r="Z117" s="421" t="s">
        <v>3743</v>
      </c>
    </row>
    <row r="118" spans="2:26" ht="12.75" customHeight="1" x14ac:dyDescent="0.2">
      <c r="B118" s="266" t="str">
        <f t="shared" si="1"/>
        <v>Creación76</v>
      </c>
      <c r="C118" s="422"/>
      <c r="D118" s="287" t="s">
        <v>10063</v>
      </c>
      <c r="E118" s="414" t="s">
        <v>1715</v>
      </c>
      <c r="F118" s="414">
        <v>76</v>
      </c>
      <c r="G118" s="415"/>
      <c r="H118" s="415" t="s">
        <v>1242</v>
      </c>
      <c r="I118" s="416" t="s">
        <v>1312</v>
      </c>
      <c r="J118" s="414">
        <v>8</v>
      </c>
      <c r="K118" s="414">
        <v>12</v>
      </c>
      <c r="L118" s="414">
        <v>15</v>
      </c>
      <c r="M118" s="417">
        <v>18</v>
      </c>
      <c r="N118" s="414">
        <v>300</v>
      </c>
      <c r="O118" s="414">
        <v>500</v>
      </c>
      <c r="P118" s="414">
        <v>750</v>
      </c>
      <c r="Q118" s="417">
        <v>1500</v>
      </c>
      <c r="R118" s="414"/>
      <c r="S118" s="414"/>
      <c r="T118" s="418"/>
      <c r="U118" s="423"/>
      <c r="V118" s="420" t="s">
        <v>3744</v>
      </c>
      <c r="W118" s="420" t="s">
        <v>3666</v>
      </c>
      <c r="X118" s="420" t="s">
        <v>3745</v>
      </c>
      <c r="Y118" s="420" t="s">
        <v>3746</v>
      </c>
      <c r="Z118" s="421" t="s">
        <v>3747</v>
      </c>
    </row>
    <row r="119" spans="2:26" ht="12.75" customHeight="1" x14ac:dyDescent="0.2">
      <c r="B119" s="266" t="str">
        <f t="shared" si="1"/>
        <v>Creación78</v>
      </c>
      <c r="C119" s="422"/>
      <c r="D119" s="287" t="s">
        <v>300</v>
      </c>
      <c r="E119" s="414" t="s">
        <v>1715</v>
      </c>
      <c r="F119" s="414">
        <v>78</v>
      </c>
      <c r="G119" s="415" t="s">
        <v>2121</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3748</v>
      </c>
      <c r="W119" s="420" t="s">
        <v>3749</v>
      </c>
      <c r="X119" s="420" t="s">
        <v>3750</v>
      </c>
      <c r="Y119" s="420" t="s">
        <v>3712</v>
      </c>
      <c r="Z119" s="421" t="s">
        <v>3751</v>
      </c>
    </row>
    <row r="120" spans="2:26" ht="12.75" customHeight="1" x14ac:dyDescent="0.2">
      <c r="B120" s="266" t="str">
        <f t="shared" si="1"/>
        <v>Creación80</v>
      </c>
      <c r="C120" s="422"/>
      <c r="D120" s="287" t="s">
        <v>10064</v>
      </c>
      <c r="E120" s="414" t="s">
        <v>1715</v>
      </c>
      <c r="F120" s="414">
        <v>80</v>
      </c>
      <c r="G120" s="415"/>
      <c r="H120" s="415" t="s">
        <v>1242</v>
      </c>
      <c r="I120" s="416" t="s">
        <v>1312</v>
      </c>
      <c r="J120" s="414">
        <v>10</v>
      </c>
      <c r="K120" s="414">
        <v>13</v>
      </c>
      <c r="L120" s="414">
        <v>15</v>
      </c>
      <c r="M120" s="417">
        <v>17</v>
      </c>
      <c r="N120" s="414">
        <v>250</v>
      </c>
      <c r="O120" s="414">
        <v>500</v>
      </c>
      <c r="P120" s="425">
        <v>1000</v>
      </c>
      <c r="Q120" s="426">
        <v>2500</v>
      </c>
      <c r="R120" s="414"/>
      <c r="S120" s="414"/>
      <c r="T120" s="418"/>
      <c r="U120" s="423" t="s">
        <v>3674</v>
      </c>
      <c r="V120" s="420" t="s">
        <v>3752</v>
      </c>
      <c r="W120" s="420" t="s">
        <v>3753</v>
      </c>
      <c r="X120" s="420" t="s">
        <v>3754</v>
      </c>
      <c r="Y120" s="420" t="s">
        <v>3755</v>
      </c>
      <c r="Z120" s="421" t="s">
        <v>3756</v>
      </c>
    </row>
    <row r="121" spans="2:26" ht="12.75" customHeight="1" x14ac:dyDescent="0.2">
      <c r="B121" s="266" t="str">
        <f t="shared" si="1"/>
        <v>Creación82</v>
      </c>
      <c r="C121" s="422"/>
      <c r="D121" s="287" t="s">
        <v>10065</v>
      </c>
      <c r="E121" s="414" t="s">
        <v>1715</v>
      </c>
      <c r="F121" s="414">
        <v>82</v>
      </c>
      <c r="G121" s="415" t="s">
        <v>2121</v>
      </c>
      <c r="H121" s="415" t="s">
        <v>3298</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3405</v>
      </c>
      <c r="W121" s="420" t="s">
        <v>3405</v>
      </c>
      <c r="X121" s="420" t="s">
        <v>3405</v>
      </c>
      <c r="Y121" s="420" t="s">
        <v>3405</v>
      </c>
      <c r="Z121" s="421" t="s">
        <v>3757</v>
      </c>
    </row>
    <row r="122" spans="2:26" ht="12.75" customHeight="1" x14ac:dyDescent="0.2">
      <c r="B122" s="266" t="str">
        <f t="shared" si="1"/>
        <v>Creación86</v>
      </c>
      <c r="C122" s="422"/>
      <c r="D122" s="287" t="s">
        <v>2882</v>
      </c>
      <c r="E122" s="414" t="s">
        <v>1715</v>
      </c>
      <c r="F122" s="414">
        <v>86</v>
      </c>
      <c r="G122" s="415"/>
      <c r="H122" s="415" t="s">
        <v>1242</v>
      </c>
      <c r="I122" s="416" t="s">
        <v>1312</v>
      </c>
      <c r="J122" s="414">
        <v>10</v>
      </c>
      <c r="K122" s="414">
        <v>12</v>
      </c>
      <c r="L122" s="414">
        <v>14</v>
      </c>
      <c r="M122" s="417">
        <v>16</v>
      </c>
      <c r="N122" s="414">
        <v>250</v>
      </c>
      <c r="O122" s="414">
        <v>500</v>
      </c>
      <c r="P122" s="414">
        <v>900</v>
      </c>
      <c r="Q122" s="417">
        <v>1600</v>
      </c>
      <c r="R122" s="414"/>
      <c r="S122" s="414"/>
      <c r="T122" s="418"/>
      <c r="U122" s="423"/>
      <c r="V122" s="420" t="s">
        <v>3758</v>
      </c>
      <c r="W122" s="420" t="s">
        <v>3759</v>
      </c>
      <c r="X122" s="420" t="s">
        <v>3760</v>
      </c>
      <c r="Y122" s="420" t="s">
        <v>3761</v>
      </c>
      <c r="Z122" s="421" t="s">
        <v>3762</v>
      </c>
    </row>
    <row r="123" spans="2:26" ht="12.75" customHeight="1" x14ac:dyDescent="0.2">
      <c r="B123" s="266" t="str">
        <f t="shared" si="1"/>
        <v>Creación88</v>
      </c>
      <c r="C123" s="422"/>
      <c r="D123" s="287" t="s">
        <v>10066</v>
      </c>
      <c r="E123" s="414" t="s">
        <v>1715</v>
      </c>
      <c r="F123" s="414">
        <v>88</v>
      </c>
      <c r="G123" s="415"/>
      <c r="H123" s="415" t="s">
        <v>1242</v>
      </c>
      <c r="I123" s="416" t="s">
        <v>1312</v>
      </c>
      <c r="J123" s="414">
        <v>13</v>
      </c>
      <c r="K123" s="414">
        <v>14</v>
      </c>
      <c r="L123" s="414">
        <v>15</v>
      </c>
      <c r="M123" s="417">
        <v>16</v>
      </c>
      <c r="N123" s="414">
        <v>500</v>
      </c>
      <c r="O123" s="414">
        <v>800</v>
      </c>
      <c r="P123" s="414">
        <v>1200</v>
      </c>
      <c r="Q123" s="417">
        <v>2000</v>
      </c>
      <c r="R123" s="414"/>
      <c r="S123" s="414"/>
      <c r="T123" s="418"/>
      <c r="U123" s="423"/>
      <c r="V123" s="420" t="s">
        <v>3632</v>
      </c>
      <c r="W123" s="420" t="s">
        <v>3634</v>
      </c>
      <c r="X123" s="420" t="s">
        <v>3492</v>
      </c>
      <c r="Y123" s="420" t="s">
        <v>3493</v>
      </c>
      <c r="Z123" s="421" t="s">
        <v>3763</v>
      </c>
    </row>
    <row r="124" spans="2:26" ht="12.75" customHeight="1" x14ac:dyDescent="0.2">
      <c r="B124" s="266" t="str">
        <f t="shared" si="1"/>
        <v>Creación90</v>
      </c>
      <c r="C124" s="422"/>
      <c r="D124" s="287" t="s">
        <v>10067</v>
      </c>
      <c r="E124" s="414" t="s">
        <v>1715</v>
      </c>
      <c r="F124" s="414">
        <v>90</v>
      </c>
      <c r="G124" s="415" t="s">
        <v>2121</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3764</v>
      </c>
      <c r="W124" s="420" t="s">
        <v>3765</v>
      </c>
      <c r="X124" s="420" t="s">
        <v>3766</v>
      </c>
      <c r="Y124" s="420" t="s">
        <v>3767</v>
      </c>
      <c r="Z124" s="421" t="s">
        <v>7295</v>
      </c>
    </row>
    <row r="125" spans="2:26" ht="12.75" customHeight="1" x14ac:dyDescent="0.2">
      <c r="B125" s="266" t="str">
        <f t="shared" si="1"/>
        <v>Creación92</v>
      </c>
      <c r="C125" s="422"/>
      <c r="D125" s="287" t="s">
        <v>10068</v>
      </c>
      <c r="E125" s="414" t="s">
        <v>1715</v>
      </c>
      <c r="F125" s="414">
        <v>92</v>
      </c>
      <c r="G125" s="415"/>
      <c r="H125" s="415" t="s">
        <v>1242</v>
      </c>
      <c r="I125" s="416" t="s">
        <v>1312</v>
      </c>
      <c r="J125" s="414">
        <v>12</v>
      </c>
      <c r="K125" s="414">
        <v>14</v>
      </c>
      <c r="L125" s="414">
        <v>16</v>
      </c>
      <c r="M125" s="417">
        <v>18</v>
      </c>
      <c r="N125" s="414">
        <v>600</v>
      </c>
      <c r="O125" s="414">
        <v>1000</v>
      </c>
      <c r="P125" s="414">
        <v>2500</v>
      </c>
      <c r="Q125" s="417">
        <v>5000</v>
      </c>
      <c r="R125" s="414"/>
      <c r="S125" s="414"/>
      <c r="T125" s="418"/>
      <c r="U125" s="423" t="s">
        <v>3674</v>
      </c>
      <c r="V125" s="420" t="s">
        <v>3768</v>
      </c>
      <c r="W125" s="420" t="s">
        <v>3769</v>
      </c>
      <c r="X125" s="420" t="s">
        <v>3770</v>
      </c>
      <c r="Y125" s="420" t="s">
        <v>3771</v>
      </c>
      <c r="Z125" s="421" t="s">
        <v>3772</v>
      </c>
    </row>
    <row r="126" spans="2:26" ht="12.75" customHeight="1" x14ac:dyDescent="0.2">
      <c r="B126" s="266" t="str">
        <f t="shared" si="1"/>
        <v>Creación96</v>
      </c>
      <c r="C126" s="422"/>
      <c r="D126" s="287" t="s">
        <v>10069</v>
      </c>
      <c r="E126" s="414" t="s">
        <v>1715</v>
      </c>
      <c r="F126" s="414">
        <v>96</v>
      </c>
      <c r="G126" s="415" t="s">
        <v>2121</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3773</v>
      </c>
      <c r="W126" s="420" t="s">
        <v>3774</v>
      </c>
      <c r="X126" s="420" t="s">
        <v>3775</v>
      </c>
      <c r="Y126" s="420" t="s">
        <v>3776</v>
      </c>
      <c r="Z126" s="421" t="s">
        <v>3777</v>
      </c>
    </row>
    <row r="127" spans="2:26" ht="12.75" customHeight="1" x14ac:dyDescent="0.2">
      <c r="B127" s="266" t="str">
        <f t="shared" si="1"/>
        <v>Creación98</v>
      </c>
      <c r="C127" s="422"/>
      <c r="D127" s="287" t="s">
        <v>10070</v>
      </c>
      <c r="E127" s="414" t="s">
        <v>1715</v>
      </c>
      <c r="F127" s="414">
        <v>98</v>
      </c>
      <c r="G127" s="415"/>
      <c r="H127" s="415" t="s">
        <v>1242</v>
      </c>
      <c r="I127" s="416" t="s">
        <v>1312</v>
      </c>
      <c r="J127" s="414">
        <v>16</v>
      </c>
      <c r="K127" s="414">
        <v>17</v>
      </c>
      <c r="L127" s="414">
        <v>18</v>
      </c>
      <c r="M127" s="417">
        <v>19</v>
      </c>
      <c r="N127" s="414">
        <v>800</v>
      </c>
      <c r="O127" s="414">
        <v>2000</v>
      </c>
      <c r="P127" s="414">
        <v>4000</v>
      </c>
      <c r="Q127" s="417">
        <v>8000</v>
      </c>
      <c r="R127" s="414"/>
      <c r="S127" s="414"/>
      <c r="T127" s="418"/>
      <c r="U127" s="423" t="s">
        <v>3674</v>
      </c>
      <c r="V127" s="420" t="s">
        <v>3778</v>
      </c>
      <c r="W127" s="420" t="s">
        <v>3779</v>
      </c>
      <c r="X127" s="420" t="s">
        <v>3780</v>
      </c>
      <c r="Y127" s="420" t="s">
        <v>3781</v>
      </c>
      <c r="Z127" s="421" t="s">
        <v>3782</v>
      </c>
    </row>
    <row r="128" spans="2:26" ht="12.75" customHeight="1" x14ac:dyDescent="0.2">
      <c r="B128" s="266" t="str">
        <f t="shared" si="1"/>
        <v>Creación100</v>
      </c>
      <c r="C128" s="422"/>
      <c r="D128" s="287" t="s">
        <v>10071</v>
      </c>
      <c r="E128" s="414" t="s">
        <v>1715</v>
      </c>
      <c r="F128" s="414">
        <v>100</v>
      </c>
      <c r="G128" s="415"/>
      <c r="H128" s="415" t="s">
        <v>1242</v>
      </c>
      <c r="I128" s="416" t="s">
        <v>1312</v>
      </c>
      <c r="J128" s="414">
        <v>17</v>
      </c>
      <c r="K128" s="414">
        <v>18</v>
      </c>
      <c r="L128" s="414">
        <v>19</v>
      </c>
      <c r="M128" s="417">
        <v>20</v>
      </c>
      <c r="N128" s="414">
        <v>1000</v>
      </c>
      <c r="O128" s="414">
        <v>3000</v>
      </c>
      <c r="P128" s="414">
        <v>6000</v>
      </c>
      <c r="Q128" s="417">
        <v>12000</v>
      </c>
      <c r="R128" s="414"/>
      <c r="S128" s="414"/>
      <c r="T128" s="418"/>
      <c r="U128" s="423" t="s">
        <v>3674</v>
      </c>
      <c r="V128" s="420" t="s">
        <v>3783</v>
      </c>
      <c r="W128" s="420" t="s">
        <v>3784</v>
      </c>
      <c r="X128" s="420" t="s">
        <v>3785</v>
      </c>
      <c r="Y128" s="420" t="s">
        <v>3786</v>
      </c>
      <c r="Z128" s="421" t="s">
        <v>3787</v>
      </c>
    </row>
    <row r="129" spans="2:26" ht="12.75" customHeight="1" x14ac:dyDescent="0.2">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2:26" ht="12.75" customHeight="1" x14ac:dyDescent="0.2">
      <c r="B130" s="266" t="str">
        <f t="shared" si="1"/>
        <v>Destrucción2</v>
      </c>
      <c r="C130" s="422"/>
      <c r="D130" s="287" t="s">
        <v>10072</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3788</v>
      </c>
      <c r="W130" s="420" t="s">
        <v>3789</v>
      </c>
      <c r="X130" s="420" t="s">
        <v>3790</v>
      </c>
      <c r="Y130" s="420" t="s">
        <v>3791</v>
      </c>
      <c r="Z130" s="421" t="s">
        <v>3792</v>
      </c>
    </row>
    <row r="131" spans="2:26" ht="12.75" customHeight="1" x14ac:dyDescent="0.2">
      <c r="B131" s="266" t="str">
        <f t="shared" si="1"/>
        <v>Destrucción6</v>
      </c>
      <c r="C131" s="422"/>
      <c r="D131" s="287" t="s">
        <v>10073</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3631</v>
      </c>
      <c r="W131" s="420" t="s">
        <v>3633</v>
      </c>
      <c r="X131" s="420" t="s">
        <v>3744</v>
      </c>
      <c r="Y131" s="420" t="s">
        <v>3492</v>
      </c>
      <c r="Z131" s="421" t="s">
        <v>3793</v>
      </c>
    </row>
    <row r="132" spans="2:26" ht="12.75" customHeight="1" x14ac:dyDescent="0.2">
      <c r="B132" s="266" t="str">
        <f t="shared" si="1"/>
        <v>Destrucción8</v>
      </c>
      <c r="C132" s="422"/>
      <c r="D132" s="287" t="s">
        <v>10074</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3794</v>
      </c>
      <c r="W132" s="420" t="s">
        <v>3795</v>
      </c>
      <c r="X132" s="420" t="s">
        <v>3796</v>
      </c>
      <c r="Y132" s="420" t="s">
        <v>3797</v>
      </c>
      <c r="Z132" s="421" t="s">
        <v>3798</v>
      </c>
    </row>
    <row r="133" spans="2:26" ht="12.75" customHeight="1" x14ac:dyDescent="0.2">
      <c r="B133" s="266" t="str">
        <f t="shared" si="1"/>
        <v>Destrucción10</v>
      </c>
      <c r="C133" s="422"/>
      <c r="D133" s="287" t="s">
        <v>10075</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3631</v>
      </c>
      <c r="W133" s="420" t="s">
        <v>3633</v>
      </c>
      <c r="X133" s="420" t="s">
        <v>3744</v>
      </c>
      <c r="Y133" s="420" t="s">
        <v>3492</v>
      </c>
      <c r="Z133" s="421" t="s">
        <v>3799</v>
      </c>
    </row>
    <row r="134" spans="2:26" ht="12.75" customHeight="1" x14ac:dyDescent="0.2">
      <c r="B134" s="266" t="str">
        <f t="shared" si="1"/>
        <v>Destrucción12</v>
      </c>
      <c r="C134" s="422"/>
      <c r="D134" s="287" t="s">
        <v>10076</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3800</v>
      </c>
      <c r="W134" s="420" t="s">
        <v>3801</v>
      </c>
      <c r="X134" s="420" t="s">
        <v>3802</v>
      </c>
      <c r="Y134" s="420" t="s">
        <v>3803</v>
      </c>
      <c r="Z134" s="421" t="s">
        <v>3804</v>
      </c>
    </row>
    <row r="135" spans="2:26" ht="12.75" customHeight="1" x14ac:dyDescent="0.2">
      <c r="B135" s="266" t="str">
        <f t="shared" si="1"/>
        <v>Destrucción16</v>
      </c>
      <c r="C135" s="422"/>
      <c r="D135" s="287" t="s">
        <v>10077</v>
      </c>
      <c r="E135" s="414" t="s">
        <v>1716</v>
      </c>
      <c r="F135" s="414">
        <v>16</v>
      </c>
      <c r="G135" s="415" t="s">
        <v>2121</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3805</v>
      </c>
      <c r="W135" s="420" t="s">
        <v>3806</v>
      </c>
      <c r="X135" s="420" t="s">
        <v>3807</v>
      </c>
      <c r="Y135" s="420" t="s">
        <v>3808</v>
      </c>
      <c r="Z135" s="421" t="s">
        <v>3809</v>
      </c>
    </row>
    <row r="136" spans="2:26" ht="12.75" customHeight="1" x14ac:dyDescent="0.2">
      <c r="B136" s="266" t="str">
        <f t="shared" ref="B136:B199" si="2">E136&amp;F136</f>
        <v>Destrucción18</v>
      </c>
      <c r="C136" s="422"/>
      <c r="D136" s="287" t="s">
        <v>10078</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3810</v>
      </c>
      <c r="W136" s="420" t="s">
        <v>3811</v>
      </c>
      <c r="X136" s="420" t="s">
        <v>3812</v>
      </c>
      <c r="Y136" s="420" t="s">
        <v>3813</v>
      </c>
      <c r="Z136" s="421" t="s">
        <v>3814</v>
      </c>
    </row>
    <row r="137" spans="2:26" ht="12.75" customHeight="1" x14ac:dyDescent="0.2">
      <c r="B137" s="266" t="str">
        <f t="shared" si="2"/>
        <v>Destrucción20</v>
      </c>
      <c r="C137" s="422"/>
      <c r="D137" s="287" t="s">
        <v>10079</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3815</v>
      </c>
      <c r="W137" s="420" t="s">
        <v>3816</v>
      </c>
      <c r="X137" s="420" t="s">
        <v>3817</v>
      </c>
      <c r="Y137" s="420" t="s">
        <v>3818</v>
      </c>
      <c r="Z137" s="421" t="s">
        <v>3819</v>
      </c>
    </row>
    <row r="138" spans="2:26" ht="12.75" customHeight="1" x14ac:dyDescent="0.2">
      <c r="B138" s="266" t="str">
        <f t="shared" si="2"/>
        <v>Destrucción22</v>
      </c>
      <c r="C138" s="422"/>
      <c r="D138" s="287" t="s">
        <v>10080</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3820</v>
      </c>
      <c r="S138" s="414" t="s">
        <v>1389</v>
      </c>
      <c r="T138" s="418" t="s">
        <v>1389</v>
      </c>
      <c r="U138" s="423" t="s">
        <v>1389</v>
      </c>
      <c r="V138" s="420" t="s">
        <v>3821</v>
      </c>
      <c r="W138" s="420" t="s">
        <v>3822</v>
      </c>
      <c r="X138" s="420" t="s">
        <v>3823</v>
      </c>
      <c r="Y138" s="420" t="s">
        <v>3824</v>
      </c>
      <c r="Z138" s="421" t="s">
        <v>3825</v>
      </c>
    </row>
    <row r="139" spans="2:26" ht="12.75" customHeight="1" x14ac:dyDescent="0.2">
      <c r="B139" s="266" t="str">
        <f t="shared" si="2"/>
        <v>Destrucción26</v>
      </c>
      <c r="C139" s="422"/>
      <c r="D139" s="287" t="s">
        <v>10081</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3826</v>
      </c>
      <c r="W139" s="420" t="s">
        <v>3827</v>
      </c>
      <c r="X139" s="420" t="s">
        <v>3828</v>
      </c>
      <c r="Y139" s="420" t="s">
        <v>3829</v>
      </c>
      <c r="Z139" s="421" t="s">
        <v>3830</v>
      </c>
    </row>
    <row r="140" spans="2:26" ht="12.75" customHeight="1" x14ac:dyDescent="0.2">
      <c r="B140" s="266" t="str">
        <f t="shared" si="2"/>
        <v>Destrucción28</v>
      </c>
      <c r="C140" s="422"/>
      <c r="D140" s="287" t="s">
        <v>10082</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3806</v>
      </c>
      <c r="W140" s="420" t="s">
        <v>3807</v>
      </c>
      <c r="X140" s="420" t="s">
        <v>3831</v>
      </c>
      <c r="Y140" s="420" t="s">
        <v>3832</v>
      </c>
      <c r="Z140" s="421" t="s">
        <v>3833</v>
      </c>
    </row>
    <row r="141" spans="2:26" ht="12.75" customHeight="1" x14ac:dyDescent="0.2">
      <c r="B141" s="266" t="str">
        <f t="shared" si="2"/>
        <v>Destrucción30</v>
      </c>
      <c r="C141" s="422"/>
      <c r="D141" s="287" t="s">
        <v>10083</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3834</v>
      </c>
      <c r="W141" s="420" t="s">
        <v>3835</v>
      </c>
      <c r="X141" s="420" t="s">
        <v>3836</v>
      </c>
      <c r="Y141" s="420" t="s">
        <v>3837</v>
      </c>
      <c r="Z141" s="421" t="s">
        <v>3838</v>
      </c>
    </row>
    <row r="142" spans="2:26" ht="12.75" customHeight="1" x14ac:dyDescent="0.2">
      <c r="B142" s="266" t="str">
        <f t="shared" si="2"/>
        <v>Destrucción32</v>
      </c>
      <c r="C142" s="422"/>
      <c r="D142" s="287" t="s">
        <v>10084</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3839</v>
      </c>
      <c r="W142" s="420" t="s">
        <v>3805</v>
      </c>
      <c r="X142" s="420" t="s">
        <v>3806</v>
      </c>
      <c r="Y142" s="420" t="s">
        <v>3831</v>
      </c>
      <c r="Z142" s="421" t="s">
        <v>3840</v>
      </c>
    </row>
    <row r="143" spans="2:26" ht="12.75" customHeight="1" x14ac:dyDescent="0.2">
      <c r="B143" s="266" t="str">
        <f t="shared" si="2"/>
        <v>Destrucción36</v>
      </c>
      <c r="C143" s="422"/>
      <c r="D143" s="287" t="s">
        <v>10085</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3820</v>
      </c>
      <c r="S143" s="414" t="s">
        <v>1389</v>
      </c>
      <c r="T143" s="418" t="s">
        <v>1389</v>
      </c>
      <c r="U143" s="423" t="s">
        <v>1389</v>
      </c>
      <c r="V143" s="420" t="s">
        <v>3841</v>
      </c>
      <c r="W143" s="420" t="s">
        <v>3516</v>
      </c>
      <c r="X143" s="420" t="s">
        <v>3842</v>
      </c>
      <c r="Y143" s="420" t="s">
        <v>3843</v>
      </c>
      <c r="Z143" s="421" t="s">
        <v>3844</v>
      </c>
    </row>
    <row r="144" spans="2:26" ht="12.75" customHeight="1" x14ac:dyDescent="0.2">
      <c r="B144" s="266" t="str">
        <f t="shared" si="2"/>
        <v>Destrucción38</v>
      </c>
      <c r="C144" s="422"/>
      <c r="D144" s="287" t="s">
        <v>10086</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3845</v>
      </c>
      <c r="S144" s="414" t="s">
        <v>1389</v>
      </c>
      <c r="T144" s="418" t="s">
        <v>1389</v>
      </c>
      <c r="U144" s="423" t="s">
        <v>1389</v>
      </c>
      <c r="V144" s="420" t="s">
        <v>3805</v>
      </c>
      <c r="W144" s="420" t="s">
        <v>3806</v>
      </c>
      <c r="X144" s="420" t="s">
        <v>3807</v>
      </c>
      <c r="Y144" s="420" t="s">
        <v>3808</v>
      </c>
      <c r="Z144" s="421" t="s">
        <v>3846</v>
      </c>
    </row>
    <row r="145" spans="2:26" ht="12.75" customHeight="1" x14ac:dyDescent="0.2">
      <c r="B145" s="266" t="str">
        <f t="shared" si="2"/>
        <v>Destrucción40</v>
      </c>
      <c r="C145" s="422"/>
      <c r="D145" s="287" t="s">
        <v>10087</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3805</v>
      </c>
      <c r="W145" s="420" t="s">
        <v>3807</v>
      </c>
      <c r="X145" s="420" t="s">
        <v>3808</v>
      </c>
      <c r="Y145" s="420" t="s">
        <v>3847</v>
      </c>
      <c r="Z145" s="421" t="s">
        <v>3848</v>
      </c>
    </row>
    <row r="146" spans="2:26" ht="12.75" customHeight="1" x14ac:dyDescent="0.2">
      <c r="B146" s="266" t="str">
        <f t="shared" si="2"/>
        <v>Destrucción42</v>
      </c>
      <c r="C146" s="422"/>
      <c r="D146" s="287" t="s">
        <v>10088</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3849</v>
      </c>
      <c r="W146" s="420" t="s">
        <v>3850</v>
      </c>
      <c r="X146" s="420" t="s">
        <v>3851</v>
      </c>
      <c r="Y146" s="420" t="s">
        <v>3852</v>
      </c>
      <c r="Z146" s="421" t="s">
        <v>3853</v>
      </c>
    </row>
    <row r="147" spans="2:26" ht="12.75" customHeight="1" x14ac:dyDescent="0.2">
      <c r="B147" s="266" t="str">
        <f t="shared" si="2"/>
        <v>Destrucción46</v>
      </c>
      <c r="C147" s="422"/>
      <c r="D147" s="287" t="s">
        <v>10089</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3854</v>
      </c>
      <c r="W147" s="420" t="s">
        <v>3855</v>
      </c>
      <c r="X147" s="420" t="s">
        <v>3856</v>
      </c>
      <c r="Y147" s="420" t="s">
        <v>3857</v>
      </c>
      <c r="Z147" s="421" t="s">
        <v>3858</v>
      </c>
    </row>
    <row r="148" spans="2:26" ht="12.75" customHeight="1" x14ac:dyDescent="0.2">
      <c r="B148" s="266" t="str">
        <f t="shared" si="2"/>
        <v>Destrucción48</v>
      </c>
      <c r="C148" s="422"/>
      <c r="D148" s="287" t="s">
        <v>10090</v>
      </c>
      <c r="E148" s="418" t="s">
        <v>1716</v>
      </c>
      <c r="F148" s="418">
        <v>48</v>
      </c>
      <c r="G148" s="427" t="s">
        <v>1389</v>
      </c>
      <c r="H148" s="427" t="s">
        <v>3298</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3859</v>
      </c>
      <c r="W148" s="420" t="s">
        <v>3860</v>
      </c>
      <c r="X148" s="420" t="s">
        <v>3861</v>
      </c>
      <c r="Y148" s="420" t="s">
        <v>3862</v>
      </c>
      <c r="Z148" s="421" t="s">
        <v>3863</v>
      </c>
    </row>
    <row r="149" spans="2:26" ht="12.75" customHeight="1" x14ac:dyDescent="0.2">
      <c r="B149" s="266" t="str">
        <f t="shared" si="2"/>
        <v>Destrucción50</v>
      </c>
      <c r="C149" s="422"/>
      <c r="D149" s="287" t="s">
        <v>10091</v>
      </c>
      <c r="E149" s="418" t="s">
        <v>1716</v>
      </c>
      <c r="F149" s="418">
        <v>50</v>
      </c>
      <c r="G149" s="427" t="s">
        <v>2656</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3864</v>
      </c>
      <c r="W149" s="420" t="s">
        <v>3865</v>
      </c>
      <c r="X149" s="420" t="s">
        <v>3866</v>
      </c>
      <c r="Y149" s="420" t="s">
        <v>3867</v>
      </c>
      <c r="Z149" s="421" t="s">
        <v>3868</v>
      </c>
    </row>
    <row r="150" spans="2:26" ht="12.75" customHeight="1" x14ac:dyDescent="0.2">
      <c r="B150" s="266" t="str">
        <f t="shared" si="2"/>
        <v>Destrucción52</v>
      </c>
      <c r="C150" s="422"/>
      <c r="D150" s="287" t="s">
        <v>10092</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3694</v>
      </c>
      <c r="W150" s="420" t="s">
        <v>3695</v>
      </c>
      <c r="X150" s="420" t="s">
        <v>3696</v>
      </c>
      <c r="Y150" s="420" t="s">
        <v>3697</v>
      </c>
      <c r="Z150" s="421" t="s">
        <v>3869</v>
      </c>
    </row>
    <row r="151" spans="2:26" ht="12.75" customHeight="1" x14ac:dyDescent="0.2">
      <c r="B151" s="266" t="str">
        <f t="shared" si="2"/>
        <v>Destrucción56</v>
      </c>
      <c r="C151" s="422"/>
      <c r="D151" s="287" t="s">
        <v>10093</v>
      </c>
      <c r="E151" s="418" t="s">
        <v>1716</v>
      </c>
      <c r="F151" s="418">
        <v>56</v>
      </c>
      <c r="G151" s="427" t="s">
        <v>2656</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3681</v>
      </c>
      <c r="W151" s="420" t="s">
        <v>3577</v>
      </c>
      <c r="X151" s="420" t="s">
        <v>3578</v>
      </c>
      <c r="Y151" s="420" t="s">
        <v>3579</v>
      </c>
      <c r="Z151" s="421" t="s">
        <v>3870</v>
      </c>
    </row>
    <row r="152" spans="2:26" ht="12.75" customHeight="1" x14ac:dyDescent="0.2">
      <c r="B152" s="266" t="str">
        <f t="shared" si="2"/>
        <v>Destrucción58</v>
      </c>
      <c r="C152" s="422"/>
      <c r="D152" s="287" t="s">
        <v>10094</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3681</v>
      </c>
      <c r="W152" s="420" t="s">
        <v>3577</v>
      </c>
      <c r="X152" s="420" t="s">
        <v>3578</v>
      </c>
      <c r="Y152" s="420" t="s">
        <v>3579</v>
      </c>
      <c r="Z152" s="421" t="s">
        <v>3871</v>
      </c>
    </row>
    <row r="153" spans="2:26" ht="12.75" customHeight="1" x14ac:dyDescent="0.2">
      <c r="B153" s="266" t="str">
        <f t="shared" si="2"/>
        <v>Destrucción60</v>
      </c>
      <c r="C153" s="422"/>
      <c r="D153" s="287" t="s">
        <v>10095</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3681</v>
      </c>
      <c r="W153" s="420" t="s">
        <v>3682</v>
      </c>
      <c r="X153" s="420" t="s">
        <v>3410</v>
      </c>
      <c r="Y153" s="420" t="s">
        <v>3872</v>
      </c>
      <c r="Z153" s="421" t="s">
        <v>3873</v>
      </c>
    </row>
    <row r="154" spans="2:26" ht="12.75" customHeight="1" x14ac:dyDescent="0.2">
      <c r="B154" s="266" t="str">
        <f t="shared" si="2"/>
        <v>Destrucción62</v>
      </c>
      <c r="C154" s="422"/>
      <c r="D154" s="287" t="s">
        <v>10096</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3516</v>
      </c>
      <c r="W154" s="420" t="s">
        <v>3874</v>
      </c>
      <c r="X154" s="420" t="s">
        <v>3875</v>
      </c>
      <c r="Y154" s="420" t="s">
        <v>3876</v>
      </c>
      <c r="Z154" s="421" t="s">
        <v>3877</v>
      </c>
    </row>
    <row r="155" spans="2:26" ht="12.75" customHeight="1" x14ac:dyDescent="0.2">
      <c r="B155" s="266" t="str">
        <f t="shared" si="2"/>
        <v>Destrucción66</v>
      </c>
      <c r="C155" s="422"/>
      <c r="D155" s="287" t="s">
        <v>10097</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3878</v>
      </c>
      <c r="W155" s="420" t="s">
        <v>3879</v>
      </c>
      <c r="X155" s="420" t="s">
        <v>3880</v>
      </c>
      <c r="Y155" s="420" t="s">
        <v>3881</v>
      </c>
      <c r="Z155" s="421" t="s">
        <v>3882</v>
      </c>
    </row>
    <row r="156" spans="2:26" ht="12.75" customHeight="1" x14ac:dyDescent="0.2">
      <c r="B156" s="266" t="str">
        <f t="shared" si="2"/>
        <v>Destrucción68</v>
      </c>
      <c r="C156" s="422"/>
      <c r="D156" s="287" t="s">
        <v>10098</v>
      </c>
      <c r="E156" s="414" t="s">
        <v>1716</v>
      </c>
      <c r="F156" s="414">
        <v>68</v>
      </c>
      <c r="G156" s="427" t="s">
        <v>2656</v>
      </c>
      <c r="H156" s="427" t="s">
        <v>3298</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3883</v>
      </c>
      <c r="W156" s="420" t="s">
        <v>3884</v>
      </c>
      <c r="X156" s="420" t="s">
        <v>3885</v>
      </c>
      <c r="Y156" s="420" t="s">
        <v>3886</v>
      </c>
      <c r="Z156" s="421" t="s">
        <v>3887</v>
      </c>
    </row>
    <row r="157" spans="2:26" ht="12.75" customHeight="1" x14ac:dyDescent="0.2">
      <c r="B157" s="266" t="str">
        <f t="shared" si="2"/>
        <v>Destrucción70</v>
      </c>
      <c r="C157" s="422"/>
      <c r="D157" s="287" t="s">
        <v>10099</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3888</v>
      </c>
      <c r="W157" s="420" t="s">
        <v>3889</v>
      </c>
      <c r="X157" s="420" t="s">
        <v>3890</v>
      </c>
      <c r="Y157" s="420" t="s">
        <v>3891</v>
      </c>
      <c r="Z157" s="421" t="s">
        <v>3892</v>
      </c>
    </row>
    <row r="158" spans="2:26" ht="12.75" customHeight="1" x14ac:dyDescent="0.2">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3893</v>
      </c>
      <c r="W158" s="420" t="s">
        <v>3894</v>
      </c>
      <c r="X158" s="420" t="s">
        <v>3895</v>
      </c>
      <c r="Y158" s="420" t="s">
        <v>3896</v>
      </c>
      <c r="Z158" s="421" t="s">
        <v>3897</v>
      </c>
    </row>
    <row r="159" spans="2:26" ht="12.75" customHeight="1" x14ac:dyDescent="0.2">
      <c r="B159" s="266" t="str">
        <f t="shared" si="2"/>
        <v>Destrucción76</v>
      </c>
      <c r="C159" s="422"/>
      <c r="D159" s="287" t="s">
        <v>10100</v>
      </c>
      <c r="E159" s="414" t="s">
        <v>1716</v>
      </c>
      <c r="F159" s="414">
        <v>76</v>
      </c>
      <c r="G159" s="427" t="s">
        <v>2656</v>
      </c>
      <c r="H159" s="427" t="s">
        <v>3298</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3898</v>
      </c>
      <c r="W159" s="420" t="s">
        <v>3899</v>
      </c>
      <c r="X159" s="420" t="s">
        <v>3900</v>
      </c>
      <c r="Y159" s="420" t="s">
        <v>3901</v>
      </c>
      <c r="Z159" s="421" t="s">
        <v>3902</v>
      </c>
    </row>
    <row r="160" spans="2:26" ht="12.75" customHeight="1" x14ac:dyDescent="0.2">
      <c r="B160" s="266" t="str">
        <f t="shared" si="2"/>
        <v>Destrucción78</v>
      </c>
      <c r="C160" s="422"/>
      <c r="D160" s="287" t="s">
        <v>10101</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3903</v>
      </c>
      <c r="W160" s="420" t="s">
        <v>3904</v>
      </c>
      <c r="X160" s="420" t="s">
        <v>3905</v>
      </c>
      <c r="Y160" s="420" t="s">
        <v>3906</v>
      </c>
      <c r="Z160" s="421" t="s">
        <v>3907</v>
      </c>
    </row>
    <row r="161" spans="2:26" ht="12.75" customHeight="1" x14ac:dyDescent="0.2">
      <c r="B161" s="266" t="str">
        <f t="shared" si="2"/>
        <v>Destrucción80</v>
      </c>
      <c r="C161" s="422"/>
      <c r="D161" s="287" t="s">
        <v>10102</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3908</v>
      </c>
      <c r="W161" s="420" t="s">
        <v>3909</v>
      </c>
      <c r="X161" s="420" t="s">
        <v>3910</v>
      </c>
      <c r="Y161" s="420" t="s">
        <v>3911</v>
      </c>
      <c r="Z161" s="421" t="s">
        <v>3912</v>
      </c>
    </row>
    <row r="162" spans="2:26" ht="12.75" customHeight="1" x14ac:dyDescent="0.2">
      <c r="B162" s="266" t="str">
        <f t="shared" si="2"/>
        <v>Destrucción82</v>
      </c>
      <c r="C162" s="422"/>
      <c r="D162" s="287" t="s">
        <v>10103</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3913</v>
      </c>
      <c r="W162" s="420" t="s">
        <v>3914</v>
      </c>
      <c r="X162" s="420" t="s">
        <v>3915</v>
      </c>
      <c r="Y162" s="420" t="s">
        <v>3916</v>
      </c>
      <c r="Z162" s="421" t="s">
        <v>3917</v>
      </c>
    </row>
    <row r="163" spans="2:26" ht="12.75" customHeight="1" x14ac:dyDescent="0.2">
      <c r="B163" s="266" t="str">
        <f t="shared" si="2"/>
        <v>Destrucción86</v>
      </c>
      <c r="C163" s="422"/>
      <c r="D163" s="287" t="s">
        <v>10104</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3918</v>
      </c>
      <c r="W163" s="420" t="s">
        <v>3919</v>
      </c>
      <c r="X163" s="420" t="s">
        <v>3920</v>
      </c>
      <c r="Y163" s="420" t="s">
        <v>3921</v>
      </c>
      <c r="Z163" s="421" t="s">
        <v>3922</v>
      </c>
    </row>
    <row r="164" spans="2:26" ht="12.75" customHeight="1" x14ac:dyDescent="0.2">
      <c r="B164" s="266" t="str">
        <f t="shared" si="2"/>
        <v>Destrucción88</v>
      </c>
      <c r="C164" s="422"/>
      <c r="D164" s="287" t="s">
        <v>10105</v>
      </c>
      <c r="E164" s="414" t="s">
        <v>1716</v>
      </c>
      <c r="F164" s="414">
        <v>88</v>
      </c>
      <c r="G164" s="427" t="s">
        <v>2656</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3923</v>
      </c>
      <c r="W164" s="420" t="s">
        <v>3924</v>
      </c>
      <c r="X164" s="420" t="s">
        <v>3925</v>
      </c>
      <c r="Y164" s="420" t="s">
        <v>3926</v>
      </c>
      <c r="Z164" s="421" t="s">
        <v>3927</v>
      </c>
    </row>
    <row r="165" spans="2:26" ht="12.75" customHeight="1" x14ac:dyDescent="0.2">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3928</v>
      </c>
      <c r="W165" s="420" t="s">
        <v>3929</v>
      </c>
      <c r="X165" s="420" t="s">
        <v>3930</v>
      </c>
      <c r="Y165" s="420" t="s">
        <v>3931</v>
      </c>
      <c r="Z165" s="421" t="s">
        <v>3932</v>
      </c>
    </row>
    <row r="166" spans="2:26" ht="12.75" customHeight="1" x14ac:dyDescent="0.2">
      <c r="B166" s="266" t="str">
        <f t="shared" si="2"/>
        <v>Destrucción92</v>
      </c>
      <c r="C166" s="422"/>
      <c r="D166" s="287" t="s">
        <v>10106</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3493</v>
      </c>
      <c r="W166" s="420" t="s">
        <v>3667</v>
      </c>
      <c r="X166" s="420" t="s">
        <v>3933</v>
      </c>
      <c r="Y166" s="420" t="s">
        <v>3746</v>
      </c>
      <c r="Z166" s="421" t="s">
        <v>3934</v>
      </c>
    </row>
    <row r="167" spans="2:26" ht="12.75" customHeight="1" x14ac:dyDescent="0.2">
      <c r="B167" s="266" t="str">
        <f t="shared" si="2"/>
        <v>Destrucción96</v>
      </c>
      <c r="C167" s="422"/>
      <c r="D167" s="287" t="s">
        <v>10107</v>
      </c>
      <c r="E167" s="414" t="s">
        <v>1716</v>
      </c>
      <c r="F167" s="414">
        <v>96</v>
      </c>
      <c r="G167" s="427" t="s">
        <v>1389</v>
      </c>
      <c r="H167" s="427" t="s">
        <v>3298</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3935</v>
      </c>
      <c r="W167" s="420" t="s">
        <v>3936</v>
      </c>
      <c r="X167" s="420" t="s">
        <v>3937</v>
      </c>
      <c r="Y167" s="420" t="s">
        <v>3938</v>
      </c>
      <c r="Z167" s="421" t="s">
        <v>3939</v>
      </c>
    </row>
    <row r="168" spans="2:26" ht="12.75" customHeight="1" x14ac:dyDescent="0.2">
      <c r="B168" s="266" t="str">
        <f t="shared" si="2"/>
        <v>Destrucción98</v>
      </c>
      <c r="C168" s="422"/>
      <c r="D168" s="287" t="s">
        <v>81</v>
      </c>
      <c r="E168" s="414" t="s">
        <v>1716</v>
      </c>
      <c r="F168" s="414">
        <v>98</v>
      </c>
      <c r="G168" s="427" t="s">
        <v>2656</v>
      </c>
      <c r="H168" s="427" t="s">
        <v>3298</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3940</v>
      </c>
      <c r="W168" s="420" t="s">
        <v>3941</v>
      </c>
      <c r="X168" s="420" t="s">
        <v>3942</v>
      </c>
      <c r="Y168" s="420" t="s">
        <v>3943</v>
      </c>
      <c r="Z168" s="421" t="s">
        <v>3944</v>
      </c>
    </row>
    <row r="169" spans="2:26" ht="12.75" customHeight="1" x14ac:dyDescent="0.2">
      <c r="B169" s="266" t="str">
        <f t="shared" si="2"/>
        <v>Destrucción100</v>
      </c>
      <c r="C169" s="422"/>
      <c r="D169" s="287" t="s">
        <v>10108</v>
      </c>
      <c r="E169" s="414" t="s">
        <v>1716</v>
      </c>
      <c r="F169" s="414">
        <v>100</v>
      </c>
      <c r="G169" s="427" t="s">
        <v>1389</v>
      </c>
      <c r="H169" s="427" t="s">
        <v>3298</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3682</v>
      </c>
      <c r="W169" s="420" t="s">
        <v>3577</v>
      </c>
      <c r="X169" s="420" t="s">
        <v>3578</v>
      </c>
      <c r="Y169" s="420" t="s">
        <v>3579</v>
      </c>
      <c r="Z169" s="421" t="s">
        <v>3945</v>
      </c>
    </row>
    <row r="170" spans="2:26" ht="12.75" customHeight="1" x14ac:dyDescent="0.2">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2:26" ht="12.75" customHeight="1" x14ac:dyDescent="0.2">
      <c r="B171" s="266" t="str">
        <f t="shared" si="2"/>
        <v>Aire2</v>
      </c>
      <c r="C171" s="422"/>
      <c r="D171" s="287" t="s">
        <v>10109</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3946</v>
      </c>
      <c r="W171" s="420" t="s">
        <v>3947</v>
      </c>
      <c r="X171" s="420" t="s">
        <v>3948</v>
      </c>
      <c r="Y171" s="420" t="s">
        <v>3949</v>
      </c>
      <c r="Z171" s="421" t="s">
        <v>3950</v>
      </c>
    </row>
    <row r="172" spans="2:26" ht="12.75" customHeight="1" x14ac:dyDescent="0.2">
      <c r="B172" s="266" t="str">
        <f t="shared" si="2"/>
        <v>Aire6</v>
      </c>
      <c r="C172" s="422"/>
      <c r="D172" s="287" t="s">
        <v>10110</v>
      </c>
      <c r="E172" s="414" t="s">
        <v>1612</v>
      </c>
      <c r="F172" s="414">
        <v>6</v>
      </c>
      <c r="G172" s="427" t="s">
        <v>2121</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3951</v>
      </c>
      <c r="W172" s="420" t="s">
        <v>3952</v>
      </c>
      <c r="X172" s="420" t="s">
        <v>3953</v>
      </c>
      <c r="Y172" s="420" t="s">
        <v>3954</v>
      </c>
      <c r="Z172" s="421" t="s">
        <v>3955</v>
      </c>
    </row>
    <row r="173" spans="2:26" ht="12.75" customHeight="1" x14ac:dyDescent="0.2">
      <c r="B173" s="266" t="str">
        <f t="shared" si="2"/>
        <v>Aire10</v>
      </c>
      <c r="C173" s="422"/>
      <c r="D173" s="287" t="s">
        <v>10111</v>
      </c>
      <c r="E173" s="414" t="s">
        <v>1612</v>
      </c>
      <c r="F173" s="414">
        <v>10</v>
      </c>
      <c r="G173" s="427" t="s">
        <v>2121</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3956</v>
      </c>
      <c r="W173" s="420" t="s">
        <v>3957</v>
      </c>
      <c r="X173" s="420" t="s">
        <v>3958</v>
      </c>
      <c r="Y173" s="420" t="s">
        <v>3959</v>
      </c>
      <c r="Z173" s="421" t="s">
        <v>3960</v>
      </c>
    </row>
    <row r="174" spans="2:26" ht="12.75" customHeight="1" x14ac:dyDescent="0.2">
      <c r="B174" s="266" t="str">
        <f t="shared" si="2"/>
        <v>Aire12</v>
      </c>
      <c r="C174" s="422"/>
      <c r="D174" s="287" t="s">
        <v>10112</v>
      </c>
      <c r="E174" s="414" t="s">
        <v>1612</v>
      </c>
      <c r="F174" s="414">
        <v>12</v>
      </c>
      <c r="G174" s="427" t="s">
        <v>2121</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3961</v>
      </c>
      <c r="W174" s="420" t="s">
        <v>3962</v>
      </c>
      <c r="X174" s="420" t="s">
        <v>3963</v>
      </c>
      <c r="Y174" s="420" t="s">
        <v>3964</v>
      </c>
      <c r="Z174" s="421" t="s">
        <v>3965</v>
      </c>
    </row>
    <row r="175" spans="2:26" ht="12.75" customHeight="1" x14ac:dyDescent="0.2">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3961</v>
      </c>
      <c r="W175" s="420" t="s">
        <v>3966</v>
      </c>
      <c r="X175" s="420" t="s">
        <v>3967</v>
      </c>
      <c r="Y175" s="420" t="s">
        <v>3968</v>
      </c>
      <c r="Z175" s="421" t="s">
        <v>3969</v>
      </c>
    </row>
    <row r="176" spans="2:26" ht="12.75" customHeight="1" x14ac:dyDescent="0.2">
      <c r="B176" s="266" t="str">
        <f t="shared" si="2"/>
        <v>Aire20</v>
      </c>
      <c r="C176" s="422"/>
      <c r="D176" s="287" t="s">
        <v>10113</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3970</v>
      </c>
      <c r="W176" s="420" t="s">
        <v>3971</v>
      </c>
      <c r="X176" s="420" t="s">
        <v>3972</v>
      </c>
      <c r="Y176" s="420" t="s">
        <v>3973</v>
      </c>
      <c r="Z176" s="421" t="s">
        <v>3974</v>
      </c>
    </row>
    <row r="177" spans="2:26" ht="12.75" customHeight="1" x14ac:dyDescent="0.2">
      <c r="B177" s="266" t="str">
        <f t="shared" si="2"/>
        <v>Aire22</v>
      </c>
      <c r="C177" s="422"/>
      <c r="D177" s="287" t="s">
        <v>10114</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3975</v>
      </c>
      <c r="W177" s="420" t="s">
        <v>3976</v>
      </c>
      <c r="X177" s="420" t="s">
        <v>3977</v>
      </c>
      <c r="Y177" s="420" t="s">
        <v>3978</v>
      </c>
      <c r="Z177" s="421" t="s">
        <v>3979</v>
      </c>
    </row>
    <row r="178" spans="2:26" ht="12.75" customHeight="1" x14ac:dyDescent="0.2">
      <c r="B178" s="266" t="str">
        <f t="shared" si="2"/>
        <v>Aire26</v>
      </c>
      <c r="C178" s="422"/>
      <c r="D178" s="287" t="s">
        <v>7631</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3980</v>
      </c>
      <c r="W178" s="420" t="s">
        <v>3981</v>
      </c>
      <c r="X178" s="420" t="s">
        <v>3982</v>
      </c>
      <c r="Y178" s="420" t="s">
        <v>3983</v>
      </c>
      <c r="Z178" s="421" t="s">
        <v>3984</v>
      </c>
    </row>
    <row r="179" spans="2:26" ht="12.75" customHeight="1" x14ac:dyDescent="0.2">
      <c r="B179" s="266" t="str">
        <f t="shared" si="2"/>
        <v>Aire30</v>
      </c>
      <c r="C179" s="422"/>
      <c r="D179" s="287" t="s">
        <v>1635</v>
      </c>
      <c r="E179" s="414" t="s">
        <v>1612</v>
      </c>
      <c r="F179" s="414">
        <v>30</v>
      </c>
      <c r="G179" s="2834" t="s">
        <v>1389</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3985</v>
      </c>
      <c r="W179" s="420" t="s">
        <v>3986</v>
      </c>
      <c r="X179" s="420" t="s">
        <v>3987</v>
      </c>
      <c r="Y179" s="420" t="s">
        <v>3988</v>
      </c>
      <c r="Z179" s="421" t="s">
        <v>3989</v>
      </c>
    </row>
    <row r="180" spans="2:26" ht="12.75" customHeight="1" x14ac:dyDescent="0.2">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3990</v>
      </c>
      <c r="W180" s="420" t="s">
        <v>3991</v>
      </c>
      <c r="X180" s="420" t="s">
        <v>3992</v>
      </c>
      <c r="Y180" s="1583" t="s">
        <v>9982</v>
      </c>
      <c r="Z180" s="421" t="s">
        <v>3993</v>
      </c>
    </row>
    <row r="181" spans="2:26" ht="12.75" customHeight="1" x14ac:dyDescent="0.2">
      <c r="B181" s="266" t="str">
        <f t="shared" si="2"/>
        <v>Aire36</v>
      </c>
      <c r="C181" s="422"/>
      <c r="D181" s="287" t="s">
        <v>10115</v>
      </c>
      <c r="E181" s="414" t="s">
        <v>1612</v>
      </c>
      <c r="F181" s="414">
        <v>36</v>
      </c>
      <c r="G181" s="427" t="s">
        <v>2121</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3994</v>
      </c>
      <c r="W181" s="420" t="s">
        <v>3995</v>
      </c>
      <c r="X181" s="420" t="s">
        <v>3996</v>
      </c>
      <c r="Y181" s="420" t="s">
        <v>3997</v>
      </c>
      <c r="Z181" s="421" t="s">
        <v>3998</v>
      </c>
    </row>
    <row r="182" spans="2:26" ht="12.75" customHeight="1" x14ac:dyDescent="0.2">
      <c r="B182" s="266" t="str">
        <f t="shared" si="2"/>
        <v>Aire40</v>
      </c>
      <c r="C182" s="422"/>
      <c r="D182" s="287" t="s">
        <v>10116</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3999</v>
      </c>
      <c r="W182" s="420" t="s">
        <v>4000</v>
      </c>
      <c r="X182" s="420" t="s">
        <v>4001</v>
      </c>
      <c r="Y182" s="420" t="s">
        <v>4002</v>
      </c>
      <c r="Z182" s="421" t="s">
        <v>4003</v>
      </c>
    </row>
    <row r="183" spans="2:26" ht="12.75" customHeight="1" x14ac:dyDescent="0.2">
      <c r="B183" s="266" t="str">
        <f t="shared" si="2"/>
        <v>Aire42</v>
      </c>
      <c r="C183" s="422"/>
      <c r="D183" s="287" t="s">
        <v>10117</v>
      </c>
      <c r="E183" s="414" t="s">
        <v>1612</v>
      </c>
      <c r="F183" s="414">
        <v>42</v>
      </c>
      <c r="G183" s="427" t="s">
        <v>2121</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4004</v>
      </c>
      <c r="W183" s="420" t="s">
        <v>4005</v>
      </c>
      <c r="X183" s="420" t="s">
        <v>4006</v>
      </c>
      <c r="Y183" s="420" t="s">
        <v>3967</v>
      </c>
      <c r="Z183" s="421" t="s">
        <v>4007</v>
      </c>
    </row>
    <row r="184" spans="2:26" ht="12.75" customHeight="1" x14ac:dyDescent="0.2">
      <c r="B184" s="266" t="str">
        <f t="shared" si="2"/>
        <v>Aire46</v>
      </c>
      <c r="C184" s="422"/>
      <c r="D184" s="287" t="s">
        <v>10118</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4008</v>
      </c>
      <c r="W184" s="420" t="s">
        <v>4009</v>
      </c>
      <c r="X184" s="420" t="s">
        <v>4010</v>
      </c>
      <c r="Y184" s="420" t="s">
        <v>4011</v>
      </c>
      <c r="Z184" s="421" t="s">
        <v>4012</v>
      </c>
    </row>
    <row r="185" spans="2:26" ht="12.75" customHeight="1" x14ac:dyDescent="0.2">
      <c r="B185" s="266" t="str">
        <f t="shared" si="2"/>
        <v>Aire50</v>
      </c>
      <c r="C185" s="422"/>
      <c r="D185" s="287" t="s">
        <v>10119</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4013</v>
      </c>
      <c r="W185" s="420" t="s">
        <v>4014</v>
      </c>
      <c r="X185" s="420" t="s">
        <v>4015</v>
      </c>
      <c r="Y185" s="420" t="s">
        <v>3483</v>
      </c>
      <c r="Z185" s="421" t="s">
        <v>4016</v>
      </c>
    </row>
    <row r="186" spans="2:26" ht="12.75" customHeight="1" x14ac:dyDescent="0.2">
      <c r="B186" s="266" t="str">
        <f t="shared" si="2"/>
        <v>Aire52</v>
      </c>
      <c r="C186" s="422"/>
      <c r="D186" s="287" t="s">
        <v>10120</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4017</v>
      </c>
      <c r="W186" s="420" t="s">
        <v>4018</v>
      </c>
      <c r="X186" s="420" t="s">
        <v>4019</v>
      </c>
      <c r="Y186" s="420" t="s">
        <v>4020</v>
      </c>
      <c r="Z186" s="421" t="s">
        <v>4021</v>
      </c>
    </row>
    <row r="187" spans="2:26" ht="12.75" customHeight="1" x14ac:dyDescent="0.2">
      <c r="B187" s="266" t="str">
        <f t="shared" si="2"/>
        <v>Aire56</v>
      </c>
      <c r="C187" s="422"/>
      <c r="D187" s="287" t="s">
        <v>10121</v>
      </c>
      <c r="E187" s="418" t="s">
        <v>1612</v>
      </c>
      <c r="F187" s="418">
        <v>56</v>
      </c>
      <c r="G187" s="427" t="s">
        <v>1389</v>
      </c>
      <c r="H187" s="427" t="s">
        <v>4022</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4023</v>
      </c>
      <c r="W187" s="420" t="s">
        <v>4024</v>
      </c>
      <c r="X187" s="420" t="s">
        <v>4025</v>
      </c>
      <c r="Y187" s="420" t="s">
        <v>4026</v>
      </c>
      <c r="Z187" s="421" t="s">
        <v>4027</v>
      </c>
    </row>
    <row r="188" spans="2:26" ht="12.75" customHeight="1" x14ac:dyDescent="0.2">
      <c r="B188" s="266" t="str">
        <f t="shared" si="2"/>
        <v>Aire60</v>
      </c>
      <c r="C188" s="422"/>
      <c r="D188" s="287" t="s">
        <v>10122</v>
      </c>
      <c r="E188" s="418" t="s">
        <v>1612</v>
      </c>
      <c r="F188" s="418">
        <v>60</v>
      </c>
      <c r="G188" s="427" t="s">
        <v>1389</v>
      </c>
      <c r="H188" s="427" t="s">
        <v>4022</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4028</v>
      </c>
      <c r="W188" s="420" t="s">
        <v>4029</v>
      </c>
      <c r="X188" s="420" t="s">
        <v>4030</v>
      </c>
      <c r="Y188" s="420" t="s">
        <v>4031</v>
      </c>
      <c r="Z188" s="421" t="s">
        <v>4032</v>
      </c>
    </row>
    <row r="189" spans="2:26" ht="12.75" customHeight="1" x14ac:dyDescent="0.2">
      <c r="B189" s="266" t="str">
        <f t="shared" si="2"/>
        <v>Aire62</v>
      </c>
      <c r="C189" s="422"/>
      <c r="D189" s="287" t="s">
        <v>10123</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4033</v>
      </c>
      <c r="W189" s="420" t="s">
        <v>4034</v>
      </c>
      <c r="X189" s="420" t="s">
        <v>4035</v>
      </c>
      <c r="Y189" s="420" t="s">
        <v>4036</v>
      </c>
      <c r="Z189" s="421" t="s">
        <v>4037</v>
      </c>
    </row>
    <row r="190" spans="2:26" ht="12.75" customHeight="1" x14ac:dyDescent="0.2">
      <c r="B190" s="266" t="str">
        <f t="shared" si="2"/>
        <v>Aire66</v>
      </c>
      <c r="C190" s="422"/>
      <c r="D190" s="287" t="s">
        <v>10124</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4038</v>
      </c>
      <c r="W190" s="420" t="s">
        <v>4039</v>
      </c>
      <c r="X190" s="420" t="s">
        <v>4040</v>
      </c>
      <c r="Y190" s="420" t="s">
        <v>4041</v>
      </c>
      <c r="Z190" s="421" t="s">
        <v>4042</v>
      </c>
    </row>
    <row r="191" spans="2:26" ht="12.75" customHeight="1" x14ac:dyDescent="0.2">
      <c r="B191" s="266" t="str">
        <f t="shared" si="2"/>
        <v>Aire70</v>
      </c>
      <c r="C191" s="422"/>
      <c r="D191" s="287" t="s">
        <v>10125</v>
      </c>
      <c r="E191" s="418" t="s">
        <v>1612</v>
      </c>
      <c r="F191" s="418">
        <v>70</v>
      </c>
      <c r="G191" s="427" t="s">
        <v>2121</v>
      </c>
      <c r="H191" s="427" t="s">
        <v>4022</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4043</v>
      </c>
      <c r="W191" s="420" t="s">
        <v>4044</v>
      </c>
      <c r="X191" s="420" t="s">
        <v>4045</v>
      </c>
      <c r="Y191" s="420" t="s">
        <v>4046</v>
      </c>
      <c r="Z191" s="421" t="s">
        <v>4047</v>
      </c>
    </row>
    <row r="192" spans="2:26" ht="12.75" customHeight="1" x14ac:dyDescent="0.2">
      <c r="B192" s="266" t="str">
        <f t="shared" si="2"/>
        <v>Aire72</v>
      </c>
      <c r="C192" s="422"/>
      <c r="D192" s="287" t="s">
        <v>10126</v>
      </c>
      <c r="E192" s="418" t="s">
        <v>1612</v>
      </c>
      <c r="F192" s="418">
        <v>72</v>
      </c>
      <c r="G192" s="427" t="s">
        <v>1389</v>
      </c>
      <c r="H192" s="427" t="s">
        <v>4048</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4049</v>
      </c>
      <c r="W192" s="420" t="s">
        <v>4050</v>
      </c>
      <c r="X192" s="420" t="s">
        <v>4051</v>
      </c>
      <c r="Y192" s="420" t="s">
        <v>4052</v>
      </c>
      <c r="Z192" s="421" t="s">
        <v>4053</v>
      </c>
    </row>
    <row r="193" spans="2:26" ht="12.75" customHeight="1" x14ac:dyDescent="0.2">
      <c r="B193" s="266" t="str">
        <f t="shared" si="2"/>
        <v>Aire76</v>
      </c>
      <c r="C193" s="422"/>
      <c r="D193" s="287" t="s">
        <v>10127</v>
      </c>
      <c r="E193" s="418" t="s">
        <v>1612</v>
      </c>
      <c r="F193" s="418">
        <v>76</v>
      </c>
      <c r="G193" s="427" t="s">
        <v>1389</v>
      </c>
      <c r="H193" s="427" t="s">
        <v>4054</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4055</v>
      </c>
      <c r="W193" s="420" t="s">
        <v>4056</v>
      </c>
      <c r="X193" s="420" t="s">
        <v>4057</v>
      </c>
      <c r="Y193" s="420" t="s">
        <v>4058</v>
      </c>
      <c r="Z193" s="421" t="s">
        <v>4059</v>
      </c>
    </row>
    <row r="194" spans="2:26" ht="12.75" customHeight="1" x14ac:dyDescent="0.2">
      <c r="B194" s="266" t="str">
        <f t="shared" si="2"/>
        <v>Aire80</v>
      </c>
      <c r="C194" s="422"/>
      <c r="D194" s="287" t="s">
        <v>10128</v>
      </c>
      <c r="E194" s="418" t="s">
        <v>1612</v>
      </c>
      <c r="F194" s="418">
        <v>80</v>
      </c>
      <c r="G194" s="427" t="s">
        <v>2121</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4060</v>
      </c>
      <c r="W194" s="420" t="s">
        <v>4061</v>
      </c>
      <c r="X194" s="420" t="s">
        <v>4062</v>
      </c>
      <c r="Y194" s="420" t="s">
        <v>4063</v>
      </c>
      <c r="Z194" s="421" t="s">
        <v>4064</v>
      </c>
    </row>
    <row r="195" spans="2:26" ht="12.75" customHeight="1" x14ac:dyDescent="0.2">
      <c r="B195" s="266" t="str">
        <f t="shared" si="2"/>
        <v>Aire82</v>
      </c>
      <c r="C195" s="422"/>
      <c r="D195" s="287" t="s">
        <v>10129</v>
      </c>
      <c r="E195" s="418" t="s">
        <v>1612</v>
      </c>
      <c r="F195" s="418">
        <v>82</v>
      </c>
      <c r="G195" s="427" t="s">
        <v>2121</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3443</v>
      </c>
      <c r="W195" s="420" t="s">
        <v>3444</v>
      </c>
      <c r="X195" s="420" t="s">
        <v>3445</v>
      </c>
      <c r="Y195" s="420" t="s">
        <v>3446</v>
      </c>
      <c r="Z195" s="421" t="s">
        <v>4065</v>
      </c>
    </row>
    <row r="196" spans="2:26" ht="12.75" customHeight="1" x14ac:dyDescent="0.2">
      <c r="B196" s="266" t="str">
        <f t="shared" si="2"/>
        <v>Aire86</v>
      </c>
      <c r="C196" s="422"/>
      <c r="D196" s="287" t="s">
        <v>10130</v>
      </c>
      <c r="E196" s="418" t="s">
        <v>1612</v>
      </c>
      <c r="F196" s="418">
        <v>86</v>
      </c>
      <c r="G196" s="427" t="s">
        <v>2121</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4066</v>
      </c>
      <c r="W196" s="420" t="s">
        <v>4067</v>
      </c>
      <c r="X196" s="420" t="s">
        <v>4068</v>
      </c>
      <c r="Y196" s="420" t="s">
        <v>4069</v>
      </c>
      <c r="Z196" s="421" t="s">
        <v>4070</v>
      </c>
    </row>
    <row r="197" spans="2:26" ht="12.75" customHeight="1" x14ac:dyDescent="0.2">
      <c r="B197" s="266" t="str">
        <f t="shared" si="2"/>
        <v>Aire90</v>
      </c>
      <c r="C197" s="422"/>
      <c r="D197" s="287" t="s">
        <v>10131</v>
      </c>
      <c r="E197" s="418" t="s">
        <v>1612</v>
      </c>
      <c r="F197" s="418">
        <v>90</v>
      </c>
      <c r="G197" s="427" t="s">
        <v>2121</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4071</v>
      </c>
      <c r="W197" s="420" t="s">
        <v>4072</v>
      </c>
      <c r="X197" s="420" t="s">
        <v>4073</v>
      </c>
      <c r="Y197" s="420" t="s">
        <v>4074</v>
      </c>
      <c r="Z197" s="421" t="s">
        <v>4075</v>
      </c>
    </row>
    <row r="198" spans="2:26" ht="12.75" customHeight="1" x14ac:dyDescent="0.2">
      <c r="B198" s="266" t="str">
        <f t="shared" si="2"/>
        <v>Aire92</v>
      </c>
      <c r="C198" s="422"/>
      <c r="D198" s="287" t="s">
        <v>10003</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4076</v>
      </c>
      <c r="W198" s="420" t="s">
        <v>3593</v>
      </c>
      <c r="X198" s="420" t="s">
        <v>3594</v>
      </c>
      <c r="Y198" s="420" t="s">
        <v>3595</v>
      </c>
      <c r="Z198" s="421" t="s">
        <v>4077</v>
      </c>
    </row>
    <row r="199" spans="2:26" ht="12.75" customHeight="1" x14ac:dyDescent="0.2">
      <c r="B199" s="266" t="str">
        <f t="shared" si="2"/>
        <v>Aire96</v>
      </c>
      <c r="C199" s="422"/>
      <c r="D199" s="287" t="s">
        <v>10004</v>
      </c>
      <c r="E199" s="418" t="s">
        <v>1612</v>
      </c>
      <c r="F199" s="418">
        <v>96</v>
      </c>
      <c r="G199" s="427" t="s">
        <v>2121</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4078</v>
      </c>
      <c r="W199" s="420" t="s">
        <v>4079</v>
      </c>
      <c r="X199" s="420" t="s">
        <v>4080</v>
      </c>
      <c r="Y199" s="420" t="s">
        <v>4081</v>
      </c>
      <c r="Z199" s="421" t="s">
        <v>4082</v>
      </c>
    </row>
    <row r="200" spans="2:26" ht="12.75" customHeight="1" x14ac:dyDescent="0.2">
      <c r="B200" s="266" t="str">
        <f t="shared" ref="B200:B263" si="3">E200&amp;F200</f>
        <v>Aire100</v>
      </c>
      <c r="C200" s="422"/>
      <c r="D200" s="287" t="s">
        <v>10005</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4083</v>
      </c>
      <c r="W200" s="420" t="s">
        <v>4084</v>
      </c>
      <c r="X200" s="420" t="s">
        <v>4085</v>
      </c>
      <c r="Y200" s="420" t="s">
        <v>4086</v>
      </c>
      <c r="Z200" s="421" t="s">
        <v>4087</v>
      </c>
    </row>
    <row r="201" spans="2:26" ht="12.75" customHeight="1" x14ac:dyDescent="0.2">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2:26" ht="12.75" customHeight="1" x14ac:dyDescent="0.2">
      <c r="B202" s="266" t="str">
        <f t="shared" si="3"/>
        <v>Agua2</v>
      </c>
      <c r="C202" s="422"/>
      <c r="D202" s="287" t="s">
        <v>10002</v>
      </c>
      <c r="E202" s="418" t="s">
        <v>1615</v>
      </c>
      <c r="F202" s="418">
        <v>2</v>
      </c>
      <c r="G202" s="427" t="s">
        <v>2121</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4088</v>
      </c>
      <c r="W202" s="420" t="s">
        <v>4089</v>
      </c>
      <c r="X202" s="420" t="s">
        <v>4090</v>
      </c>
      <c r="Y202" s="420" t="s">
        <v>4091</v>
      </c>
      <c r="Z202" s="421" t="s">
        <v>4092</v>
      </c>
    </row>
    <row r="203" spans="2:26" ht="12.75" customHeight="1" x14ac:dyDescent="0.2">
      <c r="B203" s="266" t="str">
        <f t="shared" si="3"/>
        <v>Agua6</v>
      </c>
      <c r="C203" s="422"/>
      <c r="D203" s="287" t="s">
        <v>163</v>
      </c>
      <c r="E203" s="418" t="s">
        <v>1615</v>
      </c>
      <c r="F203" s="418">
        <v>6</v>
      </c>
      <c r="G203" s="427" t="s">
        <v>2121</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4093</v>
      </c>
      <c r="W203" s="420" t="s">
        <v>4094</v>
      </c>
      <c r="X203" s="420" t="s">
        <v>4095</v>
      </c>
      <c r="Y203" s="420" t="s">
        <v>4096</v>
      </c>
      <c r="Z203" s="421" t="s">
        <v>4097</v>
      </c>
    </row>
    <row r="204" spans="2:26" ht="12.75" customHeight="1" x14ac:dyDescent="0.2">
      <c r="B204" s="266" t="str">
        <f t="shared" si="3"/>
        <v>Agua10</v>
      </c>
      <c r="C204" s="422"/>
      <c r="D204" s="287" t="s">
        <v>10006</v>
      </c>
      <c r="E204" s="418" t="s">
        <v>1615</v>
      </c>
      <c r="F204" s="418">
        <v>10</v>
      </c>
      <c r="G204" s="427" t="s">
        <v>2121</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4098</v>
      </c>
      <c r="W204" s="420" t="s">
        <v>4099</v>
      </c>
      <c r="X204" s="420" t="s">
        <v>4100</v>
      </c>
      <c r="Y204" s="420" t="s">
        <v>4101</v>
      </c>
      <c r="Z204" s="421" t="s">
        <v>4102</v>
      </c>
    </row>
    <row r="205" spans="2:26" ht="12.75" customHeight="1" x14ac:dyDescent="0.2">
      <c r="B205" s="266" t="str">
        <f t="shared" si="3"/>
        <v>Agua12</v>
      </c>
      <c r="C205" s="422"/>
      <c r="D205" s="287" t="s">
        <v>172</v>
      </c>
      <c r="E205" s="418" t="s">
        <v>1615</v>
      </c>
      <c r="F205" s="418">
        <v>12</v>
      </c>
      <c r="G205" s="427" t="s">
        <v>2121</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4103</v>
      </c>
      <c r="W205" s="420" t="s">
        <v>4104</v>
      </c>
      <c r="X205" s="420" t="s">
        <v>4105</v>
      </c>
      <c r="Y205" s="420" t="s">
        <v>4106</v>
      </c>
      <c r="Z205" s="421" t="s">
        <v>4107</v>
      </c>
    </row>
    <row r="206" spans="2:26" ht="12.75" customHeight="1" x14ac:dyDescent="0.2">
      <c r="B206" s="266" t="str">
        <f t="shared" si="3"/>
        <v>Agua16</v>
      </c>
      <c r="C206" s="422"/>
      <c r="D206" s="287" t="s">
        <v>10007</v>
      </c>
      <c r="E206" s="418" t="s">
        <v>1615</v>
      </c>
      <c r="F206" s="418">
        <v>16</v>
      </c>
      <c r="G206" s="427" t="s">
        <v>2121</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4108</v>
      </c>
      <c r="W206" s="420" t="s">
        <v>4109</v>
      </c>
      <c r="X206" s="420" t="s">
        <v>4110</v>
      </c>
      <c r="Y206" s="420" t="s">
        <v>4111</v>
      </c>
      <c r="Z206" s="421" t="s">
        <v>4112</v>
      </c>
    </row>
    <row r="207" spans="2:26" ht="12.75" customHeight="1" x14ac:dyDescent="0.2">
      <c r="B207" s="266" t="str">
        <f t="shared" si="3"/>
        <v>Agua20</v>
      </c>
      <c r="C207" s="422"/>
      <c r="D207" s="287" t="s">
        <v>10008</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4113</v>
      </c>
      <c r="W207" s="420" t="s">
        <v>4114</v>
      </c>
      <c r="X207" s="420" t="s">
        <v>4115</v>
      </c>
      <c r="Y207" s="420" t="s">
        <v>4116</v>
      </c>
      <c r="Z207" s="421" t="s">
        <v>4117</v>
      </c>
    </row>
    <row r="208" spans="2:26" ht="12.75" customHeight="1" x14ac:dyDescent="0.2">
      <c r="B208" s="266" t="str">
        <f t="shared" si="3"/>
        <v>Agua22</v>
      </c>
      <c r="C208" s="422"/>
      <c r="D208" s="287" t="s">
        <v>10001</v>
      </c>
      <c r="E208" s="418" t="s">
        <v>1615</v>
      </c>
      <c r="F208" s="418">
        <v>22</v>
      </c>
      <c r="G208" s="427" t="s">
        <v>2121</v>
      </c>
      <c r="H208" s="427" t="s">
        <v>4118</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4119</v>
      </c>
      <c r="W208" s="420" t="s">
        <v>4120</v>
      </c>
      <c r="X208" s="420" t="s">
        <v>4121</v>
      </c>
      <c r="Y208" s="420" t="s">
        <v>4122</v>
      </c>
      <c r="Z208" s="421" t="s">
        <v>4123</v>
      </c>
    </row>
    <row r="209" spans="2:26" ht="12.75" customHeight="1" x14ac:dyDescent="0.2">
      <c r="B209" s="266" t="str">
        <f t="shared" si="3"/>
        <v>Agua26</v>
      </c>
      <c r="C209" s="422"/>
      <c r="D209" s="287" t="s">
        <v>10000</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4124</v>
      </c>
      <c r="W209" s="420" t="s">
        <v>4125</v>
      </c>
      <c r="X209" s="420" t="s">
        <v>9999</v>
      </c>
      <c r="Y209" s="420" t="s">
        <v>10232</v>
      </c>
      <c r="Z209" s="421" t="s">
        <v>4126</v>
      </c>
    </row>
    <row r="210" spans="2:26" ht="12.75" customHeight="1" x14ac:dyDescent="0.2">
      <c r="B210" s="266" t="str">
        <f t="shared" si="3"/>
        <v>Agua30</v>
      </c>
      <c r="C210" s="422"/>
      <c r="D210" s="287" t="s">
        <v>10132</v>
      </c>
      <c r="E210" s="418" t="s">
        <v>1615</v>
      </c>
      <c r="F210" s="418">
        <v>30</v>
      </c>
      <c r="G210" s="427" t="s">
        <v>2121</v>
      </c>
      <c r="H210" s="427" t="s">
        <v>4118</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4127</v>
      </c>
      <c r="W210" s="420" t="s">
        <v>4128</v>
      </c>
      <c r="X210" s="420" t="s">
        <v>4129</v>
      </c>
      <c r="Y210" s="420" t="s">
        <v>4130</v>
      </c>
      <c r="Z210" s="421" t="s">
        <v>4131</v>
      </c>
    </row>
    <row r="211" spans="2:26" ht="12.75" customHeight="1" x14ac:dyDescent="0.2">
      <c r="B211" s="266" t="str">
        <f t="shared" si="3"/>
        <v>Agua32</v>
      </c>
      <c r="C211" s="422"/>
      <c r="D211" s="287" t="s">
        <v>167</v>
      </c>
      <c r="E211" s="418" t="s">
        <v>1615</v>
      </c>
      <c r="F211" s="418">
        <v>32</v>
      </c>
      <c r="G211" s="427" t="s">
        <v>2121</v>
      </c>
      <c r="H211" s="427" t="s">
        <v>4118</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4132</v>
      </c>
      <c r="W211" s="420" t="s">
        <v>4133</v>
      </c>
      <c r="X211" s="420" t="s">
        <v>4134</v>
      </c>
      <c r="Y211" s="420" t="s">
        <v>4135</v>
      </c>
      <c r="Z211" s="421" t="s">
        <v>4136</v>
      </c>
    </row>
    <row r="212" spans="2:26" ht="12.75" customHeight="1" x14ac:dyDescent="0.2">
      <c r="B212" s="266" t="str">
        <f t="shared" si="3"/>
        <v>Agua36</v>
      </c>
      <c r="C212" s="422"/>
      <c r="D212" s="287" t="s">
        <v>10133</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4137</v>
      </c>
      <c r="W212" s="420" t="s">
        <v>4138</v>
      </c>
      <c r="X212" s="420" t="s">
        <v>4139</v>
      </c>
      <c r="Y212" s="420" t="s">
        <v>4140</v>
      </c>
      <c r="Z212" s="424" t="s">
        <v>4141</v>
      </c>
    </row>
    <row r="213" spans="2:26" ht="12.75" customHeight="1" x14ac:dyDescent="0.2">
      <c r="B213" s="266" t="str">
        <f t="shared" si="3"/>
        <v>Agua40</v>
      </c>
      <c r="C213" s="422"/>
      <c r="D213" s="287" t="s">
        <v>10134</v>
      </c>
      <c r="E213" s="418" t="s">
        <v>1615</v>
      </c>
      <c r="F213" s="418">
        <v>40</v>
      </c>
      <c r="G213" s="427" t="s">
        <v>2121</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4142</v>
      </c>
      <c r="W213" s="420" t="s">
        <v>4143</v>
      </c>
      <c r="X213" s="420" t="s">
        <v>4144</v>
      </c>
      <c r="Y213" s="420" t="s">
        <v>4145</v>
      </c>
      <c r="Z213" s="421" t="s">
        <v>4146</v>
      </c>
    </row>
    <row r="214" spans="2:26" ht="12.75" customHeight="1" x14ac:dyDescent="0.2">
      <c r="B214" s="266" t="str">
        <f t="shared" si="3"/>
        <v>Agua42</v>
      </c>
      <c r="C214" s="422"/>
      <c r="D214" s="287" t="s">
        <v>10135</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4147</v>
      </c>
      <c r="W214" s="420" t="s">
        <v>3332</v>
      </c>
      <c r="X214" s="420" t="s">
        <v>4148</v>
      </c>
      <c r="Y214" s="420" t="s">
        <v>4149</v>
      </c>
      <c r="Z214" s="421" t="s">
        <v>4150</v>
      </c>
    </row>
    <row r="215" spans="2:26" ht="12.75" customHeight="1" x14ac:dyDescent="0.2">
      <c r="B215" s="266" t="str">
        <f t="shared" si="3"/>
        <v>Agua46</v>
      </c>
      <c r="C215" s="422"/>
      <c r="D215" s="287" t="s">
        <v>10136</v>
      </c>
      <c r="E215" s="418" t="s">
        <v>1615</v>
      </c>
      <c r="F215" s="418">
        <v>46</v>
      </c>
      <c r="G215" s="427" t="s">
        <v>1389</v>
      </c>
      <c r="H215" s="427" t="s">
        <v>4118</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4151</v>
      </c>
      <c r="W215" s="420" t="s">
        <v>4152</v>
      </c>
      <c r="X215" s="420" t="s">
        <v>4153</v>
      </c>
      <c r="Y215" s="420" t="s">
        <v>4154</v>
      </c>
      <c r="Z215" s="421" t="s">
        <v>4155</v>
      </c>
    </row>
    <row r="216" spans="2:26" ht="12.75" customHeight="1" x14ac:dyDescent="0.2">
      <c r="B216" s="266" t="str">
        <f t="shared" si="3"/>
        <v>Agua50</v>
      </c>
      <c r="C216" s="422"/>
      <c r="D216" s="287" t="s">
        <v>10137</v>
      </c>
      <c r="E216" s="418" t="s">
        <v>1615</v>
      </c>
      <c r="F216" s="418">
        <v>50</v>
      </c>
      <c r="G216" s="427" t="s">
        <v>1389</v>
      </c>
      <c r="H216" s="427" t="s">
        <v>4118</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4156</v>
      </c>
      <c r="W216" s="420" t="s">
        <v>4157</v>
      </c>
      <c r="X216" s="420" t="s">
        <v>4158</v>
      </c>
      <c r="Y216" s="420" t="s">
        <v>4159</v>
      </c>
      <c r="Z216" s="421" t="s">
        <v>4160</v>
      </c>
    </row>
    <row r="217" spans="2:26" ht="12.75" customHeight="1" x14ac:dyDescent="0.2">
      <c r="B217" s="266" t="str">
        <f t="shared" si="3"/>
        <v>Agua52</v>
      </c>
      <c r="C217" s="422"/>
      <c r="D217" s="287" t="s">
        <v>10138</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4161</v>
      </c>
      <c r="W217" s="420" t="s">
        <v>4162</v>
      </c>
      <c r="X217" s="420" t="s">
        <v>4163</v>
      </c>
      <c r="Y217" s="420" t="s">
        <v>4164</v>
      </c>
      <c r="Z217" s="421" t="s">
        <v>4165</v>
      </c>
    </row>
    <row r="218" spans="2:26" ht="12.75" customHeight="1" x14ac:dyDescent="0.2">
      <c r="B218" s="266" t="str">
        <f t="shared" si="3"/>
        <v>Agua56</v>
      </c>
      <c r="C218" s="422"/>
      <c r="D218" s="287" t="s">
        <v>10139</v>
      </c>
      <c r="E218" s="418" t="s">
        <v>1615</v>
      </c>
      <c r="F218" s="418">
        <v>56</v>
      </c>
      <c r="G218" s="427" t="s">
        <v>1389</v>
      </c>
      <c r="H218" s="427" t="s">
        <v>4166</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3576</v>
      </c>
      <c r="W218" s="420" t="s">
        <v>4167</v>
      </c>
      <c r="X218" s="420" t="s">
        <v>4168</v>
      </c>
      <c r="Y218" s="420" t="s">
        <v>3411</v>
      </c>
      <c r="Z218" s="421" t="s">
        <v>4169</v>
      </c>
    </row>
    <row r="219" spans="2:26" ht="12.75" customHeight="1" x14ac:dyDescent="0.2">
      <c r="B219" s="266" t="str">
        <f t="shared" si="3"/>
        <v>Agua60</v>
      </c>
      <c r="C219" s="422"/>
      <c r="D219" s="287" t="s">
        <v>10140</v>
      </c>
      <c r="E219" s="418" t="s">
        <v>1615</v>
      </c>
      <c r="F219" s="418">
        <v>60</v>
      </c>
      <c r="G219" s="427" t="s">
        <v>1389</v>
      </c>
      <c r="H219" s="427" t="s">
        <v>3298</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3565</v>
      </c>
      <c r="W219" s="420" t="s">
        <v>4170</v>
      </c>
      <c r="X219" s="420" t="s">
        <v>4171</v>
      </c>
      <c r="Y219" s="420" t="s">
        <v>4172</v>
      </c>
      <c r="Z219" s="421" t="s">
        <v>4173</v>
      </c>
    </row>
    <row r="220" spans="2:26" ht="12.75" customHeight="1" x14ac:dyDescent="0.2">
      <c r="B220" s="266" t="str">
        <f t="shared" si="3"/>
        <v>Agua62</v>
      </c>
      <c r="C220" s="422"/>
      <c r="D220" s="287" t="s">
        <v>10141</v>
      </c>
      <c r="E220" s="418" t="s">
        <v>1615</v>
      </c>
      <c r="F220" s="418">
        <v>62</v>
      </c>
      <c r="G220" s="427" t="s">
        <v>2121</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4174</v>
      </c>
      <c r="W220" s="420" t="s">
        <v>4175</v>
      </c>
      <c r="X220" s="420" t="s">
        <v>4176</v>
      </c>
      <c r="Y220" s="420" t="s">
        <v>4177</v>
      </c>
      <c r="Z220" s="421" t="s">
        <v>4178</v>
      </c>
    </row>
    <row r="221" spans="2:26" ht="12.75" customHeight="1" x14ac:dyDescent="0.2">
      <c r="B221" s="266" t="str">
        <f t="shared" si="3"/>
        <v>Agua66</v>
      </c>
      <c r="C221" s="422"/>
      <c r="D221" s="287" t="s">
        <v>10142</v>
      </c>
      <c r="E221" s="418" t="s">
        <v>1615</v>
      </c>
      <c r="F221" s="418">
        <v>66</v>
      </c>
      <c r="G221" s="427" t="s">
        <v>1389</v>
      </c>
      <c r="H221" s="427" t="s">
        <v>3298</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4179</v>
      </c>
      <c r="W221" s="420" t="s">
        <v>4180</v>
      </c>
      <c r="X221" s="420" t="s">
        <v>4181</v>
      </c>
      <c r="Y221" s="420" t="s">
        <v>4182</v>
      </c>
      <c r="Z221" s="421" t="s">
        <v>4183</v>
      </c>
    </row>
    <row r="222" spans="2:26" ht="12.75" customHeight="1" x14ac:dyDescent="0.2">
      <c r="B222" s="266" t="str">
        <f t="shared" si="3"/>
        <v>Agua70</v>
      </c>
      <c r="C222" s="422"/>
      <c r="D222" s="287" t="s">
        <v>10143</v>
      </c>
      <c r="E222" s="418" t="s">
        <v>1615</v>
      </c>
      <c r="F222" s="418">
        <v>70</v>
      </c>
      <c r="G222" s="427" t="s">
        <v>2121</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4184</v>
      </c>
      <c r="W222" s="420" t="s">
        <v>4185</v>
      </c>
      <c r="X222" s="420" t="s">
        <v>4186</v>
      </c>
      <c r="Y222" s="420" t="s">
        <v>4187</v>
      </c>
      <c r="Z222" s="421" t="s">
        <v>4188</v>
      </c>
    </row>
    <row r="223" spans="2:26" ht="12.75" customHeight="1" x14ac:dyDescent="0.2">
      <c r="B223" s="266" t="str">
        <f t="shared" si="3"/>
        <v>Agua72</v>
      </c>
      <c r="C223" s="422"/>
      <c r="D223" s="287" t="s">
        <v>3156</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4189</v>
      </c>
      <c r="W223" s="420" t="s">
        <v>4190</v>
      </c>
      <c r="X223" s="420" t="s">
        <v>4191</v>
      </c>
      <c r="Y223" s="420" t="s">
        <v>4192</v>
      </c>
      <c r="Z223" s="421" t="s">
        <v>4193</v>
      </c>
    </row>
    <row r="224" spans="2:26" ht="12.75" customHeight="1" x14ac:dyDescent="0.2">
      <c r="B224" s="266" t="str">
        <f t="shared" si="3"/>
        <v>Agua76</v>
      </c>
      <c r="C224" s="422"/>
      <c r="D224" s="287" t="s">
        <v>10144</v>
      </c>
      <c r="E224" s="418" t="s">
        <v>1615</v>
      </c>
      <c r="F224" s="418">
        <v>76</v>
      </c>
      <c r="G224" s="427" t="s">
        <v>1389</v>
      </c>
      <c r="H224" s="427" t="s">
        <v>3298</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4194</v>
      </c>
      <c r="W224" s="420" t="s">
        <v>4195</v>
      </c>
      <c r="X224" s="420" t="s">
        <v>4196</v>
      </c>
      <c r="Y224" s="420" t="s">
        <v>4197</v>
      </c>
      <c r="Z224" s="421" t="s">
        <v>4198</v>
      </c>
    </row>
    <row r="225" spans="2:26" ht="12.75" customHeight="1" x14ac:dyDescent="0.2">
      <c r="B225" s="266" t="str">
        <f t="shared" si="3"/>
        <v>Agua80</v>
      </c>
      <c r="C225" s="422"/>
      <c r="D225" s="287" t="s">
        <v>10145</v>
      </c>
      <c r="E225" s="418" t="s">
        <v>1615</v>
      </c>
      <c r="F225" s="418">
        <v>80</v>
      </c>
      <c r="G225" s="427" t="s">
        <v>1389</v>
      </c>
      <c r="H225" s="427" t="s">
        <v>3298</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4199</v>
      </c>
      <c r="W225" s="420" t="s">
        <v>4200</v>
      </c>
      <c r="X225" s="420" t="s">
        <v>4201</v>
      </c>
      <c r="Y225" s="420" t="s">
        <v>4202</v>
      </c>
      <c r="Z225" s="421" t="s">
        <v>4203</v>
      </c>
    </row>
    <row r="226" spans="2:26" ht="12.75" customHeight="1" x14ac:dyDescent="0.2">
      <c r="B226" s="266" t="str">
        <f t="shared" si="3"/>
        <v>Agua82</v>
      </c>
      <c r="C226" s="422"/>
      <c r="D226" s="287" t="s">
        <v>10146</v>
      </c>
      <c r="E226" s="418" t="s">
        <v>1615</v>
      </c>
      <c r="F226" s="418">
        <v>82</v>
      </c>
      <c r="G226" s="427" t="s">
        <v>2121</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3443</v>
      </c>
      <c r="W226" s="420" t="s">
        <v>3590</v>
      </c>
      <c r="X226" s="420" t="s">
        <v>3445</v>
      </c>
      <c r="Y226" s="420" t="s">
        <v>3446</v>
      </c>
      <c r="Z226" s="421" t="s">
        <v>4204</v>
      </c>
    </row>
    <row r="227" spans="2:26" ht="12.75" customHeight="1" x14ac:dyDescent="0.2">
      <c r="B227" s="266" t="str">
        <f t="shared" si="3"/>
        <v>Agua86</v>
      </c>
      <c r="C227" s="422"/>
      <c r="D227" s="287" t="s">
        <v>10147</v>
      </c>
      <c r="E227" s="418" t="s">
        <v>1615</v>
      </c>
      <c r="F227" s="418">
        <v>86</v>
      </c>
      <c r="G227" s="427" t="s">
        <v>2121</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4205</v>
      </c>
      <c r="W227" s="420" t="s">
        <v>4206</v>
      </c>
      <c r="X227" s="420" t="s">
        <v>4207</v>
      </c>
      <c r="Y227" s="420" t="s">
        <v>4208</v>
      </c>
      <c r="Z227" s="421" t="s">
        <v>4209</v>
      </c>
    </row>
    <row r="228" spans="2:26" ht="12.75" customHeight="1" x14ac:dyDescent="0.2">
      <c r="B228" s="266" t="str">
        <f t="shared" si="3"/>
        <v>Agua90</v>
      </c>
      <c r="C228" s="422"/>
      <c r="D228" s="287" t="s">
        <v>10148</v>
      </c>
      <c r="E228" s="418" t="s">
        <v>1615</v>
      </c>
      <c r="F228" s="418">
        <v>90</v>
      </c>
      <c r="G228" s="427" t="s">
        <v>2121</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4210</v>
      </c>
      <c r="W228" s="420" t="s">
        <v>4211</v>
      </c>
      <c r="X228" s="420" t="s">
        <v>4212</v>
      </c>
      <c r="Y228" s="420" t="s">
        <v>4213</v>
      </c>
      <c r="Z228" s="421" t="s">
        <v>4214</v>
      </c>
    </row>
    <row r="229" spans="2:26" ht="12.75" customHeight="1" x14ac:dyDescent="0.2">
      <c r="B229" s="266" t="str">
        <f t="shared" si="3"/>
        <v>Agua92</v>
      </c>
      <c r="C229" s="422"/>
      <c r="D229" s="287" t="s">
        <v>10149</v>
      </c>
      <c r="E229" s="418" t="s">
        <v>1615</v>
      </c>
      <c r="F229" s="418">
        <v>92</v>
      </c>
      <c r="G229" s="427" t="s">
        <v>2121</v>
      </c>
      <c r="H229" s="427" t="s">
        <v>3298</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4215</v>
      </c>
      <c r="W229" s="420" t="s">
        <v>4216</v>
      </c>
      <c r="X229" s="420" t="s">
        <v>4217</v>
      </c>
      <c r="Y229" s="420" t="s">
        <v>4218</v>
      </c>
      <c r="Z229" s="421" t="s">
        <v>4219</v>
      </c>
    </row>
    <row r="230" spans="2:26" ht="12.75" customHeight="1" x14ac:dyDescent="0.2">
      <c r="B230" s="266" t="str">
        <f t="shared" si="3"/>
        <v>Agua96</v>
      </c>
      <c r="C230" s="422"/>
      <c r="D230" s="287" t="s">
        <v>10150</v>
      </c>
      <c r="E230" s="418" t="s">
        <v>1615</v>
      </c>
      <c r="F230" s="418">
        <v>96</v>
      </c>
      <c r="G230" s="427" t="s">
        <v>2121</v>
      </c>
      <c r="H230" s="427" t="s">
        <v>3298</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4215</v>
      </c>
      <c r="W230" s="420" t="s">
        <v>4216</v>
      </c>
      <c r="X230" s="420" t="s">
        <v>4217</v>
      </c>
      <c r="Y230" s="420" t="s">
        <v>4220</v>
      </c>
      <c r="Z230" s="421" t="s">
        <v>4221</v>
      </c>
    </row>
    <row r="231" spans="2:26" ht="12.75" customHeight="1" x14ac:dyDescent="0.2">
      <c r="B231" s="266" t="str">
        <f t="shared" si="3"/>
        <v>Agua100</v>
      </c>
      <c r="C231" s="422"/>
      <c r="D231" s="287" t="s">
        <v>10151</v>
      </c>
      <c r="E231" s="418" t="s">
        <v>1615</v>
      </c>
      <c r="F231" s="418">
        <v>100</v>
      </c>
      <c r="G231" s="427" t="s">
        <v>2121</v>
      </c>
      <c r="H231" s="427" t="s">
        <v>3298</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3576</v>
      </c>
      <c r="W231" s="420" t="s">
        <v>4168</v>
      </c>
      <c r="X231" s="420" t="s">
        <v>3411</v>
      </c>
      <c r="Y231" s="420" t="s">
        <v>3412</v>
      </c>
      <c r="Z231" s="421" t="s">
        <v>4222</v>
      </c>
    </row>
    <row r="232" spans="2:26" ht="12.75" customHeight="1" x14ac:dyDescent="0.2">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2:26" ht="12.75" customHeight="1" x14ac:dyDescent="0.2">
      <c r="B233" s="266" t="str">
        <f t="shared" si="3"/>
        <v>Fuego2</v>
      </c>
      <c r="C233" s="422"/>
      <c r="D233" s="287" t="s">
        <v>151</v>
      </c>
      <c r="E233" s="418" t="s">
        <v>1619</v>
      </c>
      <c r="F233" s="418">
        <v>2</v>
      </c>
      <c r="G233" s="427" t="s">
        <v>2121</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4223</v>
      </c>
      <c r="W233" s="420" t="s">
        <v>4224</v>
      </c>
      <c r="X233" s="420" t="s">
        <v>4225</v>
      </c>
      <c r="Y233" s="420" t="s">
        <v>4226</v>
      </c>
      <c r="Z233" s="421" t="s">
        <v>4227</v>
      </c>
    </row>
    <row r="234" spans="2:26" ht="12.75" customHeight="1" x14ac:dyDescent="0.2">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4228</v>
      </c>
      <c r="W234" s="420" t="s">
        <v>4229</v>
      </c>
      <c r="X234" s="420" t="s">
        <v>4230</v>
      </c>
      <c r="Y234" s="420" t="s">
        <v>4231</v>
      </c>
      <c r="Z234" s="421" t="s">
        <v>4232</v>
      </c>
    </row>
    <row r="235" spans="2:26" ht="12.75" customHeight="1" x14ac:dyDescent="0.2">
      <c r="B235" s="266" t="str">
        <f t="shared" si="3"/>
        <v>Fuego10</v>
      </c>
      <c r="C235" s="422"/>
      <c r="D235" s="287" t="s">
        <v>10152</v>
      </c>
      <c r="E235" s="418" t="s">
        <v>1619</v>
      </c>
      <c r="F235" s="418">
        <v>10</v>
      </c>
      <c r="G235" s="427" t="s">
        <v>2121</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4233</v>
      </c>
      <c r="W235" s="420" t="s">
        <v>4234</v>
      </c>
      <c r="X235" s="420" t="s">
        <v>4235</v>
      </c>
      <c r="Y235" s="420" t="s">
        <v>4236</v>
      </c>
      <c r="Z235" s="421" t="s">
        <v>4237</v>
      </c>
    </row>
    <row r="236" spans="2:26" ht="12.75" customHeight="1" x14ac:dyDescent="0.2">
      <c r="B236" s="266" t="str">
        <f t="shared" si="3"/>
        <v>Fuego12</v>
      </c>
      <c r="C236" s="422"/>
      <c r="D236" s="287" t="s">
        <v>10153</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4238</v>
      </c>
      <c r="W236" s="420" t="s">
        <v>4239</v>
      </c>
      <c r="X236" s="420" t="s">
        <v>4240</v>
      </c>
      <c r="Y236" s="420" t="s">
        <v>4241</v>
      </c>
      <c r="Z236" s="421" t="s">
        <v>4242</v>
      </c>
    </row>
    <row r="237" spans="2:26" ht="12.75" customHeight="1" x14ac:dyDescent="0.2">
      <c r="B237" s="266" t="str">
        <f t="shared" si="3"/>
        <v>Fuego16</v>
      </c>
      <c r="C237" s="422"/>
      <c r="D237" s="287" t="s">
        <v>10154</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4243</v>
      </c>
      <c r="W237" s="420" t="s">
        <v>4244</v>
      </c>
      <c r="X237" s="420" t="s">
        <v>4245</v>
      </c>
      <c r="Y237" s="420" t="s">
        <v>4246</v>
      </c>
      <c r="Z237" s="421" t="s">
        <v>4247</v>
      </c>
    </row>
    <row r="238" spans="2:26" ht="12.75" customHeight="1" x14ac:dyDescent="0.2">
      <c r="B238" s="266" t="str">
        <f t="shared" si="3"/>
        <v>Fuego20</v>
      </c>
      <c r="C238" s="422"/>
      <c r="D238" s="287" t="s">
        <v>10155</v>
      </c>
      <c r="E238" s="418" t="s">
        <v>1619</v>
      </c>
      <c r="F238" s="418">
        <v>20</v>
      </c>
      <c r="G238" s="427" t="s">
        <v>2121</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4248</v>
      </c>
      <c r="W238" s="420" t="s">
        <v>4249</v>
      </c>
      <c r="X238" s="420" t="s">
        <v>4250</v>
      </c>
      <c r="Y238" s="420" t="s">
        <v>4251</v>
      </c>
      <c r="Z238" s="421" t="s">
        <v>4252</v>
      </c>
    </row>
    <row r="239" spans="2:26" ht="12.75" customHeight="1" x14ac:dyDescent="0.2">
      <c r="B239" s="266" t="str">
        <f t="shared" si="3"/>
        <v>Fuego22</v>
      </c>
      <c r="C239" s="422"/>
      <c r="D239" s="287" t="s">
        <v>10156</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4253</v>
      </c>
      <c r="W239" s="420" t="s">
        <v>4254</v>
      </c>
      <c r="X239" s="420" t="s">
        <v>4255</v>
      </c>
      <c r="Y239" s="420" t="s">
        <v>4256</v>
      </c>
      <c r="Z239" s="421" t="s">
        <v>4257</v>
      </c>
    </row>
    <row r="240" spans="2:26" ht="12.75" customHeight="1" x14ac:dyDescent="0.2">
      <c r="B240" s="266" t="str">
        <f t="shared" si="3"/>
        <v>Fuego26</v>
      </c>
      <c r="C240" s="422"/>
      <c r="D240" s="287" t="s">
        <v>10157</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4258</v>
      </c>
      <c r="W240" s="420" t="s">
        <v>4259</v>
      </c>
      <c r="X240" s="420" t="s">
        <v>4260</v>
      </c>
      <c r="Y240" s="420" t="s">
        <v>4261</v>
      </c>
      <c r="Z240" s="421" t="s">
        <v>4262</v>
      </c>
    </row>
    <row r="241" spans="2:26" ht="12.75" customHeight="1" x14ac:dyDescent="0.2">
      <c r="B241" s="266" t="str">
        <f t="shared" si="3"/>
        <v>Fuego30</v>
      </c>
      <c r="C241" s="422"/>
      <c r="D241" s="287" t="s">
        <v>10158</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4263</v>
      </c>
      <c r="W241" s="420" t="s">
        <v>4264</v>
      </c>
      <c r="X241" s="420" t="s">
        <v>4265</v>
      </c>
      <c r="Y241" s="420" t="s">
        <v>4266</v>
      </c>
      <c r="Z241" s="421" t="s">
        <v>4267</v>
      </c>
    </row>
    <row r="242" spans="2:26" ht="12.75" customHeight="1" x14ac:dyDescent="0.2">
      <c r="B242" s="266" t="str">
        <f t="shared" si="3"/>
        <v>Fuego32</v>
      </c>
      <c r="C242" s="422"/>
      <c r="D242" s="287" t="s">
        <v>10159</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4268</v>
      </c>
      <c r="W242" s="420" t="s">
        <v>4269</v>
      </c>
      <c r="X242" s="420" t="s">
        <v>4270</v>
      </c>
      <c r="Y242" s="420" t="s">
        <v>4271</v>
      </c>
      <c r="Z242" s="421" t="s">
        <v>4272</v>
      </c>
    </row>
    <row r="243" spans="2:26" ht="12.75" customHeight="1" x14ac:dyDescent="0.2">
      <c r="B243" s="266" t="str">
        <f t="shared" si="3"/>
        <v>Fuego36</v>
      </c>
      <c r="C243" s="422"/>
      <c r="D243" s="287" t="s">
        <v>10160</v>
      </c>
      <c r="E243" s="418" t="s">
        <v>1619</v>
      </c>
      <c r="F243" s="418">
        <v>36</v>
      </c>
      <c r="G243" s="427" t="s">
        <v>2121</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4273</v>
      </c>
      <c r="W243" s="420" t="s">
        <v>4274</v>
      </c>
      <c r="X243" s="420" t="s">
        <v>4275</v>
      </c>
      <c r="Y243" s="420" t="s">
        <v>4276</v>
      </c>
      <c r="Z243" s="421" t="s">
        <v>4277</v>
      </c>
    </row>
    <row r="244" spans="2:26" ht="12.75" customHeight="1" x14ac:dyDescent="0.2">
      <c r="B244" s="266" t="str">
        <f t="shared" si="3"/>
        <v>Fuego40</v>
      </c>
      <c r="C244" s="422"/>
      <c r="D244" s="287" t="s">
        <v>10161</v>
      </c>
      <c r="E244" s="418" t="s">
        <v>1619</v>
      </c>
      <c r="F244" s="418">
        <v>40</v>
      </c>
      <c r="G244" s="427" t="s">
        <v>2121</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4278</v>
      </c>
      <c r="W244" s="420" t="s">
        <v>4279</v>
      </c>
      <c r="X244" s="420" t="s">
        <v>4280</v>
      </c>
      <c r="Y244" s="420" t="s">
        <v>4281</v>
      </c>
      <c r="Z244" s="421" t="s">
        <v>4282</v>
      </c>
    </row>
    <row r="245" spans="2:26" ht="12.75" customHeight="1" x14ac:dyDescent="0.2">
      <c r="B245" s="266" t="str">
        <f t="shared" si="3"/>
        <v>Fuego42</v>
      </c>
      <c r="C245" s="422"/>
      <c r="D245" s="287" t="s">
        <v>10162</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4283</v>
      </c>
      <c r="W245" s="420" t="s">
        <v>4284</v>
      </c>
      <c r="X245" s="420" t="s">
        <v>4285</v>
      </c>
      <c r="Y245" s="420" t="s">
        <v>4286</v>
      </c>
      <c r="Z245" s="421" t="s">
        <v>4287</v>
      </c>
    </row>
    <row r="246" spans="2:26" ht="12.75" customHeight="1" x14ac:dyDescent="0.2">
      <c r="B246" s="266" t="str">
        <f t="shared" si="3"/>
        <v>Fuego46</v>
      </c>
      <c r="C246" s="422"/>
      <c r="D246" s="287" t="s">
        <v>10163</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4288</v>
      </c>
      <c r="W246" s="420" t="s">
        <v>4289</v>
      </c>
      <c r="X246" s="420" t="s">
        <v>4290</v>
      </c>
      <c r="Y246" s="420" t="s">
        <v>4291</v>
      </c>
      <c r="Z246" s="421" t="s">
        <v>4292</v>
      </c>
    </row>
    <row r="247" spans="2:26" ht="12.75" customHeight="1" x14ac:dyDescent="0.2">
      <c r="B247" s="266" t="str">
        <f t="shared" si="3"/>
        <v>Fuego50</v>
      </c>
      <c r="C247" s="422"/>
      <c r="D247" s="287" t="s">
        <v>10164</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4293</v>
      </c>
      <c r="W247" s="420" t="s">
        <v>4294</v>
      </c>
      <c r="X247" s="420" t="s">
        <v>4295</v>
      </c>
      <c r="Y247" s="420" t="s">
        <v>4296</v>
      </c>
      <c r="Z247" s="421" t="s">
        <v>4297</v>
      </c>
    </row>
    <row r="248" spans="2:26" ht="12.75" customHeight="1" x14ac:dyDescent="0.2">
      <c r="B248" s="266" t="str">
        <f t="shared" si="3"/>
        <v>Fuego52</v>
      </c>
      <c r="C248" s="422"/>
      <c r="D248" s="287" t="s">
        <v>10165</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4017</v>
      </c>
      <c r="W248" s="420" t="s">
        <v>4298</v>
      </c>
      <c r="X248" s="420" t="s">
        <v>4299</v>
      </c>
      <c r="Y248" s="420" t="s">
        <v>4300</v>
      </c>
      <c r="Z248" s="421" t="s">
        <v>4301</v>
      </c>
    </row>
    <row r="249" spans="2:26" ht="12.75" customHeight="1" x14ac:dyDescent="0.2">
      <c r="B249" s="266" t="str">
        <f t="shared" si="3"/>
        <v>Fuego56</v>
      </c>
      <c r="C249" s="422"/>
      <c r="D249" s="287" t="s">
        <v>1662</v>
      </c>
      <c r="E249" s="418" t="s">
        <v>1619</v>
      </c>
      <c r="F249" s="418">
        <v>56</v>
      </c>
      <c r="G249" s="427" t="s">
        <v>2121</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4302</v>
      </c>
      <c r="W249" s="420" t="s">
        <v>4303</v>
      </c>
      <c r="X249" s="420" t="s">
        <v>4304</v>
      </c>
      <c r="Y249" s="420" t="s">
        <v>4305</v>
      </c>
      <c r="Z249" s="421" t="s">
        <v>4306</v>
      </c>
    </row>
    <row r="250" spans="2:26" ht="12.75" customHeight="1" x14ac:dyDescent="0.2">
      <c r="B250" s="266" t="str">
        <f t="shared" si="3"/>
        <v>Fuego60</v>
      </c>
      <c r="C250" s="422"/>
      <c r="D250" s="287" t="s">
        <v>10166</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4307</v>
      </c>
      <c r="W250" s="420" t="s">
        <v>4308</v>
      </c>
      <c r="X250" s="420" t="s">
        <v>4309</v>
      </c>
      <c r="Y250" s="420" t="s">
        <v>4310</v>
      </c>
      <c r="Z250" s="421" t="s">
        <v>4311</v>
      </c>
    </row>
    <row r="251" spans="2:26" ht="12.75" customHeight="1" x14ac:dyDescent="0.2">
      <c r="B251" s="266" t="str">
        <f t="shared" si="3"/>
        <v>Fuego62</v>
      </c>
      <c r="C251" s="422"/>
      <c r="D251" s="287" t="s">
        <v>10167</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4312</v>
      </c>
      <c r="W251" s="420" t="s">
        <v>4313</v>
      </c>
      <c r="X251" s="420" t="s">
        <v>4314</v>
      </c>
      <c r="Y251" s="420" t="s">
        <v>4315</v>
      </c>
      <c r="Z251" s="421" t="s">
        <v>4316</v>
      </c>
    </row>
    <row r="252" spans="2:26" ht="12.75" customHeight="1" x14ac:dyDescent="0.2">
      <c r="B252" s="266" t="str">
        <f t="shared" si="3"/>
        <v>Fuego66</v>
      </c>
      <c r="C252" s="422"/>
      <c r="D252" s="287" t="s">
        <v>10168</v>
      </c>
      <c r="E252" s="418" t="s">
        <v>1619</v>
      </c>
      <c r="F252" s="418">
        <v>66</v>
      </c>
      <c r="G252" s="427" t="s">
        <v>2121</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4317</v>
      </c>
      <c r="W252" s="420" t="s">
        <v>4318</v>
      </c>
      <c r="X252" s="420" t="s">
        <v>4319</v>
      </c>
      <c r="Y252" s="420" t="s">
        <v>4320</v>
      </c>
      <c r="Z252" s="421" t="s">
        <v>4321</v>
      </c>
    </row>
    <row r="253" spans="2:26" ht="12.75" customHeight="1" x14ac:dyDescent="0.2">
      <c r="B253" s="266" t="str">
        <f t="shared" si="3"/>
        <v>Fuego70</v>
      </c>
      <c r="C253" s="422"/>
      <c r="D253" s="287" t="s">
        <v>10169</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4322</v>
      </c>
      <c r="W253" s="420" t="s">
        <v>4323</v>
      </c>
      <c r="X253" s="420" t="s">
        <v>4324</v>
      </c>
      <c r="Y253" s="420" t="s">
        <v>4325</v>
      </c>
      <c r="Z253" s="421" t="s">
        <v>4326</v>
      </c>
    </row>
    <row r="254" spans="2:26" ht="12.75" customHeight="1" x14ac:dyDescent="0.2">
      <c r="B254" s="266" t="str">
        <f t="shared" si="3"/>
        <v>Fuego72</v>
      </c>
      <c r="C254" s="422"/>
      <c r="D254" s="287" t="s">
        <v>10170</v>
      </c>
      <c r="E254" s="418" t="s">
        <v>1619</v>
      </c>
      <c r="F254" s="418">
        <v>72</v>
      </c>
      <c r="G254" s="427" t="s">
        <v>2121</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4318</v>
      </c>
      <c r="W254" s="420" t="s">
        <v>4327</v>
      </c>
      <c r="X254" s="420" t="s">
        <v>4328</v>
      </c>
      <c r="Y254" s="420" t="s">
        <v>4329</v>
      </c>
      <c r="Z254" s="421" t="s">
        <v>4330</v>
      </c>
    </row>
    <row r="255" spans="2:26" ht="12.75" customHeight="1" x14ac:dyDescent="0.2">
      <c r="B255" s="266" t="str">
        <f t="shared" si="3"/>
        <v>Fuego76</v>
      </c>
      <c r="C255" s="422"/>
      <c r="D255" s="287" t="s">
        <v>10171</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4331</v>
      </c>
      <c r="W255" s="420" t="s">
        <v>4332</v>
      </c>
      <c r="X255" s="420" t="s">
        <v>4333</v>
      </c>
      <c r="Y255" s="420" t="s">
        <v>4334</v>
      </c>
      <c r="Z255" s="421" t="s">
        <v>4335</v>
      </c>
    </row>
    <row r="256" spans="2:26" ht="12.75" customHeight="1" x14ac:dyDescent="0.2">
      <c r="B256" s="266" t="str">
        <f t="shared" si="3"/>
        <v>Fuego80</v>
      </c>
      <c r="C256" s="422"/>
      <c r="D256" s="287" t="s">
        <v>10172</v>
      </c>
      <c r="E256" s="418" t="s">
        <v>1619</v>
      </c>
      <c r="F256" s="418">
        <v>80</v>
      </c>
      <c r="G256" s="427" t="s">
        <v>2121</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4336</v>
      </c>
      <c r="W256" s="420" t="s">
        <v>4337</v>
      </c>
      <c r="X256" s="420" t="s">
        <v>4338</v>
      </c>
      <c r="Y256" s="420" t="s">
        <v>4339</v>
      </c>
      <c r="Z256" s="421" t="s">
        <v>4340</v>
      </c>
    </row>
    <row r="257" spans="2:26" ht="12.75" customHeight="1" x14ac:dyDescent="0.2">
      <c r="B257" s="266" t="str">
        <f t="shared" si="3"/>
        <v>Fuego82</v>
      </c>
      <c r="C257" s="422"/>
      <c r="D257" s="287" t="s">
        <v>10173</v>
      </c>
      <c r="E257" s="418" t="s">
        <v>1619</v>
      </c>
      <c r="F257" s="418">
        <v>82</v>
      </c>
      <c r="G257" s="427" t="s">
        <v>2121</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3443</v>
      </c>
      <c r="W257" s="420" t="s">
        <v>3444</v>
      </c>
      <c r="X257" s="420" t="s">
        <v>3445</v>
      </c>
      <c r="Y257" s="420" t="s">
        <v>3446</v>
      </c>
      <c r="Z257" s="421" t="s">
        <v>4341</v>
      </c>
    </row>
    <row r="258" spans="2:26" ht="12.75" customHeight="1" x14ac:dyDescent="0.2">
      <c r="B258" s="266" t="str">
        <f t="shared" si="3"/>
        <v>Fuego86</v>
      </c>
      <c r="C258" s="422"/>
      <c r="D258" s="287" t="s">
        <v>10174</v>
      </c>
      <c r="E258" s="418" t="s">
        <v>1619</v>
      </c>
      <c r="F258" s="418">
        <v>86</v>
      </c>
      <c r="G258" s="427" t="s">
        <v>2121</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4342</v>
      </c>
      <c r="W258" s="420" t="s">
        <v>4343</v>
      </c>
      <c r="X258" s="420" t="s">
        <v>4344</v>
      </c>
      <c r="Y258" s="420" t="s">
        <v>4345</v>
      </c>
      <c r="Z258" s="421" t="s">
        <v>4346</v>
      </c>
    </row>
    <row r="259" spans="2:26" ht="12.75" customHeight="1" x14ac:dyDescent="0.2">
      <c r="B259" s="266" t="str">
        <f t="shared" si="3"/>
        <v>Fuego90</v>
      </c>
      <c r="C259" s="422"/>
      <c r="D259" s="287" t="s">
        <v>10175</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4347</v>
      </c>
      <c r="W259" s="420" t="s">
        <v>4348</v>
      </c>
      <c r="X259" s="420" t="s">
        <v>4349</v>
      </c>
      <c r="Y259" s="420" t="s">
        <v>4350</v>
      </c>
      <c r="Z259" s="421" t="s">
        <v>4351</v>
      </c>
    </row>
    <row r="260" spans="2:26" ht="12.75" customHeight="1" x14ac:dyDescent="0.2">
      <c r="B260" s="266" t="str">
        <f t="shared" si="3"/>
        <v>Fuego92</v>
      </c>
      <c r="C260" s="422"/>
      <c r="D260" s="287" t="s">
        <v>10176</v>
      </c>
      <c r="E260" s="418" t="s">
        <v>1619</v>
      </c>
      <c r="F260" s="418">
        <v>92</v>
      </c>
      <c r="G260" s="427" t="s">
        <v>2121</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4352</v>
      </c>
      <c r="W260" s="420" t="s">
        <v>4353</v>
      </c>
      <c r="X260" s="420" t="s">
        <v>4354</v>
      </c>
      <c r="Y260" s="420" t="s">
        <v>4355</v>
      </c>
      <c r="Z260" s="421" t="s">
        <v>4356</v>
      </c>
    </row>
    <row r="261" spans="2:26" ht="12.75" customHeight="1" x14ac:dyDescent="0.2">
      <c r="B261" s="266" t="str">
        <f t="shared" si="3"/>
        <v>Fuego96</v>
      </c>
      <c r="C261" s="422"/>
      <c r="D261" s="287" t="s">
        <v>10177</v>
      </c>
      <c r="E261" s="418" t="s">
        <v>1619</v>
      </c>
      <c r="F261" s="418">
        <v>96</v>
      </c>
      <c r="G261" s="427" t="s">
        <v>2121</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4357</v>
      </c>
      <c r="W261" s="420" t="s">
        <v>4358</v>
      </c>
      <c r="X261" s="420" t="s">
        <v>4359</v>
      </c>
      <c r="Y261" s="420" t="s">
        <v>4360</v>
      </c>
      <c r="Z261" s="421" t="s">
        <v>4361</v>
      </c>
    </row>
    <row r="262" spans="2:26" ht="12.75" customHeight="1" x14ac:dyDescent="0.2">
      <c r="B262" s="266" t="str">
        <f t="shared" si="3"/>
        <v>Fuego100</v>
      </c>
      <c r="C262" s="422"/>
      <c r="D262" s="287" t="s">
        <v>10178</v>
      </c>
      <c r="E262" s="418" t="s">
        <v>1619</v>
      </c>
      <c r="F262" s="418">
        <v>100</v>
      </c>
      <c r="G262" s="427" t="s">
        <v>2121</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4362</v>
      </c>
      <c r="W262" s="420" t="s">
        <v>4363</v>
      </c>
      <c r="X262" s="420" t="s">
        <v>4364</v>
      </c>
      <c r="Y262" s="420" t="s">
        <v>4365</v>
      </c>
      <c r="Z262" s="421" t="s">
        <v>4366</v>
      </c>
    </row>
    <row r="263" spans="2:26" ht="12.75" customHeight="1" x14ac:dyDescent="0.2">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2:26" ht="12.75" customHeight="1" x14ac:dyDescent="0.2">
      <c r="B264" s="266" t="str">
        <f t="shared" ref="B264:B327" si="4">E264&amp;F264</f>
        <v>Tierra2</v>
      </c>
      <c r="C264" s="422"/>
      <c r="D264" s="287" t="s">
        <v>10179</v>
      </c>
      <c r="E264" s="418" t="s">
        <v>1713</v>
      </c>
      <c r="F264" s="418">
        <v>2</v>
      </c>
      <c r="G264" s="427" t="s">
        <v>1389</v>
      </c>
      <c r="H264" s="427" t="s">
        <v>3298</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4367</v>
      </c>
      <c r="V264" s="420" t="s">
        <v>4368</v>
      </c>
      <c r="W264" s="420" t="s">
        <v>3597</v>
      </c>
      <c r="X264" s="420" t="s">
        <v>4369</v>
      </c>
      <c r="Y264" s="420" t="s">
        <v>3485</v>
      </c>
      <c r="Z264" s="421" t="s">
        <v>4370</v>
      </c>
    </row>
    <row r="265" spans="2:26" ht="12.75" customHeight="1" x14ac:dyDescent="0.2">
      <c r="B265" s="266" t="str">
        <f t="shared" si="4"/>
        <v>Tierra6</v>
      </c>
      <c r="C265" s="422"/>
      <c r="D265" s="287" t="s">
        <v>10180</v>
      </c>
      <c r="E265" s="418" t="s">
        <v>1713</v>
      </c>
      <c r="F265" s="418">
        <v>6</v>
      </c>
      <c r="G265" s="427" t="s">
        <v>2121</v>
      </c>
      <c r="H265" s="427" t="s">
        <v>4022</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4371</v>
      </c>
      <c r="W265" s="420" t="s">
        <v>4372</v>
      </c>
      <c r="X265" s="420" t="s">
        <v>4373</v>
      </c>
      <c r="Y265" s="420" t="s">
        <v>4374</v>
      </c>
      <c r="Z265" s="421" t="s">
        <v>4375</v>
      </c>
    </row>
    <row r="266" spans="2:26" ht="12.75" customHeight="1" x14ac:dyDescent="0.2">
      <c r="B266" s="266" t="str">
        <f t="shared" si="4"/>
        <v>Tierra10</v>
      </c>
      <c r="C266" s="422"/>
      <c r="D266" s="287" t="s">
        <v>10181</v>
      </c>
      <c r="E266" s="418" t="s">
        <v>1713</v>
      </c>
      <c r="F266" s="418">
        <v>10</v>
      </c>
      <c r="G266" s="427" t="s">
        <v>2121</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4376</v>
      </c>
      <c r="W266" s="420" t="s">
        <v>4377</v>
      </c>
      <c r="X266" s="420" t="s">
        <v>4378</v>
      </c>
      <c r="Y266" s="420" t="s">
        <v>4379</v>
      </c>
      <c r="Z266" s="421" t="s">
        <v>4380</v>
      </c>
    </row>
    <row r="267" spans="2:26" ht="12.75" customHeight="1" x14ac:dyDescent="0.2">
      <c r="B267" s="266" t="str">
        <f t="shared" si="4"/>
        <v>Tierra12</v>
      </c>
      <c r="C267" s="422"/>
      <c r="D267" s="287" t="s">
        <v>10182</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t="s">
        <v>1389</v>
      </c>
      <c r="S267" s="418" t="s">
        <v>1389</v>
      </c>
      <c r="T267" s="418" t="s">
        <v>1389</v>
      </c>
      <c r="U267" s="423" t="s">
        <v>1389</v>
      </c>
      <c r="V267" s="420" t="s">
        <v>4381</v>
      </c>
      <c r="W267" s="420" t="s">
        <v>4382</v>
      </c>
      <c r="X267" s="420" t="s">
        <v>4383</v>
      </c>
      <c r="Y267" s="420" t="s">
        <v>4384</v>
      </c>
      <c r="Z267" s="421" t="s">
        <v>4385</v>
      </c>
    </row>
    <row r="268" spans="2:26" ht="12.75" customHeight="1" x14ac:dyDescent="0.2">
      <c r="B268" s="266" t="str">
        <f t="shared" si="4"/>
        <v>Tierra16</v>
      </c>
      <c r="C268" s="422"/>
      <c r="D268" s="287" t="s">
        <v>10183</v>
      </c>
      <c r="E268" s="418" t="s">
        <v>1713</v>
      </c>
      <c r="F268" s="418">
        <v>16</v>
      </c>
      <c r="G268" s="427" t="s">
        <v>2121</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4386</v>
      </c>
      <c r="W268" s="420" t="s">
        <v>4387</v>
      </c>
      <c r="X268" s="420" t="s">
        <v>4388</v>
      </c>
      <c r="Y268" s="420" t="s">
        <v>4389</v>
      </c>
      <c r="Z268" s="421" t="s">
        <v>4390</v>
      </c>
    </row>
    <row r="269" spans="2:26" ht="12.75" customHeight="1" x14ac:dyDescent="0.2">
      <c r="B269" s="266" t="str">
        <f t="shared" si="4"/>
        <v>Tierra20</v>
      </c>
      <c r="C269" s="422"/>
      <c r="D269" s="287" t="s">
        <v>10184</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4391</v>
      </c>
      <c r="W269" s="420" t="s">
        <v>4392</v>
      </c>
      <c r="X269" s="420" t="s">
        <v>4393</v>
      </c>
      <c r="Y269" s="420" t="s">
        <v>4394</v>
      </c>
      <c r="Z269" s="421" t="s">
        <v>4395</v>
      </c>
    </row>
    <row r="270" spans="2:26" ht="12.75" customHeight="1" x14ac:dyDescent="0.2">
      <c r="B270" s="266" t="str">
        <f t="shared" si="4"/>
        <v>Tierra22</v>
      </c>
      <c r="C270" s="422"/>
      <c r="D270" s="287" t="s">
        <v>3025</v>
      </c>
      <c r="E270" s="418" t="s">
        <v>1713</v>
      </c>
      <c r="F270" s="418">
        <v>22</v>
      </c>
      <c r="G270" s="427" t="s">
        <v>1389</v>
      </c>
      <c r="H270" s="427" t="s">
        <v>1241</v>
      </c>
      <c r="I270" s="428" t="s">
        <v>1312</v>
      </c>
      <c r="J270" s="418">
        <v>6</v>
      </c>
      <c r="K270" s="418">
        <v>2</v>
      </c>
      <c r="L270" s="418">
        <v>12</v>
      </c>
      <c r="M270" s="423">
        <v>15</v>
      </c>
      <c r="N270" s="418">
        <v>60</v>
      </c>
      <c r="O270" s="418">
        <v>90</v>
      </c>
      <c r="P270" s="418">
        <v>120</v>
      </c>
      <c r="Q270" s="423">
        <v>150</v>
      </c>
      <c r="R270" s="418">
        <v>10</v>
      </c>
      <c r="S270" s="418">
        <v>10</v>
      </c>
      <c r="T270" s="418">
        <v>15</v>
      </c>
      <c r="U270" s="423">
        <v>15</v>
      </c>
      <c r="V270" s="420" t="s">
        <v>4396</v>
      </c>
      <c r="W270" s="420" t="s">
        <v>4397</v>
      </c>
      <c r="X270" s="420" t="s">
        <v>4398</v>
      </c>
      <c r="Y270" s="420" t="s">
        <v>4399</v>
      </c>
      <c r="Z270" s="421" t="s">
        <v>4400</v>
      </c>
    </row>
    <row r="271" spans="2:26" ht="12.75" customHeight="1" x14ac:dyDescent="0.2">
      <c r="B271" s="266" t="str">
        <f t="shared" si="4"/>
        <v>Tierra26</v>
      </c>
      <c r="C271" s="422"/>
      <c r="D271" s="287" t="s">
        <v>10185</v>
      </c>
      <c r="E271" s="418" t="s">
        <v>1713</v>
      </c>
      <c r="F271" s="418">
        <v>26</v>
      </c>
      <c r="G271" s="427" t="s">
        <v>2121</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4401</v>
      </c>
      <c r="W271" s="420" t="s">
        <v>4402</v>
      </c>
      <c r="X271" s="420" t="s">
        <v>4403</v>
      </c>
      <c r="Y271" s="420" t="s">
        <v>4404</v>
      </c>
      <c r="Z271" s="421" t="s">
        <v>4405</v>
      </c>
    </row>
    <row r="272" spans="2:26" ht="12.75" customHeight="1" x14ac:dyDescent="0.2">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3975</v>
      </c>
      <c r="W272" s="420" t="s">
        <v>4406</v>
      </c>
      <c r="X272" s="420" t="s">
        <v>4407</v>
      </c>
      <c r="Y272" s="420" t="s">
        <v>4408</v>
      </c>
      <c r="Z272" s="421" t="s">
        <v>4409</v>
      </c>
    </row>
    <row r="273" spans="2:26" ht="12.75" customHeight="1" x14ac:dyDescent="0.2">
      <c r="B273" s="266" t="str">
        <f t="shared" si="4"/>
        <v>Tierra32</v>
      </c>
      <c r="C273" s="422"/>
      <c r="D273" s="287" t="s">
        <v>10186</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3493</v>
      </c>
      <c r="W273" s="420" t="s">
        <v>4410</v>
      </c>
      <c r="X273" s="420" t="s">
        <v>3745</v>
      </c>
      <c r="Y273" s="420" t="s">
        <v>3746</v>
      </c>
      <c r="Z273" s="421" t="s">
        <v>4411</v>
      </c>
    </row>
    <row r="274" spans="2:26" ht="12.75" customHeight="1" x14ac:dyDescent="0.2">
      <c r="B274" s="266" t="str">
        <f t="shared" si="4"/>
        <v>Tierra36</v>
      </c>
      <c r="C274" s="422"/>
      <c r="D274" s="287" t="s">
        <v>10187</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4412</v>
      </c>
      <c r="W274" s="420" t="s">
        <v>4413</v>
      </c>
      <c r="X274" s="420" t="s">
        <v>4414</v>
      </c>
      <c r="Y274" s="420" t="s">
        <v>4415</v>
      </c>
      <c r="Z274" s="421" t="s">
        <v>4416</v>
      </c>
    </row>
    <row r="275" spans="2:26" ht="12.75" customHeight="1" x14ac:dyDescent="0.2">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4417</v>
      </c>
      <c r="W275" s="420" t="s">
        <v>4418</v>
      </c>
      <c r="X275" s="420" t="s">
        <v>4419</v>
      </c>
      <c r="Y275" s="420" t="s">
        <v>4420</v>
      </c>
      <c r="Z275" s="421" t="s">
        <v>4421</v>
      </c>
    </row>
    <row r="276" spans="2:26" ht="12.75" customHeight="1" x14ac:dyDescent="0.2">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4422</v>
      </c>
      <c r="W276" s="420" t="s">
        <v>4423</v>
      </c>
      <c r="X276" s="420" t="s">
        <v>4424</v>
      </c>
      <c r="Y276" s="420" t="s">
        <v>4425</v>
      </c>
      <c r="Z276" s="421" t="s">
        <v>4426</v>
      </c>
    </row>
    <row r="277" spans="2:26" ht="12.75" customHeight="1" x14ac:dyDescent="0.2">
      <c r="B277" s="266" t="str">
        <f t="shared" si="4"/>
        <v>Tierra46</v>
      </c>
      <c r="C277" s="422"/>
      <c r="D277" s="287" t="s">
        <v>10188</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4427</v>
      </c>
      <c r="W277" s="420" t="s">
        <v>4428</v>
      </c>
      <c r="X277" s="420" t="s">
        <v>4429</v>
      </c>
      <c r="Y277" s="420" t="s">
        <v>4430</v>
      </c>
      <c r="Z277" s="421" t="s">
        <v>4431</v>
      </c>
    </row>
    <row r="278" spans="2:26" ht="12.75" customHeight="1" x14ac:dyDescent="0.2">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4432</v>
      </c>
      <c r="W278" s="420" t="s">
        <v>4433</v>
      </c>
      <c r="X278" s="420" t="s">
        <v>4434</v>
      </c>
      <c r="Y278" s="420" t="s">
        <v>4435</v>
      </c>
      <c r="Z278" s="421" t="s">
        <v>4436</v>
      </c>
    </row>
    <row r="279" spans="2:26" ht="12.75" customHeight="1" x14ac:dyDescent="0.2">
      <c r="B279" s="266" t="str">
        <f t="shared" si="4"/>
        <v>Tierra52</v>
      </c>
      <c r="C279" s="422"/>
      <c r="D279" s="287" t="s">
        <v>10189</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4437</v>
      </c>
      <c r="W279" s="420" t="s">
        <v>4438</v>
      </c>
      <c r="X279" s="420" t="s">
        <v>4439</v>
      </c>
      <c r="Y279" s="420" t="s">
        <v>4440</v>
      </c>
      <c r="Z279" s="421" t="s">
        <v>4441</v>
      </c>
    </row>
    <row r="280" spans="2:26" ht="12.75" customHeight="1" x14ac:dyDescent="0.2">
      <c r="B280" s="266" t="str">
        <f t="shared" si="4"/>
        <v>Tierra56</v>
      </c>
      <c r="C280" s="422"/>
      <c r="D280" s="287" t="s">
        <v>2800</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4442</v>
      </c>
      <c r="W280" s="420" t="s">
        <v>4443</v>
      </c>
      <c r="X280" s="420" t="s">
        <v>4444</v>
      </c>
      <c r="Y280" s="420" t="s">
        <v>4445</v>
      </c>
      <c r="Z280" s="421" t="s">
        <v>4446</v>
      </c>
    </row>
    <row r="281" spans="2:26" ht="12.75" customHeight="1" x14ac:dyDescent="0.2">
      <c r="B281" s="266" t="str">
        <f t="shared" si="4"/>
        <v>Tierra60</v>
      </c>
      <c r="C281" s="422"/>
      <c r="D281" s="287" t="s">
        <v>10190</v>
      </c>
      <c r="E281" s="418" t="s">
        <v>1713</v>
      </c>
      <c r="F281" s="418">
        <v>60</v>
      </c>
      <c r="G281" s="427" t="s">
        <v>2121</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3681</v>
      </c>
      <c r="W281" s="420" t="s">
        <v>4447</v>
      </c>
      <c r="X281" s="420" t="s">
        <v>3410</v>
      </c>
      <c r="Y281" s="420" t="s">
        <v>3872</v>
      </c>
      <c r="Z281" s="421" t="s">
        <v>4448</v>
      </c>
    </row>
    <row r="282" spans="2:26" ht="12.75" customHeight="1" x14ac:dyDescent="0.2">
      <c r="B282" s="266" t="str">
        <f t="shared" si="4"/>
        <v>Tierra62</v>
      </c>
      <c r="C282" s="422"/>
      <c r="D282" s="287" t="s">
        <v>10191</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4449</v>
      </c>
      <c r="W282" s="420" t="s">
        <v>4450</v>
      </c>
      <c r="X282" s="420" t="s">
        <v>4451</v>
      </c>
      <c r="Y282" s="420" t="s">
        <v>4452</v>
      </c>
      <c r="Z282" s="421" t="s">
        <v>4453</v>
      </c>
    </row>
    <row r="283" spans="2:26" ht="12.75" customHeight="1" x14ac:dyDescent="0.2">
      <c r="B283" s="266" t="str">
        <f t="shared" si="4"/>
        <v>Tierra66</v>
      </c>
      <c r="C283" s="422"/>
      <c r="D283" s="287" t="s">
        <v>10192</v>
      </c>
      <c r="E283" s="418" t="s">
        <v>1713</v>
      </c>
      <c r="F283" s="418">
        <v>66</v>
      </c>
      <c r="G283" s="427" t="s">
        <v>2121</v>
      </c>
      <c r="H283" s="427" t="s">
        <v>3298</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4454</v>
      </c>
      <c r="W283" s="420" t="s">
        <v>4455</v>
      </c>
      <c r="X283" s="420" t="s">
        <v>4456</v>
      </c>
      <c r="Y283" s="420" t="s">
        <v>4457</v>
      </c>
      <c r="Z283" s="421" t="s">
        <v>4458</v>
      </c>
    </row>
    <row r="284" spans="2:26" ht="12.75" customHeight="1" x14ac:dyDescent="0.2">
      <c r="B284" s="266" t="str">
        <f t="shared" si="4"/>
        <v>Tierra70</v>
      </c>
      <c r="C284" s="422"/>
      <c r="D284" s="287" t="s">
        <v>10193</v>
      </c>
      <c r="E284" s="418" t="s">
        <v>1713</v>
      </c>
      <c r="F284" s="418">
        <v>70</v>
      </c>
      <c r="G284" s="427" t="s">
        <v>2121</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4459</v>
      </c>
      <c r="W284" s="420" t="s">
        <v>4460</v>
      </c>
      <c r="X284" s="420" t="s">
        <v>4461</v>
      </c>
      <c r="Y284" s="420" t="s">
        <v>4462</v>
      </c>
      <c r="Z284" s="421" t="s">
        <v>4463</v>
      </c>
    </row>
    <row r="285" spans="2:26" ht="12.75" customHeight="1" x14ac:dyDescent="0.2">
      <c r="B285" s="266" t="str">
        <f t="shared" si="4"/>
        <v>Tierra72</v>
      </c>
      <c r="C285" s="422"/>
      <c r="D285" s="287" t="s">
        <v>10194</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3485</v>
      </c>
      <c r="W285" s="420" t="s">
        <v>4464</v>
      </c>
      <c r="X285" s="420" t="s">
        <v>4465</v>
      </c>
      <c r="Y285" s="420" t="s">
        <v>4466</v>
      </c>
      <c r="Z285" s="421" t="s">
        <v>4467</v>
      </c>
    </row>
    <row r="286" spans="2:26" ht="12.75" customHeight="1" x14ac:dyDescent="0.2">
      <c r="B286" s="266" t="str">
        <f t="shared" si="4"/>
        <v>Tierra76</v>
      </c>
      <c r="C286" s="422"/>
      <c r="D286" s="287" t="s">
        <v>10195</v>
      </c>
      <c r="E286" s="418" t="s">
        <v>1713</v>
      </c>
      <c r="F286" s="418">
        <v>76</v>
      </c>
      <c r="G286" s="427" t="s">
        <v>1389</v>
      </c>
      <c r="H286" s="427" t="s">
        <v>4468</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3485</v>
      </c>
      <c r="W286" s="420" t="s">
        <v>4464</v>
      </c>
      <c r="X286" s="420" t="s">
        <v>4465</v>
      </c>
      <c r="Y286" s="420" t="s">
        <v>4466</v>
      </c>
      <c r="Z286" s="421" t="s">
        <v>4469</v>
      </c>
    </row>
    <row r="287" spans="2:26" ht="12.75" customHeight="1" x14ac:dyDescent="0.2">
      <c r="B287" s="266" t="str">
        <f t="shared" si="4"/>
        <v>Tierra80</v>
      </c>
      <c r="C287" s="422"/>
      <c r="D287" s="287" t="s">
        <v>10196</v>
      </c>
      <c r="E287" s="418" t="s">
        <v>1713</v>
      </c>
      <c r="F287" s="418">
        <v>80</v>
      </c>
      <c r="G287" s="427" t="s">
        <v>1389</v>
      </c>
      <c r="H287" s="427" t="s">
        <v>3298</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4470</v>
      </c>
      <c r="W287" s="420" t="s">
        <v>3597</v>
      </c>
      <c r="X287" s="420" t="s">
        <v>3484</v>
      </c>
      <c r="Y287" s="420" t="s">
        <v>4369</v>
      </c>
      <c r="Z287" s="421" t="s">
        <v>4471</v>
      </c>
    </row>
    <row r="288" spans="2:26" ht="12.75" customHeight="1" x14ac:dyDescent="0.2">
      <c r="B288" s="266" t="str">
        <f t="shared" si="4"/>
        <v>Tierra82</v>
      </c>
      <c r="C288" s="422"/>
      <c r="D288" s="287" t="s">
        <v>10197</v>
      </c>
      <c r="E288" s="418" t="s">
        <v>1713</v>
      </c>
      <c r="F288" s="418">
        <v>82</v>
      </c>
      <c r="G288" s="427" t="s">
        <v>2121</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3748</v>
      </c>
      <c r="W288" s="420" t="s">
        <v>3444</v>
      </c>
      <c r="X288" s="420" t="s">
        <v>4472</v>
      </c>
      <c r="Y288" s="420" t="s">
        <v>4473</v>
      </c>
      <c r="Z288" s="421" t="s">
        <v>4474</v>
      </c>
    </row>
    <row r="289" spans="2:26" ht="12.75" customHeight="1" x14ac:dyDescent="0.2">
      <c r="B289" s="266" t="str">
        <f t="shared" si="4"/>
        <v>Tierra86</v>
      </c>
      <c r="C289" s="422"/>
      <c r="D289" s="287" t="s">
        <v>10198</v>
      </c>
      <c r="E289" s="418" t="s">
        <v>1713</v>
      </c>
      <c r="F289" s="418">
        <v>86</v>
      </c>
      <c r="G289" s="427" t="s">
        <v>2121</v>
      </c>
      <c r="H289" s="427" t="s">
        <v>3298</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4475</v>
      </c>
      <c r="W289" s="420" t="s">
        <v>4476</v>
      </c>
      <c r="X289" s="420" t="s">
        <v>4477</v>
      </c>
      <c r="Y289" s="420" t="s">
        <v>4478</v>
      </c>
      <c r="Z289" s="421" t="s">
        <v>4479</v>
      </c>
    </row>
    <row r="290" spans="2:26" ht="12.75" customHeight="1" x14ac:dyDescent="0.2">
      <c r="B290" s="266" t="str">
        <f t="shared" si="4"/>
        <v>Tierra90</v>
      </c>
      <c r="C290" s="422"/>
      <c r="D290" s="287" t="s">
        <v>2781</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4480</v>
      </c>
      <c r="W290" s="420" t="s">
        <v>4481</v>
      </c>
      <c r="X290" s="420" t="s">
        <v>4482</v>
      </c>
      <c r="Y290" s="420" t="s">
        <v>4483</v>
      </c>
      <c r="Z290" s="421" t="s">
        <v>4484</v>
      </c>
    </row>
    <row r="291" spans="2:26" ht="12.75" customHeight="1" x14ac:dyDescent="0.2">
      <c r="B291" s="266" t="str">
        <f t="shared" si="4"/>
        <v>Tierra92</v>
      </c>
      <c r="C291" s="422"/>
      <c r="D291" s="287" t="s">
        <v>10199</v>
      </c>
      <c r="E291" s="418" t="s">
        <v>1713</v>
      </c>
      <c r="F291" s="418">
        <v>92</v>
      </c>
      <c r="G291" s="427" t="s">
        <v>2121</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4485</v>
      </c>
      <c r="W291" s="420" t="s">
        <v>4486</v>
      </c>
      <c r="X291" s="420" t="s">
        <v>4487</v>
      </c>
      <c r="Y291" s="420" t="s">
        <v>4488</v>
      </c>
      <c r="Z291" s="421" t="s">
        <v>4489</v>
      </c>
    </row>
    <row r="292" spans="2:26" ht="12.75" customHeight="1" x14ac:dyDescent="0.2">
      <c r="B292" s="266" t="str">
        <f t="shared" si="4"/>
        <v>Tierra96</v>
      </c>
      <c r="C292" s="422"/>
      <c r="D292" s="287" t="s">
        <v>10200</v>
      </c>
      <c r="E292" s="418" t="s">
        <v>1713</v>
      </c>
      <c r="F292" s="418">
        <v>96</v>
      </c>
      <c r="G292" s="427" t="s">
        <v>2121</v>
      </c>
      <c r="H292" s="427" t="s">
        <v>3298</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4490</v>
      </c>
      <c r="W292" s="420" t="s">
        <v>4491</v>
      </c>
      <c r="X292" s="420" t="s">
        <v>4492</v>
      </c>
      <c r="Y292" s="420" t="s">
        <v>4493</v>
      </c>
      <c r="Z292" s="421" t="s">
        <v>4494</v>
      </c>
    </row>
    <row r="293" spans="2:26" ht="12.75" customHeight="1" x14ac:dyDescent="0.2">
      <c r="B293" s="266" t="str">
        <f t="shared" si="4"/>
        <v>Tierra100</v>
      </c>
      <c r="C293" s="422"/>
      <c r="D293" s="287" t="s">
        <v>10201</v>
      </c>
      <c r="E293" s="418" t="s">
        <v>1713</v>
      </c>
      <c r="F293" s="418">
        <v>100</v>
      </c>
      <c r="G293" s="427" t="s">
        <v>1389</v>
      </c>
      <c r="H293" s="427" t="s">
        <v>3298</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4495</v>
      </c>
      <c r="W293" s="420" t="s">
        <v>4496</v>
      </c>
      <c r="X293" s="420" t="s">
        <v>4497</v>
      </c>
      <c r="Y293" s="420" t="s">
        <v>4498</v>
      </c>
      <c r="Z293" s="421" t="s">
        <v>4499</v>
      </c>
    </row>
    <row r="294" spans="2:26" ht="12.75" customHeight="1" x14ac:dyDescent="0.2">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2:26" ht="12.75" customHeight="1" x14ac:dyDescent="0.2">
      <c r="B295" s="266" t="str">
        <f t="shared" si="4"/>
        <v>Esencia2</v>
      </c>
      <c r="C295" s="422"/>
      <c r="D295" s="287" t="s">
        <v>10202</v>
      </c>
      <c r="E295" s="418" t="s">
        <v>1718</v>
      </c>
      <c r="F295" s="418">
        <v>2</v>
      </c>
      <c r="G295" s="427" t="s">
        <v>2121</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4500</v>
      </c>
      <c r="W295" s="420" t="s">
        <v>4501</v>
      </c>
      <c r="X295" s="420" t="s">
        <v>4502</v>
      </c>
      <c r="Y295" s="420" t="s">
        <v>4503</v>
      </c>
      <c r="Z295" s="421" t="s">
        <v>4504</v>
      </c>
    </row>
    <row r="296" spans="2:26" ht="12.75" customHeight="1" x14ac:dyDescent="0.2">
      <c r="B296" s="266" t="str">
        <f t="shared" si="4"/>
        <v>Esencia6</v>
      </c>
      <c r="C296" s="422"/>
      <c r="D296" s="287" t="s">
        <v>307</v>
      </c>
      <c r="E296" s="418" t="s">
        <v>1718</v>
      </c>
      <c r="F296" s="418">
        <v>6</v>
      </c>
      <c r="G296" s="427" t="s">
        <v>1389</v>
      </c>
      <c r="H296" s="427" t="s">
        <v>4166</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4505</v>
      </c>
      <c r="W296" s="420" t="s">
        <v>3879</v>
      </c>
      <c r="X296" s="420" t="s">
        <v>4506</v>
      </c>
      <c r="Y296" s="420" t="s">
        <v>4507</v>
      </c>
      <c r="Z296" s="421" t="s">
        <v>4508</v>
      </c>
    </row>
    <row r="297" spans="2:26" ht="12.75" customHeight="1" x14ac:dyDescent="0.2">
      <c r="B297" s="266" t="str">
        <f t="shared" si="4"/>
        <v>Esencia10</v>
      </c>
      <c r="C297" s="422"/>
      <c r="D297" s="287" t="s">
        <v>10203</v>
      </c>
      <c r="E297" s="418" t="s">
        <v>1718</v>
      </c>
      <c r="F297" s="418">
        <v>10</v>
      </c>
      <c r="G297" s="427" t="s">
        <v>2121</v>
      </c>
      <c r="H297" s="427" t="s">
        <v>4166</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4509</v>
      </c>
      <c r="W297" s="420" t="s">
        <v>4510</v>
      </c>
      <c r="X297" s="420" t="s">
        <v>4511</v>
      </c>
      <c r="Y297" s="420" t="s">
        <v>4512</v>
      </c>
      <c r="Z297" s="421" t="s">
        <v>4513</v>
      </c>
    </row>
    <row r="298" spans="2:26" ht="12.75" customHeight="1" x14ac:dyDescent="0.2">
      <c r="B298" s="266" t="str">
        <f t="shared" si="4"/>
        <v>Esencia12</v>
      </c>
      <c r="C298" s="422"/>
      <c r="D298" s="287" t="s">
        <v>10204</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4514</v>
      </c>
      <c r="W298" s="420" t="s">
        <v>4515</v>
      </c>
      <c r="X298" s="420" t="s">
        <v>4516</v>
      </c>
      <c r="Y298" s="420" t="s">
        <v>4517</v>
      </c>
      <c r="Z298" s="421" t="s">
        <v>4518</v>
      </c>
    </row>
    <row r="299" spans="2:26" ht="12.75" customHeight="1" x14ac:dyDescent="0.2">
      <c r="B299" s="266" t="str">
        <f t="shared" si="4"/>
        <v>Esencia16</v>
      </c>
      <c r="C299" s="422"/>
      <c r="D299" s="287" t="s">
        <v>10205</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4519</v>
      </c>
      <c r="W299" s="420" t="s">
        <v>4520</v>
      </c>
      <c r="X299" s="420" t="s">
        <v>4521</v>
      </c>
      <c r="Y299" s="420" t="s">
        <v>4522</v>
      </c>
      <c r="Z299" s="421" t="s">
        <v>4523</v>
      </c>
    </row>
    <row r="300" spans="2:26" ht="12.75" customHeight="1" x14ac:dyDescent="0.2">
      <c r="B300" s="266" t="str">
        <f t="shared" si="4"/>
        <v>Esencia20</v>
      </c>
      <c r="C300" s="422"/>
      <c r="D300" s="287" t="s">
        <v>10206</v>
      </c>
      <c r="E300" s="418" t="s">
        <v>1718</v>
      </c>
      <c r="F300" s="418">
        <v>20</v>
      </c>
      <c r="G300" s="427" t="s">
        <v>2121</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4524</v>
      </c>
      <c r="W300" s="420" t="s">
        <v>4525</v>
      </c>
      <c r="X300" s="420" t="s">
        <v>4526</v>
      </c>
      <c r="Y300" s="420" t="s">
        <v>4527</v>
      </c>
      <c r="Z300" s="421" t="s">
        <v>4528</v>
      </c>
    </row>
    <row r="301" spans="2:26" ht="12.75" customHeight="1" x14ac:dyDescent="0.2">
      <c r="B301" s="266" t="str">
        <f t="shared" si="4"/>
        <v>Esencia22</v>
      </c>
      <c r="C301" s="422"/>
      <c r="D301" s="287" t="s">
        <v>10207</v>
      </c>
      <c r="E301" s="418" t="s">
        <v>1718</v>
      </c>
      <c r="F301" s="418">
        <v>22</v>
      </c>
      <c r="G301" s="427" t="s">
        <v>2121</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4529</v>
      </c>
      <c r="W301" s="420" t="s">
        <v>4530</v>
      </c>
      <c r="X301" s="420" t="s">
        <v>4531</v>
      </c>
      <c r="Y301" s="420" t="s">
        <v>4532</v>
      </c>
      <c r="Z301" s="421" t="s">
        <v>4533</v>
      </c>
    </row>
    <row r="302" spans="2:26" ht="12.75" customHeight="1" x14ac:dyDescent="0.2">
      <c r="B302" s="266" t="str">
        <f t="shared" si="4"/>
        <v>Esencia26</v>
      </c>
      <c r="C302" s="422"/>
      <c r="D302" s="287" t="s">
        <v>10208</v>
      </c>
      <c r="E302" s="418" t="s">
        <v>1718</v>
      </c>
      <c r="F302" s="418">
        <v>26</v>
      </c>
      <c r="G302" s="427" t="s">
        <v>1389</v>
      </c>
      <c r="H302" s="427" t="s">
        <v>4534</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3682</v>
      </c>
      <c r="W302" s="420" t="s">
        <v>3577</v>
      </c>
      <c r="X302" s="420" t="s">
        <v>3410</v>
      </c>
      <c r="Y302" s="420" t="s">
        <v>3578</v>
      </c>
      <c r="Z302" s="421" t="s">
        <v>4535</v>
      </c>
    </row>
    <row r="303" spans="2:26" ht="12.75" customHeight="1" x14ac:dyDescent="0.2">
      <c r="B303" s="266" t="str">
        <f t="shared" si="4"/>
        <v>Esencia30</v>
      </c>
      <c r="C303" s="422"/>
      <c r="D303" s="287" t="s">
        <v>10209</v>
      </c>
      <c r="E303" s="418" t="s">
        <v>1718</v>
      </c>
      <c r="F303" s="418">
        <v>30</v>
      </c>
      <c r="G303" s="427" t="s">
        <v>1389</v>
      </c>
      <c r="H303" s="427" t="s">
        <v>4534</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4536</v>
      </c>
      <c r="W303" s="420" t="s">
        <v>4537</v>
      </c>
      <c r="X303" s="420" t="s">
        <v>4538</v>
      </c>
      <c r="Y303" s="420" t="s">
        <v>4539</v>
      </c>
      <c r="Z303" s="421" t="s">
        <v>4540</v>
      </c>
    </row>
    <row r="304" spans="2:26" ht="12.75" customHeight="1" x14ac:dyDescent="0.2">
      <c r="B304" s="266" t="str">
        <f t="shared" si="4"/>
        <v>Esencia32</v>
      </c>
      <c r="C304" s="422"/>
      <c r="D304" s="287" t="s">
        <v>10210</v>
      </c>
      <c r="E304" s="418" t="s">
        <v>1718</v>
      </c>
      <c r="F304" s="418">
        <v>32</v>
      </c>
      <c r="G304" s="427" t="s">
        <v>1389</v>
      </c>
      <c r="H304" s="427" t="s">
        <v>4166</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3681</v>
      </c>
      <c r="W304" s="420" t="s">
        <v>3682</v>
      </c>
      <c r="X304" s="420" t="s">
        <v>3410</v>
      </c>
      <c r="Y304" s="420" t="s">
        <v>3578</v>
      </c>
      <c r="Z304" s="421" t="s">
        <v>4541</v>
      </c>
    </row>
    <row r="305" spans="2:26" ht="12.75" customHeight="1" x14ac:dyDescent="0.2">
      <c r="B305" s="266" t="str">
        <f t="shared" si="4"/>
        <v>Esencia36</v>
      </c>
      <c r="C305" s="422"/>
      <c r="D305" s="287" t="s">
        <v>10211</v>
      </c>
      <c r="E305" s="418" t="s">
        <v>1718</v>
      </c>
      <c r="F305" s="418">
        <v>36</v>
      </c>
      <c r="G305" s="427" t="s">
        <v>2121</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4542</v>
      </c>
      <c r="W305" s="420" t="s">
        <v>3704</v>
      </c>
      <c r="X305" s="420" t="s">
        <v>4543</v>
      </c>
      <c r="Y305" s="420" t="s">
        <v>3705</v>
      </c>
      <c r="Z305" s="421" t="s">
        <v>4544</v>
      </c>
    </row>
    <row r="306" spans="2:26" ht="12.75" customHeight="1" x14ac:dyDescent="0.2">
      <c r="B306" s="266" t="str">
        <f t="shared" si="4"/>
        <v>Esencia40</v>
      </c>
      <c r="C306" s="422"/>
      <c r="D306" s="287" t="s">
        <v>10212</v>
      </c>
      <c r="E306" s="418" t="s">
        <v>1718</v>
      </c>
      <c r="F306" s="418">
        <v>40</v>
      </c>
      <c r="G306" s="427" t="s">
        <v>1389</v>
      </c>
      <c r="H306" s="427" t="s">
        <v>4166</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3597</v>
      </c>
      <c r="W306" s="420" t="s">
        <v>4545</v>
      </c>
      <c r="X306" s="420" t="s">
        <v>3485</v>
      </c>
      <c r="Y306" s="420" t="s">
        <v>3598</v>
      </c>
      <c r="Z306" s="421" t="s">
        <v>4546</v>
      </c>
    </row>
    <row r="307" spans="2:26" ht="12.75" customHeight="1" x14ac:dyDescent="0.2">
      <c r="B307" s="266" t="str">
        <f t="shared" si="4"/>
        <v>Esencia42</v>
      </c>
      <c r="C307" s="422"/>
      <c r="D307" s="287" t="s">
        <v>10213</v>
      </c>
      <c r="E307" s="418" t="s">
        <v>1718</v>
      </c>
      <c r="F307" s="418">
        <v>42</v>
      </c>
      <c r="G307" s="427" t="s">
        <v>1389</v>
      </c>
      <c r="H307" s="427" t="s">
        <v>4166</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4547</v>
      </c>
      <c r="W307" s="420" t="s">
        <v>4548</v>
      </c>
      <c r="X307" s="420" t="s">
        <v>4549</v>
      </c>
      <c r="Y307" s="420" t="s">
        <v>4550</v>
      </c>
      <c r="Z307" s="421" t="s">
        <v>4551</v>
      </c>
    </row>
    <row r="308" spans="2:26" ht="12.75" customHeight="1" x14ac:dyDescent="0.2">
      <c r="B308" s="266" t="str">
        <f t="shared" si="4"/>
        <v>Esencia46</v>
      </c>
      <c r="C308" s="422"/>
      <c r="D308" s="287" t="s">
        <v>10214</v>
      </c>
      <c r="E308" s="418" t="s">
        <v>1718</v>
      </c>
      <c r="F308" s="418">
        <v>46</v>
      </c>
      <c r="G308" s="427" t="s">
        <v>2121</v>
      </c>
      <c r="H308" s="427" t="s">
        <v>4534</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4552</v>
      </c>
      <c r="W308" s="420" t="s">
        <v>4553</v>
      </c>
      <c r="X308" s="420" t="s">
        <v>4554</v>
      </c>
      <c r="Y308" s="420" t="s">
        <v>4555</v>
      </c>
      <c r="Z308" s="421" t="s">
        <v>4556</v>
      </c>
    </row>
    <row r="309" spans="2:26" ht="12.75" customHeight="1" x14ac:dyDescent="0.2">
      <c r="B309" s="266" t="str">
        <f t="shared" si="4"/>
        <v>Esencia50</v>
      </c>
      <c r="C309" s="422"/>
      <c r="D309" s="287" t="s">
        <v>10215</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4557</v>
      </c>
      <c r="W309" s="420" t="s">
        <v>4558</v>
      </c>
      <c r="X309" s="420" t="s">
        <v>4559</v>
      </c>
      <c r="Y309" s="420" t="s">
        <v>4560</v>
      </c>
      <c r="Z309" s="421" t="s">
        <v>7296</v>
      </c>
    </row>
    <row r="310" spans="2:26" ht="12.75" customHeight="1" x14ac:dyDescent="0.2">
      <c r="B310" s="266" t="str">
        <f t="shared" si="4"/>
        <v>Esencia52</v>
      </c>
      <c r="C310" s="422"/>
      <c r="D310" s="287" t="s">
        <v>10216</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4561</v>
      </c>
      <c r="W310" s="420" t="s">
        <v>4562</v>
      </c>
      <c r="X310" s="420" t="s">
        <v>4563</v>
      </c>
      <c r="Y310" s="420" t="s">
        <v>4564</v>
      </c>
      <c r="Z310" s="421" t="s">
        <v>4565</v>
      </c>
    </row>
    <row r="311" spans="2:26" ht="12.75" customHeight="1" x14ac:dyDescent="0.2">
      <c r="B311" s="266" t="str">
        <f t="shared" si="4"/>
        <v>Esencia56</v>
      </c>
      <c r="C311" s="422"/>
      <c r="D311" s="287" t="s">
        <v>10217</v>
      </c>
      <c r="E311" s="418" t="s">
        <v>1718</v>
      </c>
      <c r="F311" s="418">
        <v>56</v>
      </c>
      <c r="G311" s="427" t="s">
        <v>2121</v>
      </c>
      <c r="H311" s="427" t="s">
        <v>4534</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3680</v>
      </c>
      <c r="W311" s="420" t="s">
        <v>3681</v>
      </c>
      <c r="X311" s="420" t="s">
        <v>4447</v>
      </c>
      <c r="Y311" s="420" t="s">
        <v>3410</v>
      </c>
      <c r="Z311" s="421" t="s">
        <v>4566</v>
      </c>
    </row>
    <row r="312" spans="2:26" ht="12.75" customHeight="1" x14ac:dyDescent="0.2">
      <c r="B312" s="266" t="str">
        <f t="shared" si="4"/>
        <v>Esencia60</v>
      </c>
      <c r="C312" s="422"/>
      <c r="D312" s="287" t="s">
        <v>10218</v>
      </c>
      <c r="E312" s="418" t="s">
        <v>1718</v>
      </c>
      <c r="F312" s="418">
        <v>60</v>
      </c>
      <c r="G312" s="427" t="s">
        <v>1389</v>
      </c>
      <c r="H312" s="427" t="s">
        <v>4534</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3719</v>
      </c>
      <c r="W312" s="420" t="s">
        <v>3682</v>
      </c>
      <c r="X312" s="420" t="s">
        <v>3410</v>
      </c>
      <c r="Y312" s="420" t="s">
        <v>3578</v>
      </c>
      <c r="Z312" s="421" t="s">
        <v>4567</v>
      </c>
    </row>
    <row r="313" spans="2:26" ht="12.75" customHeight="1" x14ac:dyDescent="0.2">
      <c r="B313" s="266" t="str">
        <f t="shared" si="4"/>
        <v>Esencia62</v>
      </c>
      <c r="C313" s="422"/>
      <c r="D313" s="287" t="s">
        <v>10219</v>
      </c>
      <c r="E313" s="418" t="s">
        <v>1718</v>
      </c>
      <c r="F313" s="418">
        <v>62</v>
      </c>
      <c r="G313" s="427" t="s">
        <v>1389</v>
      </c>
      <c r="H313" s="427" t="s">
        <v>4534</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3681</v>
      </c>
      <c r="W313" s="420" t="s">
        <v>3410</v>
      </c>
      <c r="X313" s="420" t="s">
        <v>3579</v>
      </c>
      <c r="Y313" s="420" t="s">
        <v>4568</v>
      </c>
      <c r="Z313" s="421" t="s">
        <v>4569</v>
      </c>
    </row>
    <row r="314" spans="2:26" ht="12.75" customHeight="1" x14ac:dyDescent="0.2">
      <c r="B314" s="266" t="str">
        <f t="shared" si="4"/>
        <v>Esencia66</v>
      </c>
      <c r="C314" s="422"/>
      <c r="D314" s="287" t="s">
        <v>10220</v>
      </c>
      <c r="E314" s="418" t="s">
        <v>1718</v>
      </c>
      <c r="F314" s="418">
        <v>66</v>
      </c>
      <c r="G314" s="427" t="s">
        <v>2121</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4570</v>
      </c>
      <c r="W314" s="420" t="s">
        <v>4571</v>
      </c>
      <c r="X314" s="420" t="s">
        <v>4572</v>
      </c>
      <c r="Y314" s="420" t="s">
        <v>4573</v>
      </c>
      <c r="Z314" s="421" t="s">
        <v>4574</v>
      </c>
    </row>
    <row r="315" spans="2:26" ht="12.75" customHeight="1" x14ac:dyDescent="0.2">
      <c r="B315" s="266" t="str">
        <f t="shared" si="4"/>
        <v>Esencia70</v>
      </c>
      <c r="C315" s="422"/>
      <c r="D315" s="287" t="s">
        <v>10221</v>
      </c>
      <c r="E315" s="418" t="s">
        <v>1718</v>
      </c>
      <c r="F315" s="418">
        <v>70</v>
      </c>
      <c r="G315" s="427" t="s">
        <v>2121</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3719</v>
      </c>
      <c r="W315" s="420" t="s">
        <v>3681</v>
      </c>
      <c r="X315" s="420" t="s">
        <v>3682</v>
      </c>
      <c r="Y315" s="420" t="s">
        <v>3410</v>
      </c>
      <c r="Z315" s="421" t="s">
        <v>4575</v>
      </c>
    </row>
    <row r="316" spans="2:26" ht="12.75" customHeight="1" x14ac:dyDescent="0.2">
      <c r="B316" s="266" t="str">
        <f t="shared" si="4"/>
        <v>Esencia72</v>
      </c>
      <c r="C316" s="422"/>
      <c r="D316" s="287" t="s">
        <v>10222</v>
      </c>
      <c r="E316" s="418" t="s">
        <v>1718</v>
      </c>
      <c r="F316" s="418">
        <v>72</v>
      </c>
      <c r="G316" s="427" t="s">
        <v>2656</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3690</v>
      </c>
      <c r="W316" s="420" t="s">
        <v>4576</v>
      </c>
      <c r="X316" s="420" t="s">
        <v>4577</v>
      </c>
      <c r="Y316" s="420" t="s">
        <v>4578</v>
      </c>
      <c r="Z316" s="421" t="s">
        <v>4579</v>
      </c>
    </row>
    <row r="317" spans="2:26" ht="12.75" customHeight="1" x14ac:dyDescent="0.2">
      <c r="B317" s="266" t="str">
        <f t="shared" si="4"/>
        <v>Esencia76</v>
      </c>
      <c r="C317" s="422"/>
      <c r="D317" s="287" t="s">
        <v>10223</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4580</v>
      </c>
      <c r="W317" s="420" t="s">
        <v>4581</v>
      </c>
      <c r="X317" s="420" t="s">
        <v>4582</v>
      </c>
      <c r="Y317" s="420" t="s">
        <v>4583</v>
      </c>
      <c r="Z317" s="421" t="s">
        <v>4584</v>
      </c>
    </row>
    <row r="318" spans="2:26" ht="12.75" customHeight="1" x14ac:dyDescent="0.2">
      <c r="B318" s="266" t="str">
        <f t="shared" si="4"/>
        <v>Esencia80</v>
      </c>
      <c r="C318" s="422"/>
      <c r="D318" s="287" t="s">
        <v>10224</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4585</v>
      </c>
      <c r="W318" s="420" t="s">
        <v>4586</v>
      </c>
      <c r="X318" s="420" t="s">
        <v>4587</v>
      </c>
      <c r="Y318" s="420" t="s">
        <v>4588</v>
      </c>
      <c r="Z318" s="421" t="s">
        <v>4589</v>
      </c>
    </row>
    <row r="319" spans="2:26" ht="12.75" customHeight="1" x14ac:dyDescent="0.2">
      <c r="B319" s="266" t="str">
        <f t="shared" si="4"/>
        <v>Esencia82</v>
      </c>
      <c r="C319" s="422"/>
      <c r="D319" s="287" t="s">
        <v>10225</v>
      </c>
      <c r="E319" s="418" t="s">
        <v>1718</v>
      </c>
      <c r="F319" s="418">
        <v>82</v>
      </c>
      <c r="G319" s="427" t="s">
        <v>2121</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3748</v>
      </c>
      <c r="W319" s="420" t="s">
        <v>3444</v>
      </c>
      <c r="X319" s="420" t="s">
        <v>4472</v>
      </c>
      <c r="Y319" s="420" t="s">
        <v>4473</v>
      </c>
      <c r="Z319" s="421" t="s">
        <v>4590</v>
      </c>
    </row>
    <row r="320" spans="2:26" ht="12.75" customHeight="1" x14ac:dyDescent="0.2">
      <c r="B320" s="266" t="str">
        <f t="shared" si="4"/>
        <v>Esencia86</v>
      </c>
      <c r="C320" s="422"/>
      <c r="D320" s="287" t="s">
        <v>10226</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4591</v>
      </c>
      <c r="W320" s="420" t="s">
        <v>4592</v>
      </c>
      <c r="X320" s="420" t="s">
        <v>4593</v>
      </c>
      <c r="Y320" s="420" t="s">
        <v>4594</v>
      </c>
      <c r="Z320" s="421" t="s">
        <v>4595</v>
      </c>
    </row>
    <row r="321" spans="2:26" ht="12.75" customHeight="1" x14ac:dyDescent="0.2">
      <c r="B321" s="266" t="str">
        <f t="shared" si="4"/>
        <v>Esencia90</v>
      </c>
      <c r="C321" s="422"/>
      <c r="D321" s="287" t="s">
        <v>10227</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4465</v>
      </c>
      <c r="W321" s="420" t="s">
        <v>4596</v>
      </c>
      <c r="X321" s="420" t="s">
        <v>4597</v>
      </c>
      <c r="Y321" s="420" t="s">
        <v>4598</v>
      </c>
      <c r="Z321" s="421" t="s">
        <v>4599</v>
      </c>
    </row>
    <row r="322" spans="2:26" ht="12.75" customHeight="1" x14ac:dyDescent="0.2">
      <c r="B322" s="266" t="str">
        <f t="shared" si="4"/>
        <v>Esencia92</v>
      </c>
      <c r="C322" s="422"/>
      <c r="D322" s="287" t="s">
        <v>10228</v>
      </c>
      <c r="E322" s="418" t="s">
        <v>1718</v>
      </c>
      <c r="F322" s="418">
        <v>92</v>
      </c>
      <c r="G322" s="427" t="s">
        <v>2121</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4600</v>
      </c>
      <c r="W322" s="420" t="s">
        <v>4601</v>
      </c>
      <c r="X322" s="420" t="s">
        <v>4602</v>
      </c>
      <c r="Y322" s="420" t="s">
        <v>4603</v>
      </c>
      <c r="Z322" s="421" t="s">
        <v>4604</v>
      </c>
    </row>
    <row r="323" spans="2:26" ht="12.75" customHeight="1" x14ac:dyDescent="0.2">
      <c r="B323" s="266" t="str">
        <f t="shared" si="4"/>
        <v>Esencia96</v>
      </c>
      <c r="C323" s="422"/>
      <c r="D323" s="287" t="s">
        <v>10229</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4605</v>
      </c>
      <c r="W323" s="420" t="s">
        <v>4606</v>
      </c>
      <c r="X323" s="420" t="s">
        <v>4607</v>
      </c>
      <c r="Y323" s="420" t="s">
        <v>4608</v>
      </c>
      <c r="Z323" s="421" t="s">
        <v>4609</v>
      </c>
    </row>
    <row r="324" spans="2:26" ht="12.75" customHeight="1" x14ac:dyDescent="0.2">
      <c r="B324" s="266" t="str">
        <f t="shared" si="4"/>
        <v>Esencia100</v>
      </c>
      <c r="C324" s="422"/>
      <c r="D324" s="287" t="s">
        <v>10230</v>
      </c>
      <c r="E324" s="418" t="s">
        <v>1718</v>
      </c>
      <c r="F324" s="418">
        <v>100</v>
      </c>
      <c r="G324" s="427" t="s">
        <v>2121</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4610</v>
      </c>
      <c r="W324" s="420" t="s">
        <v>4611</v>
      </c>
      <c r="X324" s="420" t="s">
        <v>4612</v>
      </c>
      <c r="Y324" s="420" t="s">
        <v>4613</v>
      </c>
      <c r="Z324" s="421" t="s">
        <v>4614</v>
      </c>
    </row>
    <row r="325" spans="2:26" ht="12.75" customHeight="1" x14ac:dyDescent="0.2">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2:26" ht="12.75" customHeight="1" x14ac:dyDescent="0.2">
      <c r="B326" s="266" t="str">
        <f t="shared" si="4"/>
        <v>Ilusión2</v>
      </c>
      <c r="C326" s="422"/>
      <c r="D326" s="287" t="s">
        <v>309</v>
      </c>
      <c r="E326" s="418" t="s">
        <v>1720</v>
      </c>
      <c r="F326" s="418">
        <v>2</v>
      </c>
      <c r="G326" s="427" t="s">
        <v>1389</v>
      </c>
      <c r="H326" s="427" t="s">
        <v>3298</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4615</v>
      </c>
      <c r="W326" s="420" t="s">
        <v>4616</v>
      </c>
      <c r="X326" s="420" t="s">
        <v>3405</v>
      </c>
      <c r="Y326" s="420" t="s">
        <v>3406</v>
      </c>
      <c r="Z326" s="421" t="s">
        <v>4617</v>
      </c>
    </row>
    <row r="327" spans="2:26" ht="12.75" customHeight="1" x14ac:dyDescent="0.2">
      <c r="B327" s="266" t="str">
        <f t="shared" si="4"/>
        <v>Ilusión6</v>
      </c>
      <c r="C327" s="422"/>
      <c r="D327" s="287" t="s">
        <v>310</v>
      </c>
      <c r="E327" s="418" t="s">
        <v>1720</v>
      </c>
      <c r="F327" s="418">
        <v>6</v>
      </c>
      <c r="G327" s="427" t="s">
        <v>1389</v>
      </c>
      <c r="H327" s="427" t="s">
        <v>3298</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4615</v>
      </c>
      <c r="W327" s="420" t="s">
        <v>4616</v>
      </c>
      <c r="X327" s="420" t="s">
        <v>3405</v>
      </c>
      <c r="Y327" s="420" t="s">
        <v>3406</v>
      </c>
      <c r="Z327" s="421" t="s">
        <v>4618</v>
      </c>
    </row>
    <row r="328" spans="2:26" ht="12.75" customHeight="1" x14ac:dyDescent="0.2">
      <c r="B328" s="266" t="str">
        <f t="shared" ref="B328:B391" si="5">E328&amp;F328</f>
        <v>Ilusión10</v>
      </c>
      <c r="C328" s="422"/>
      <c r="D328" s="287" t="s">
        <v>311</v>
      </c>
      <c r="E328" s="418" t="s">
        <v>1720</v>
      </c>
      <c r="F328" s="418">
        <v>10</v>
      </c>
      <c r="G328" s="427" t="s">
        <v>1389</v>
      </c>
      <c r="H328" s="427" t="s">
        <v>3298</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4615</v>
      </c>
      <c r="W328" s="420" t="s">
        <v>4616</v>
      </c>
      <c r="X328" s="420" t="s">
        <v>3405</v>
      </c>
      <c r="Y328" s="420" t="s">
        <v>3406</v>
      </c>
      <c r="Z328" s="421" t="s">
        <v>7301</v>
      </c>
    </row>
    <row r="329" spans="2:26" ht="12.75" customHeight="1" x14ac:dyDescent="0.2">
      <c r="B329" s="266" t="str">
        <f t="shared" si="5"/>
        <v>Ilusión12</v>
      </c>
      <c r="C329" s="422"/>
      <c r="D329" s="287" t="s">
        <v>312</v>
      </c>
      <c r="E329" s="418" t="s">
        <v>1720</v>
      </c>
      <c r="F329" s="418">
        <v>12</v>
      </c>
      <c r="G329" s="427" t="s">
        <v>1389</v>
      </c>
      <c r="H329" s="427" t="s">
        <v>3298</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4619</v>
      </c>
      <c r="W329" s="420" t="s">
        <v>4620</v>
      </c>
      <c r="X329" s="420" t="s">
        <v>4621</v>
      </c>
      <c r="Y329" s="420" t="s">
        <v>4622</v>
      </c>
      <c r="Z329" s="421" t="s">
        <v>4623</v>
      </c>
    </row>
    <row r="330" spans="2:26" ht="12.75" customHeight="1" x14ac:dyDescent="0.2">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4624</v>
      </c>
      <c r="W330" s="420" t="s">
        <v>4625</v>
      </c>
      <c r="X330" s="420" t="s">
        <v>4626</v>
      </c>
      <c r="Y330" s="420" t="s">
        <v>4627</v>
      </c>
      <c r="Z330" s="421" t="s">
        <v>7302</v>
      </c>
    </row>
    <row r="331" spans="2:26" ht="12.75" customHeight="1" x14ac:dyDescent="0.2">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4628</v>
      </c>
      <c r="W331" s="420" t="s">
        <v>4629</v>
      </c>
      <c r="X331" s="420" t="s">
        <v>4630</v>
      </c>
      <c r="Y331" s="420" t="s">
        <v>4631</v>
      </c>
      <c r="Z331" s="421" t="s">
        <v>4632</v>
      </c>
    </row>
    <row r="332" spans="2:26" ht="12.75" customHeight="1" x14ac:dyDescent="0.2">
      <c r="B332" s="266" t="str">
        <f t="shared" si="5"/>
        <v>Ilusión22</v>
      </c>
      <c r="C332" s="422"/>
      <c r="D332" s="287" t="s">
        <v>315</v>
      </c>
      <c r="E332" s="418" t="s">
        <v>1720</v>
      </c>
      <c r="F332" s="418">
        <v>22</v>
      </c>
      <c r="G332" s="427" t="s">
        <v>2121</v>
      </c>
      <c r="H332" s="427" t="s">
        <v>3298</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3681</v>
      </c>
      <c r="W332" s="420" t="s">
        <v>3577</v>
      </c>
      <c r="X332" s="420" t="s">
        <v>3578</v>
      </c>
      <c r="Y332" s="420" t="s">
        <v>3579</v>
      </c>
      <c r="Z332" s="421" t="s">
        <v>4633</v>
      </c>
    </row>
    <row r="333" spans="2:26" ht="12.75" customHeight="1" x14ac:dyDescent="0.2">
      <c r="B333" s="266" t="str">
        <f t="shared" si="5"/>
        <v>Ilusión26</v>
      </c>
      <c r="C333" s="422"/>
      <c r="D333" s="287" t="s">
        <v>316</v>
      </c>
      <c r="E333" s="418" t="s">
        <v>1720</v>
      </c>
      <c r="F333" s="418">
        <v>26</v>
      </c>
      <c r="G333" s="427" t="s">
        <v>1389</v>
      </c>
      <c r="H333" s="427" t="s">
        <v>3298</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4634</v>
      </c>
      <c r="W333" s="420" t="s">
        <v>4635</v>
      </c>
      <c r="X333" s="420" t="s">
        <v>4636</v>
      </c>
      <c r="Y333" s="420" t="s">
        <v>4637</v>
      </c>
      <c r="Z333" s="421" t="s">
        <v>7303</v>
      </c>
    </row>
    <row r="334" spans="2:26" ht="12.75" customHeight="1" x14ac:dyDescent="0.2">
      <c r="B334" s="266" t="str">
        <f t="shared" si="5"/>
        <v>Ilusión30</v>
      </c>
      <c r="C334" s="422"/>
      <c r="D334" s="287" t="s">
        <v>317</v>
      </c>
      <c r="E334" s="418" t="s">
        <v>1720</v>
      </c>
      <c r="F334" s="418">
        <v>30</v>
      </c>
      <c r="G334" s="427" t="s">
        <v>1389</v>
      </c>
      <c r="H334" s="427" t="s">
        <v>3298</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4638</v>
      </c>
      <c r="W334" s="420" t="s">
        <v>4639</v>
      </c>
      <c r="X334" s="420" t="s">
        <v>4640</v>
      </c>
      <c r="Y334" s="420" t="s">
        <v>4641</v>
      </c>
      <c r="Z334" s="421" t="s">
        <v>4642</v>
      </c>
    </row>
    <row r="335" spans="2:26" ht="12.75" customHeight="1" x14ac:dyDescent="0.2">
      <c r="B335" s="266" t="str">
        <f t="shared" si="5"/>
        <v>Ilusión32</v>
      </c>
      <c r="C335" s="422"/>
      <c r="D335" s="287" t="s">
        <v>318</v>
      </c>
      <c r="E335" s="418" t="s">
        <v>1720</v>
      </c>
      <c r="F335" s="418">
        <v>32</v>
      </c>
      <c r="G335" s="427" t="s">
        <v>1389</v>
      </c>
      <c r="H335" s="427" t="s">
        <v>3298</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4643</v>
      </c>
      <c r="W335" s="420" t="s">
        <v>4644</v>
      </c>
      <c r="X335" s="420" t="s">
        <v>4645</v>
      </c>
      <c r="Y335" s="420" t="s">
        <v>4646</v>
      </c>
      <c r="Z335" s="421" t="s">
        <v>4647</v>
      </c>
    </row>
    <row r="336" spans="2:26" ht="12.75" customHeight="1" x14ac:dyDescent="0.2">
      <c r="B336" s="266" t="str">
        <f t="shared" si="5"/>
        <v>Ilusión36</v>
      </c>
      <c r="C336" s="422"/>
      <c r="D336" s="287" t="s">
        <v>319</v>
      </c>
      <c r="E336" s="418" t="s">
        <v>1720</v>
      </c>
      <c r="F336" s="418">
        <v>36</v>
      </c>
      <c r="G336" s="427" t="s">
        <v>1389</v>
      </c>
      <c r="H336" s="427" t="s">
        <v>4118</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4648</v>
      </c>
      <c r="W336" s="420" t="s">
        <v>4644</v>
      </c>
      <c r="X336" s="420" t="s">
        <v>4649</v>
      </c>
      <c r="Y336" s="420" t="s">
        <v>4645</v>
      </c>
      <c r="Z336" s="421" t="s">
        <v>4650</v>
      </c>
    </row>
    <row r="337" spans="2:26" ht="12.75" customHeight="1" x14ac:dyDescent="0.2">
      <c r="B337" s="266" t="str">
        <f t="shared" si="5"/>
        <v>Ilusión40</v>
      </c>
      <c r="C337" s="422"/>
      <c r="D337" s="287" t="s">
        <v>320</v>
      </c>
      <c r="E337" s="418" t="s">
        <v>1720</v>
      </c>
      <c r="F337" s="418">
        <v>40</v>
      </c>
      <c r="G337" s="427" t="s">
        <v>2121</v>
      </c>
      <c r="H337" s="427" t="s">
        <v>3298</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4651</v>
      </c>
      <c r="W337" s="420" t="s">
        <v>4652</v>
      </c>
      <c r="X337" s="420" t="s">
        <v>4653</v>
      </c>
      <c r="Y337" s="420" t="s">
        <v>4654</v>
      </c>
      <c r="Z337" s="421" t="s">
        <v>4655</v>
      </c>
    </row>
    <row r="338" spans="2:26" ht="12.75" customHeight="1" x14ac:dyDescent="0.2">
      <c r="B338" s="266" t="str">
        <f t="shared" si="5"/>
        <v>Ilusión42</v>
      </c>
      <c r="C338" s="422"/>
      <c r="D338" s="287" t="s">
        <v>321</v>
      </c>
      <c r="E338" s="418" t="s">
        <v>1720</v>
      </c>
      <c r="F338" s="418">
        <v>42</v>
      </c>
      <c r="G338" s="427" t="s">
        <v>2121</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4656</v>
      </c>
      <c r="W338" s="420" t="s">
        <v>4657</v>
      </c>
      <c r="X338" s="420" t="s">
        <v>4658</v>
      </c>
      <c r="Y338" s="420" t="s">
        <v>4659</v>
      </c>
      <c r="Z338" s="421" t="s">
        <v>4660</v>
      </c>
    </row>
    <row r="339" spans="2:26" ht="12.75" customHeight="1" x14ac:dyDescent="0.2">
      <c r="B339" s="266" t="str">
        <f t="shared" si="5"/>
        <v>Ilusión46</v>
      </c>
      <c r="C339" s="422"/>
      <c r="D339" s="287" t="s">
        <v>322</v>
      </c>
      <c r="E339" s="418" t="s">
        <v>1720</v>
      </c>
      <c r="F339" s="418">
        <v>46</v>
      </c>
      <c r="G339" s="427" t="s">
        <v>2121</v>
      </c>
      <c r="H339" s="427" t="s">
        <v>3298</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4661</v>
      </c>
      <c r="W339" s="420" t="s">
        <v>4662</v>
      </c>
      <c r="X339" s="420" t="s">
        <v>4663</v>
      </c>
      <c r="Y339" s="420" t="s">
        <v>4664</v>
      </c>
      <c r="Z339" s="421" t="s">
        <v>4665</v>
      </c>
    </row>
    <row r="340" spans="2:26" ht="12.75" customHeight="1" x14ac:dyDescent="0.2">
      <c r="B340" s="266" t="str">
        <f t="shared" si="5"/>
        <v>Ilusión50</v>
      </c>
      <c r="C340" s="422"/>
      <c r="D340" s="287" t="s">
        <v>323</v>
      </c>
      <c r="E340" s="418" t="s">
        <v>1720</v>
      </c>
      <c r="F340" s="418">
        <v>50</v>
      </c>
      <c r="G340" s="427" t="s">
        <v>1389</v>
      </c>
      <c r="H340" s="427" t="s">
        <v>3298</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4666</v>
      </c>
      <c r="W340" s="420" t="s">
        <v>4667</v>
      </c>
      <c r="X340" s="420" t="s">
        <v>4668</v>
      </c>
      <c r="Y340" s="420" t="s">
        <v>4669</v>
      </c>
      <c r="Z340" s="421" t="s">
        <v>4670</v>
      </c>
    </row>
    <row r="341" spans="2:26" ht="12.75" customHeight="1" x14ac:dyDescent="0.2">
      <c r="B341" s="266" t="str">
        <f t="shared" si="5"/>
        <v>Ilusión52</v>
      </c>
      <c r="C341" s="422"/>
      <c r="D341" s="287" t="s">
        <v>324</v>
      </c>
      <c r="E341" s="418" t="s">
        <v>1720</v>
      </c>
      <c r="F341" s="418">
        <v>52</v>
      </c>
      <c r="G341" s="427" t="s">
        <v>2121</v>
      </c>
      <c r="H341" s="427" t="s">
        <v>3298</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4671</v>
      </c>
      <c r="W341" s="420" t="s">
        <v>4672</v>
      </c>
      <c r="X341" s="420" t="s">
        <v>4673</v>
      </c>
      <c r="Y341" s="420" t="s">
        <v>4674</v>
      </c>
      <c r="Z341" s="421" t="s">
        <v>4675</v>
      </c>
    </row>
    <row r="342" spans="2:26" ht="12.75" customHeight="1" x14ac:dyDescent="0.2">
      <c r="B342" s="266" t="str">
        <f t="shared" si="5"/>
        <v>Ilusión56</v>
      </c>
      <c r="C342" s="422"/>
      <c r="D342" s="287" t="s">
        <v>325</v>
      </c>
      <c r="E342" s="418" t="s">
        <v>1720</v>
      </c>
      <c r="F342" s="418">
        <v>56</v>
      </c>
      <c r="G342" s="427" t="s">
        <v>2121</v>
      </c>
      <c r="H342" s="427" t="s">
        <v>4118</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3719</v>
      </c>
      <c r="W342" s="420" t="s">
        <v>3681</v>
      </c>
      <c r="X342" s="420" t="s">
        <v>3682</v>
      </c>
      <c r="Y342" s="420" t="s">
        <v>3577</v>
      </c>
      <c r="Z342" s="421" t="s">
        <v>7304</v>
      </c>
    </row>
    <row r="343" spans="2:26" ht="12.75" customHeight="1" x14ac:dyDescent="0.2">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4676</v>
      </c>
      <c r="W343" s="420" t="s">
        <v>4677</v>
      </c>
      <c r="X343" s="420" t="s">
        <v>4678</v>
      </c>
      <c r="Y343" s="420" t="s">
        <v>4679</v>
      </c>
      <c r="Z343" s="421" t="s">
        <v>4680</v>
      </c>
    </row>
    <row r="344" spans="2:26" ht="12.75" customHeight="1" x14ac:dyDescent="0.2">
      <c r="B344" s="266" t="str">
        <f t="shared" si="5"/>
        <v>Ilusión62</v>
      </c>
      <c r="C344" s="422"/>
      <c r="D344" s="287" t="s">
        <v>327</v>
      </c>
      <c r="E344" s="418" t="s">
        <v>1720</v>
      </c>
      <c r="F344" s="418">
        <v>62</v>
      </c>
      <c r="G344" s="427" t="s">
        <v>1389</v>
      </c>
      <c r="H344" s="427" t="s">
        <v>3298</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4651</v>
      </c>
      <c r="W344" s="420" t="s">
        <v>4652</v>
      </c>
      <c r="X344" s="420" t="s">
        <v>4653</v>
      </c>
      <c r="Y344" s="420" t="s">
        <v>4654</v>
      </c>
      <c r="Z344" s="421" t="s">
        <v>7305</v>
      </c>
    </row>
    <row r="345" spans="2:26" ht="12.75" customHeight="1" x14ac:dyDescent="0.2">
      <c r="B345" s="266" t="str">
        <f t="shared" si="5"/>
        <v>Ilusión66</v>
      </c>
      <c r="C345" s="422"/>
      <c r="D345" s="287" t="s">
        <v>328</v>
      </c>
      <c r="E345" s="418" t="s">
        <v>1720</v>
      </c>
      <c r="F345" s="418">
        <v>66</v>
      </c>
      <c r="G345" s="427" t="s">
        <v>1389</v>
      </c>
      <c r="H345" s="427" t="s">
        <v>4118</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3682</v>
      </c>
      <c r="W345" s="420" t="s">
        <v>3577</v>
      </c>
      <c r="X345" s="420" t="s">
        <v>3410</v>
      </c>
      <c r="Y345" s="420" t="s">
        <v>3578</v>
      </c>
      <c r="Z345" s="421" t="s">
        <v>4681</v>
      </c>
    </row>
    <row r="346" spans="2:26" ht="12.75" customHeight="1" x14ac:dyDescent="0.2">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4682</v>
      </c>
      <c r="W346" s="420" t="s">
        <v>4683</v>
      </c>
      <c r="X346" s="420" t="s">
        <v>4684</v>
      </c>
      <c r="Y346" s="420" t="s">
        <v>4685</v>
      </c>
      <c r="Z346" s="421" t="s">
        <v>4686</v>
      </c>
    </row>
    <row r="347" spans="2:26" ht="12.75" customHeight="1" x14ac:dyDescent="0.2">
      <c r="B347" s="266" t="str">
        <f t="shared" si="5"/>
        <v>Ilusión72</v>
      </c>
      <c r="C347" s="422"/>
      <c r="D347" s="287" t="s">
        <v>330</v>
      </c>
      <c r="E347" s="418" t="s">
        <v>1720</v>
      </c>
      <c r="F347" s="418">
        <v>72</v>
      </c>
      <c r="G347" s="427" t="s">
        <v>2121</v>
      </c>
      <c r="H347" s="427" t="s">
        <v>4118</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4687</v>
      </c>
      <c r="W347" s="420" t="s">
        <v>3696</v>
      </c>
      <c r="X347" s="420" t="s">
        <v>4688</v>
      </c>
      <c r="Y347" s="420" t="s">
        <v>3697</v>
      </c>
      <c r="Z347" s="421" t="s">
        <v>7306</v>
      </c>
    </row>
    <row r="348" spans="2:26" ht="12.75" customHeight="1" x14ac:dyDescent="0.2">
      <c r="B348" s="266" t="str">
        <f t="shared" si="5"/>
        <v>Ilusión76</v>
      </c>
      <c r="C348" s="422"/>
      <c r="D348" s="287" t="s">
        <v>331</v>
      </c>
      <c r="E348" s="418" t="s">
        <v>1720</v>
      </c>
      <c r="F348" s="418">
        <v>76</v>
      </c>
      <c r="G348" s="427" t="s">
        <v>2121</v>
      </c>
      <c r="H348" s="427" t="s">
        <v>4118</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4687</v>
      </c>
      <c r="W348" s="420" t="s">
        <v>3696</v>
      </c>
      <c r="X348" s="420" t="s">
        <v>4688</v>
      </c>
      <c r="Y348" s="420" t="s">
        <v>3697</v>
      </c>
      <c r="Z348" s="421" t="s">
        <v>7307</v>
      </c>
    </row>
    <row r="349" spans="2:26" ht="12.75" customHeight="1" x14ac:dyDescent="0.2">
      <c r="B349" s="266" t="str">
        <f t="shared" si="5"/>
        <v>Ilusión80</v>
      </c>
      <c r="C349" s="422"/>
      <c r="D349" s="287" t="s">
        <v>332</v>
      </c>
      <c r="E349" s="418" t="s">
        <v>1720</v>
      </c>
      <c r="F349" s="418">
        <v>80</v>
      </c>
      <c r="G349" s="427" t="s">
        <v>2121</v>
      </c>
      <c r="H349" s="427" t="s">
        <v>3298</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4689</v>
      </c>
      <c r="W349" s="420" t="s">
        <v>4690</v>
      </c>
      <c r="X349" s="420" t="s">
        <v>4691</v>
      </c>
      <c r="Y349" s="420" t="s">
        <v>4692</v>
      </c>
      <c r="Z349" s="421" t="s">
        <v>4693</v>
      </c>
    </row>
    <row r="350" spans="2:26" ht="12.75" customHeight="1" x14ac:dyDescent="0.2">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4694</v>
      </c>
      <c r="W350" s="420" t="s">
        <v>4695</v>
      </c>
      <c r="X350" s="420" t="s">
        <v>4696</v>
      </c>
      <c r="Y350" s="420" t="s">
        <v>4697</v>
      </c>
      <c r="Z350" s="421" t="s">
        <v>4698</v>
      </c>
    </row>
    <row r="351" spans="2:26" ht="12.75" customHeight="1" x14ac:dyDescent="0.2">
      <c r="B351" s="266" t="str">
        <f t="shared" si="5"/>
        <v>Ilusión86</v>
      </c>
      <c r="C351" s="422"/>
      <c r="D351" s="287" t="s">
        <v>334</v>
      </c>
      <c r="E351" s="418" t="s">
        <v>1720</v>
      </c>
      <c r="F351" s="418">
        <v>86</v>
      </c>
      <c r="G351" s="427" t="s">
        <v>1389</v>
      </c>
      <c r="H351" s="427" t="s">
        <v>4118</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4661</v>
      </c>
      <c r="W351" s="420" t="s">
        <v>4699</v>
      </c>
      <c r="X351" s="420" t="s">
        <v>4700</v>
      </c>
      <c r="Y351" s="420" t="s">
        <v>4701</v>
      </c>
      <c r="Z351" s="421" t="s">
        <v>4702</v>
      </c>
    </row>
    <row r="352" spans="2:26" ht="12.75" customHeight="1" x14ac:dyDescent="0.2">
      <c r="B352" s="266" t="str">
        <f t="shared" si="5"/>
        <v>Ilusión90</v>
      </c>
      <c r="C352" s="422"/>
      <c r="D352" s="287" t="s">
        <v>335</v>
      </c>
      <c r="E352" s="418" t="s">
        <v>1720</v>
      </c>
      <c r="F352" s="418">
        <v>90</v>
      </c>
      <c r="G352" s="427" t="s">
        <v>2121</v>
      </c>
      <c r="H352" s="427" t="s">
        <v>3298</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3681</v>
      </c>
      <c r="W352" s="420" t="s">
        <v>3682</v>
      </c>
      <c r="X352" s="420" t="s">
        <v>3577</v>
      </c>
      <c r="Y352" s="420" t="s">
        <v>3410</v>
      </c>
      <c r="Z352" s="421" t="s">
        <v>4703</v>
      </c>
    </row>
    <row r="353" spans="2:26" ht="12.75" customHeight="1" x14ac:dyDescent="0.2">
      <c r="B353" s="266" t="str">
        <f t="shared" si="5"/>
        <v>Ilusión92</v>
      </c>
      <c r="C353" s="422"/>
      <c r="D353" s="287" t="s">
        <v>336</v>
      </c>
      <c r="E353" s="418" t="s">
        <v>1720</v>
      </c>
      <c r="F353" s="418">
        <v>92</v>
      </c>
      <c r="G353" s="427" t="s">
        <v>2121</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4704</v>
      </c>
      <c r="W353" s="420" t="s">
        <v>3446</v>
      </c>
      <c r="X353" s="420" t="s">
        <v>4705</v>
      </c>
      <c r="Y353" s="420" t="s">
        <v>4706</v>
      </c>
      <c r="Z353" s="421" t="s">
        <v>4707</v>
      </c>
    </row>
    <row r="354" spans="2:26" ht="12.75" customHeight="1" x14ac:dyDescent="0.2">
      <c r="B354" s="266" t="str">
        <f t="shared" si="5"/>
        <v>Ilusión96</v>
      </c>
      <c r="C354" s="422"/>
      <c r="D354" s="287" t="s">
        <v>337</v>
      </c>
      <c r="E354" s="418" t="s">
        <v>1720</v>
      </c>
      <c r="F354" s="418">
        <v>96</v>
      </c>
      <c r="G354" s="427" t="s">
        <v>1389</v>
      </c>
      <c r="H354" s="427" t="s">
        <v>3298</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4708</v>
      </c>
      <c r="W354" s="420" t="s">
        <v>4709</v>
      </c>
      <c r="X354" s="420" t="s">
        <v>4710</v>
      </c>
      <c r="Y354" s="420" t="s">
        <v>4711</v>
      </c>
      <c r="Z354" s="421" t="s">
        <v>7308</v>
      </c>
    </row>
    <row r="355" spans="2:26" ht="12.75" customHeight="1" x14ac:dyDescent="0.2">
      <c r="B355" s="266" t="str">
        <f t="shared" si="5"/>
        <v>Ilusión100</v>
      </c>
      <c r="C355" s="422"/>
      <c r="D355" s="287" t="s">
        <v>338</v>
      </c>
      <c r="E355" s="418" t="s">
        <v>1720</v>
      </c>
      <c r="F355" s="418">
        <v>100</v>
      </c>
      <c r="G355" s="427" t="s">
        <v>1389</v>
      </c>
      <c r="H355" s="427" t="s">
        <v>3298</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3682</v>
      </c>
      <c r="W355" s="420" t="s">
        <v>4712</v>
      </c>
      <c r="X355" s="420" t="s">
        <v>3872</v>
      </c>
      <c r="Y355" s="420" t="s">
        <v>3579</v>
      </c>
      <c r="Z355" s="421" t="s">
        <v>4713</v>
      </c>
    </row>
    <row r="356" spans="2:26" ht="12.75" customHeight="1" x14ac:dyDescent="0.2">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2:26" ht="12.75" customHeight="1" x14ac:dyDescent="0.2">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4714</v>
      </c>
      <c r="W357" s="420" t="s">
        <v>4715</v>
      </c>
      <c r="X357" s="420" t="s">
        <v>4716</v>
      </c>
      <c r="Y357" s="420" t="s">
        <v>4717</v>
      </c>
      <c r="Z357" s="421" t="s">
        <v>4718</v>
      </c>
    </row>
    <row r="358" spans="2:26" ht="12.75" customHeight="1" x14ac:dyDescent="0.2">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4719</v>
      </c>
      <c r="W358" s="420" t="s">
        <v>4720</v>
      </c>
      <c r="X358" s="420" t="s">
        <v>4721</v>
      </c>
      <c r="Y358" s="420" t="s">
        <v>4722</v>
      </c>
      <c r="Z358" s="421" t="s">
        <v>4723</v>
      </c>
    </row>
    <row r="359" spans="2:26" ht="12.75" customHeight="1" x14ac:dyDescent="0.2">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4368</v>
      </c>
      <c r="W359" s="420" t="s">
        <v>4369</v>
      </c>
      <c r="X359" s="420" t="s">
        <v>3485</v>
      </c>
      <c r="Y359" s="420" t="s">
        <v>4051</v>
      </c>
      <c r="Z359" s="421" t="s">
        <v>4724</v>
      </c>
    </row>
    <row r="360" spans="2:26" ht="12.75" customHeight="1" x14ac:dyDescent="0.2">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4725</v>
      </c>
      <c r="W360" s="420" t="s">
        <v>4726</v>
      </c>
      <c r="X360" s="420" t="s">
        <v>4727</v>
      </c>
      <c r="Y360" s="420" t="s">
        <v>4728</v>
      </c>
      <c r="Z360" s="421" t="s">
        <v>4729</v>
      </c>
    </row>
    <row r="361" spans="2:26" ht="12.75" customHeight="1" x14ac:dyDescent="0.2">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3719</v>
      </c>
      <c r="W361" s="420" t="s">
        <v>3682</v>
      </c>
      <c r="X361" s="420" t="s">
        <v>3410</v>
      </c>
      <c r="Y361" s="420" t="s">
        <v>3579</v>
      </c>
      <c r="Z361" s="421" t="s">
        <v>4730</v>
      </c>
    </row>
    <row r="362" spans="2:26" ht="12.75" customHeight="1" x14ac:dyDescent="0.2">
      <c r="B362" s="266" t="str">
        <f t="shared" si="5"/>
        <v>Nigromancia16</v>
      </c>
      <c r="C362" s="422"/>
      <c r="D362" s="287" t="s">
        <v>10231</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4570</v>
      </c>
      <c r="W362" s="420" t="s">
        <v>3880</v>
      </c>
      <c r="X362" s="420" t="s">
        <v>4507</v>
      </c>
      <c r="Y362" s="420" t="s">
        <v>4731</v>
      </c>
      <c r="Z362" s="421" t="s">
        <v>4732</v>
      </c>
    </row>
    <row r="363" spans="2:26" ht="12.75" customHeight="1" x14ac:dyDescent="0.2">
      <c r="B363" s="266" t="str">
        <f t="shared" si="5"/>
        <v>Nigromancia18</v>
      </c>
      <c r="C363" s="422"/>
      <c r="D363" s="287" t="s">
        <v>345</v>
      </c>
      <c r="E363" s="418" t="s">
        <v>1722</v>
      </c>
      <c r="F363" s="418">
        <v>18</v>
      </c>
      <c r="G363" s="427" t="s">
        <v>1389</v>
      </c>
      <c r="H363" s="427" t="s">
        <v>4166</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3710</v>
      </c>
      <c r="W363" s="420" t="s">
        <v>3711</v>
      </c>
      <c r="X363" s="420" t="s">
        <v>3712</v>
      </c>
      <c r="Y363" s="420" t="s">
        <v>4733</v>
      </c>
      <c r="Z363" s="421" t="s">
        <v>4734</v>
      </c>
    </row>
    <row r="364" spans="2:26" ht="12.75" customHeight="1" x14ac:dyDescent="0.2">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4735</v>
      </c>
      <c r="W364" s="420" t="s">
        <v>3883</v>
      </c>
      <c r="X364" s="420" t="s">
        <v>4736</v>
      </c>
      <c r="Y364" s="420" t="s">
        <v>4737</v>
      </c>
      <c r="Z364" s="421" t="s">
        <v>4738</v>
      </c>
    </row>
    <row r="365" spans="2:26" ht="12.75" customHeight="1" x14ac:dyDescent="0.2">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4739</v>
      </c>
      <c r="W365" s="420" t="s">
        <v>4740</v>
      </c>
      <c r="X365" s="420" t="s">
        <v>4741</v>
      </c>
      <c r="Y365" s="420" t="s">
        <v>4742</v>
      </c>
      <c r="Z365" s="421" t="s">
        <v>4743</v>
      </c>
    </row>
    <row r="366" spans="2:26" ht="12.75" customHeight="1" x14ac:dyDescent="0.2">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4744</v>
      </c>
      <c r="W366" s="420" t="s">
        <v>3841</v>
      </c>
      <c r="X366" s="420" t="s">
        <v>4745</v>
      </c>
      <c r="Y366" s="420" t="s">
        <v>4746</v>
      </c>
      <c r="Z366" s="421" t="s">
        <v>4747</v>
      </c>
    </row>
    <row r="367" spans="2:26" ht="12.75" customHeight="1" x14ac:dyDescent="0.2">
      <c r="B367" s="266" t="str">
        <f t="shared" si="5"/>
        <v>Nigromancia28</v>
      </c>
      <c r="C367" s="422"/>
      <c r="D367" s="287" t="s">
        <v>349</v>
      </c>
      <c r="E367" s="418" t="s">
        <v>1722</v>
      </c>
      <c r="F367" s="418">
        <v>28</v>
      </c>
      <c r="G367" s="427" t="s">
        <v>2121</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4748</v>
      </c>
      <c r="W367" s="420" t="s">
        <v>4749</v>
      </c>
      <c r="X367" s="420" t="s">
        <v>4750</v>
      </c>
      <c r="Y367" s="420" t="s">
        <v>4751</v>
      </c>
      <c r="Z367" s="421" t="s">
        <v>4752</v>
      </c>
    </row>
    <row r="368" spans="2:26" ht="12.75" customHeight="1" x14ac:dyDescent="0.2">
      <c r="B368" s="266" t="str">
        <f t="shared" si="5"/>
        <v>Nigromancia30</v>
      </c>
      <c r="C368" s="422"/>
      <c r="D368" s="287" t="s">
        <v>350</v>
      </c>
      <c r="E368" s="418" t="s">
        <v>1722</v>
      </c>
      <c r="F368" s="418">
        <v>30</v>
      </c>
      <c r="G368" s="427" t="s">
        <v>2121</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4753</v>
      </c>
      <c r="W368" s="420" t="s">
        <v>4754</v>
      </c>
      <c r="X368" s="420" t="s">
        <v>4755</v>
      </c>
      <c r="Y368" s="420" t="s">
        <v>4756</v>
      </c>
      <c r="Z368" s="421" t="s">
        <v>4757</v>
      </c>
    </row>
    <row r="369" spans="2:26" ht="12.75" customHeight="1" x14ac:dyDescent="0.2">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3682</v>
      </c>
      <c r="W369" s="420" t="s">
        <v>3410</v>
      </c>
      <c r="X369" s="420" t="s">
        <v>3872</v>
      </c>
      <c r="Y369" s="420" t="s">
        <v>4758</v>
      </c>
      <c r="Z369" s="421" t="s">
        <v>4759</v>
      </c>
    </row>
    <row r="370" spans="2:26" ht="12.75" customHeight="1" x14ac:dyDescent="0.2">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3682</v>
      </c>
      <c r="W370" s="420" t="s">
        <v>3410</v>
      </c>
      <c r="X370" s="420" t="s">
        <v>3872</v>
      </c>
      <c r="Y370" s="420" t="s">
        <v>4758</v>
      </c>
      <c r="Z370" s="421" t="s">
        <v>4760</v>
      </c>
    </row>
    <row r="371" spans="2:26" ht="12.75" customHeight="1" x14ac:dyDescent="0.2">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3682</v>
      </c>
      <c r="W371" s="420" t="s">
        <v>3410</v>
      </c>
      <c r="X371" s="420" t="s">
        <v>3872</v>
      </c>
      <c r="Y371" s="420" t="s">
        <v>4758</v>
      </c>
      <c r="Z371" s="421" t="s">
        <v>4761</v>
      </c>
    </row>
    <row r="372" spans="2:26" ht="12.75" customHeight="1" x14ac:dyDescent="0.2">
      <c r="B372" s="266" t="str">
        <f t="shared" si="5"/>
        <v>Nigromancia40</v>
      </c>
      <c r="C372" s="422"/>
      <c r="D372" s="287" t="s">
        <v>354</v>
      </c>
      <c r="E372" s="418" t="s">
        <v>1722</v>
      </c>
      <c r="F372" s="418">
        <v>40</v>
      </c>
      <c r="G372" s="427" t="s">
        <v>2121</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4762</v>
      </c>
      <c r="W372" s="420" t="s">
        <v>4763</v>
      </c>
      <c r="X372" s="420" t="s">
        <v>3884</v>
      </c>
      <c r="Y372" s="420" t="s">
        <v>4764</v>
      </c>
      <c r="Z372" s="421" t="s">
        <v>4765</v>
      </c>
    </row>
    <row r="373" spans="2:26" ht="12.75" customHeight="1" x14ac:dyDescent="0.2">
      <c r="B373" s="266" t="str">
        <f t="shared" si="5"/>
        <v>Nigromancia42</v>
      </c>
      <c r="C373" s="422"/>
      <c r="D373" s="287" t="s">
        <v>355</v>
      </c>
      <c r="E373" s="418" t="s">
        <v>1722</v>
      </c>
      <c r="F373" s="418">
        <v>42</v>
      </c>
      <c r="G373" s="427" t="s">
        <v>2121</v>
      </c>
      <c r="H373" s="427" t="s">
        <v>4166</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4368</v>
      </c>
      <c r="W373" s="420" t="s">
        <v>4470</v>
      </c>
      <c r="X373" s="420" t="s">
        <v>4766</v>
      </c>
      <c r="Y373" s="420" t="s">
        <v>3597</v>
      </c>
      <c r="Z373" s="421" t="s">
        <v>4767</v>
      </c>
    </row>
    <row r="374" spans="2:26" ht="12.75" customHeight="1" x14ac:dyDescent="0.2">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4768</v>
      </c>
      <c r="W374" s="420" t="s">
        <v>4769</v>
      </c>
      <c r="X374" s="420" t="s">
        <v>4770</v>
      </c>
      <c r="Y374" s="420" t="s">
        <v>4771</v>
      </c>
      <c r="Z374" s="421" t="s">
        <v>4772</v>
      </c>
    </row>
    <row r="375" spans="2:26" ht="12.75" customHeight="1" x14ac:dyDescent="0.2">
      <c r="B375" s="266" t="str">
        <f t="shared" si="5"/>
        <v>Nigromancia48</v>
      </c>
      <c r="C375" s="422"/>
      <c r="D375" s="287" t="s">
        <v>357</v>
      </c>
      <c r="E375" s="418" t="s">
        <v>1722</v>
      </c>
      <c r="F375" s="418">
        <v>48</v>
      </c>
      <c r="G375" s="427" t="s">
        <v>2121</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3719</v>
      </c>
      <c r="W375" s="420" t="s">
        <v>3681</v>
      </c>
      <c r="X375" s="420" t="s">
        <v>3682</v>
      </c>
      <c r="Y375" s="420" t="s">
        <v>3577</v>
      </c>
      <c r="Z375" s="421" t="s">
        <v>4773</v>
      </c>
    </row>
    <row r="376" spans="2:26" ht="12.75" customHeight="1" x14ac:dyDescent="0.2">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4774</v>
      </c>
      <c r="W376" s="420" t="s">
        <v>4775</v>
      </c>
      <c r="X376" s="420" t="s">
        <v>4776</v>
      </c>
      <c r="Y376" s="420" t="s">
        <v>4777</v>
      </c>
      <c r="Z376" s="421" t="s">
        <v>4778</v>
      </c>
    </row>
    <row r="377" spans="2:26" ht="12.75" customHeight="1" x14ac:dyDescent="0.2">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4779</v>
      </c>
      <c r="W377" s="420" t="s">
        <v>4780</v>
      </c>
      <c r="X377" s="420" t="s">
        <v>4781</v>
      </c>
      <c r="Y377" s="420" t="s">
        <v>4782</v>
      </c>
      <c r="Z377" s="421" t="s">
        <v>4783</v>
      </c>
    </row>
    <row r="378" spans="2:26" ht="12.75" customHeight="1" x14ac:dyDescent="0.2">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3704</v>
      </c>
      <c r="W378" s="420" t="s">
        <v>3705</v>
      </c>
      <c r="X378" s="420" t="s">
        <v>3706</v>
      </c>
      <c r="Y378" s="420" t="s">
        <v>4784</v>
      </c>
      <c r="Z378" s="421" t="s">
        <v>4785</v>
      </c>
    </row>
    <row r="379" spans="2:26" ht="12.75" customHeight="1" x14ac:dyDescent="0.2">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4786</v>
      </c>
      <c r="W379" s="420" t="s">
        <v>4787</v>
      </c>
      <c r="X379" s="420" t="s">
        <v>4788</v>
      </c>
      <c r="Y379" s="420" t="s">
        <v>4789</v>
      </c>
      <c r="Z379" s="421" t="s">
        <v>4790</v>
      </c>
    </row>
    <row r="380" spans="2:26" ht="12.75" customHeight="1" x14ac:dyDescent="0.2">
      <c r="B380" s="266" t="str">
        <f t="shared" si="5"/>
        <v>Nigromancia60</v>
      </c>
      <c r="C380" s="422"/>
      <c r="D380" s="287" t="s">
        <v>362</v>
      </c>
      <c r="E380" s="418" t="s">
        <v>1722</v>
      </c>
      <c r="F380" s="418">
        <v>60</v>
      </c>
      <c r="G380" s="427" t="s">
        <v>2121</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4791</v>
      </c>
      <c r="W380" s="420" t="s">
        <v>4792</v>
      </c>
      <c r="X380" s="420" t="s">
        <v>4793</v>
      </c>
      <c r="Y380" s="420" t="s">
        <v>4794</v>
      </c>
      <c r="Z380" s="421" t="s">
        <v>4795</v>
      </c>
    </row>
    <row r="381" spans="2:26" ht="12.75" customHeight="1" x14ac:dyDescent="0.2">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3719</v>
      </c>
      <c r="W381" s="420" t="s">
        <v>4796</v>
      </c>
      <c r="X381" s="420" t="s">
        <v>3577</v>
      </c>
      <c r="Y381" s="420" t="s">
        <v>4797</v>
      </c>
      <c r="Z381" s="421" t="s">
        <v>4798</v>
      </c>
    </row>
    <row r="382" spans="2:26" ht="12.75" customHeight="1" x14ac:dyDescent="0.2">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4799</v>
      </c>
      <c r="W382" s="420" t="s">
        <v>4800</v>
      </c>
      <c r="X382" s="420" t="s">
        <v>3893</v>
      </c>
      <c r="Y382" s="420" t="s">
        <v>3894</v>
      </c>
      <c r="Z382" s="421" t="s">
        <v>4801</v>
      </c>
    </row>
    <row r="383" spans="2:26" ht="12.75" customHeight="1" x14ac:dyDescent="0.2">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3841</v>
      </c>
      <c r="W383" s="420" t="s">
        <v>3842</v>
      </c>
      <c r="X383" s="420" t="s">
        <v>3874</v>
      </c>
      <c r="Y383" s="420" t="s">
        <v>4802</v>
      </c>
      <c r="Z383" s="421" t="s">
        <v>4803</v>
      </c>
    </row>
    <row r="384" spans="2:26" ht="12.75" customHeight="1" x14ac:dyDescent="0.2">
      <c r="B384" s="266" t="str">
        <f t="shared" si="5"/>
        <v>Nigromancia70</v>
      </c>
      <c r="C384" s="422"/>
      <c r="D384" s="287" t="s">
        <v>366</v>
      </c>
      <c r="E384" s="418" t="s">
        <v>1722</v>
      </c>
      <c r="F384" s="418">
        <v>70</v>
      </c>
      <c r="G384" s="427" t="s">
        <v>2121</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3709</v>
      </c>
      <c r="W384" s="420" t="s">
        <v>4472</v>
      </c>
      <c r="X384" s="420" t="s">
        <v>4473</v>
      </c>
      <c r="Y384" s="420" t="s">
        <v>4804</v>
      </c>
      <c r="Z384" s="421" t="s">
        <v>4805</v>
      </c>
    </row>
    <row r="385" spans="2:26" ht="12.75" customHeight="1" x14ac:dyDescent="0.2">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4800</v>
      </c>
      <c r="W385" s="420" t="s">
        <v>3894</v>
      </c>
      <c r="X385" s="420" t="s">
        <v>3896</v>
      </c>
      <c r="Y385" s="420" t="s">
        <v>4806</v>
      </c>
      <c r="Z385" s="421" t="s">
        <v>4807</v>
      </c>
    </row>
    <row r="386" spans="2:26" ht="12.75" customHeight="1" x14ac:dyDescent="0.2">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4800</v>
      </c>
      <c r="W386" s="420" t="s">
        <v>3894</v>
      </c>
      <c r="X386" s="420" t="s">
        <v>3896</v>
      </c>
      <c r="Y386" s="420" t="s">
        <v>4806</v>
      </c>
      <c r="Z386" s="421" t="s">
        <v>4808</v>
      </c>
    </row>
    <row r="387" spans="2:26" ht="12.75" customHeight="1" x14ac:dyDescent="0.2">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3681</v>
      </c>
      <c r="W387" s="420" t="s">
        <v>3682</v>
      </c>
      <c r="X387" s="420" t="s">
        <v>3577</v>
      </c>
      <c r="Y387" s="420" t="s">
        <v>3410</v>
      </c>
      <c r="Z387" s="421" t="s">
        <v>4809</v>
      </c>
    </row>
    <row r="388" spans="2:26" ht="12.75" customHeight="1" x14ac:dyDescent="0.2">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3674</v>
      </c>
      <c r="V388" s="420" t="s">
        <v>4810</v>
      </c>
      <c r="W388" s="420" t="s">
        <v>4811</v>
      </c>
      <c r="X388" s="420" t="s">
        <v>4812</v>
      </c>
      <c r="Y388" s="420" t="s">
        <v>4813</v>
      </c>
      <c r="Z388" s="421" t="s">
        <v>4814</v>
      </c>
    </row>
    <row r="389" spans="2:26" ht="12.75" customHeight="1" x14ac:dyDescent="0.2">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4786</v>
      </c>
      <c r="W389" s="420" t="s">
        <v>4787</v>
      </c>
      <c r="X389" s="420" t="s">
        <v>4788</v>
      </c>
      <c r="Y389" s="420" t="s">
        <v>4789</v>
      </c>
      <c r="Z389" s="421" t="s">
        <v>4815</v>
      </c>
    </row>
    <row r="390" spans="2:26" ht="12.75" customHeight="1" x14ac:dyDescent="0.2">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3597</v>
      </c>
      <c r="W390" s="420" t="s">
        <v>3566</v>
      </c>
      <c r="X390" s="420" t="s">
        <v>3485</v>
      </c>
      <c r="Y390" s="420" t="s">
        <v>4816</v>
      </c>
      <c r="Z390" s="421" t="s">
        <v>4817</v>
      </c>
    </row>
    <row r="391" spans="2:26" ht="12.75" customHeight="1" x14ac:dyDescent="0.2">
      <c r="B391" s="266" t="str">
        <f t="shared" si="5"/>
        <v>Nigromancia88</v>
      </c>
      <c r="C391" s="422"/>
      <c r="D391" s="287" t="s">
        <v>373</v>
      </c>
      <c r="E391" s="418" t="s">
        <v>1722</v>
      </c>
      <c r="F391" s="418">
        <v>88</v>
      </c>
      <c r="G391" s="427" t="s">
        <v>2121</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3598</v>
      </c>
      <c r="W391" s="420" t="s">
        <v>4465</v>
      </c>
      <c r="X391" s="420" t="s">
        <v>4485</v>
      </c>
      <c r="Y391" s="420" t="s">
        <v>4818</v>
      </c>
      <c r="Z391" s="421" t="s">
        <v>4819</v>
      </c>
    </row>
    <row r="392" spans="2:26" ht="12.75" customHeight="1" x14ac:dyDescent="0.2">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4820</v>
      </c>
      <c r="W392" s="420" t="s">
        <v>4821</v>
      </c>
      <c r="X392" s="420" t="s">
        <v>4822</v>
      </c>
      <c r="Y392" s="420" t="s">
        <v>4823</v>
      </c>
      <c r="Z392" s="421" t="s">
        <v>4824</v>
      </c>
    </row>
    <row r="393" spans="2:26" ht="12.75" customHeight="1" x14ac:dyDescent="0.2">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4825</v>
      </c>
      <c r="W393" s="420" t="s">
        <v>4826</v>
      </c>
      <c r="X393" s="420" t="s">
        <v>4827</v>
      </c>
      <c r="Y393" s="420" t="s">
        <v>4828</v>
      </c>
      <c r="Z393" s="421" t="s">
        <v>4829</v>
      </c>
    </row>
    <row r="394" spans="2:26" ht="12.75" customHeight="1" x14ac:dyDescent="0.2">
      <c r="B394" s="266" t="str">
        <f t="shared" si="6"/>
        <v>Nigromancia96</v>
      </c>
      <c r="C394" s="422"/>
      <c r="D394" s="287" t="s">
        <v>376</v>
      </c>
      <c r="E394" s="418" t="s">
        <v>1722</v>
      </c>
      <c r="F394" s="418">
        <v>96</v>
      </c>
      <c r="G394" s="427" t="s">
        <v>2121</v>
      </c>
      <c r="H394" s="427" t="s">
        <v>3298</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4490</v>
      </c>
      <c r="W394" s="420" t="s">
        <v>4830</v>
      </c>
      <c r="X394" s="420" t="s">
        <v>4831</v>
      </c>
      <c r="Y394" s="420" t="s">
        <v>4832</v>
      </c>
      <c r="Z394" s="421" t="s">
        <v>4833</v>
      </c>
    </row>
    <row r="395" spans="2:26" ht="12.75" customHeight="1" x14ac:dyDescent="0.2">
      <c r="B395" s="266" t="str">
        <f t="shared" si="6"/>
        <v>Nigromancia98</v>
      </c>
      <c r="C395" s="422"/>
      <c r="D395" s="287" t="s">
        <v>377</v>
      </c>
      <c r="E395" s="418" t="s">
        <v>1722</v>
      </c>
      <c r="F395" s="418">
        <v>98</v>
      </c>
      <c r="G395" s="427" t="s">
        <v>1389</v>
      </c>
      <c r="H395" s="427" t="s">
        <v>3298</v>
      </c>
      <c r="I395" s="428" t="s">
        <v>1312</v>
      </c>
      <c r="J395" s="418">
        <v>16</v>
      </c>
      <c r="K395" s="418">
        <v>17</v>
      </c>
      <c r="L395" s="418">
        <v>18</v>
      </c>
      <c r="M395" s="423">
        <v>19</v>
      </c>
      <c r="N395" s="418">
        <v>400</v>
      </c>
      <c r="O395" s="418">
        <v>800</v>
      </c>
      <c r="P395" s="418">
        <v>1600</v>
      </c>
      <c r="Q395" s="423">
        <v>3200</v>
      </c>
      <c r="R395" s="418"/>
      <c r="S395" s="418"/>
      <c r="T395" s="418"/>
      <c r="U395" s="423" t="s">
        <v>3674</v>
      </c>
      <c r="V395" s="420" t="s">
        <v>4834</v>
      </c>
      <c r="W395" s="420" t="s">
        <v>4835</v>
      </c>
      <c r="X395" s="420" t="s">
        <v>4836</v>
      </c>
      <c r="Y395" s="420" t="s">
        <v>4837</v>
      </c>
      <c r="Z395" s="421" t="s">
        <v>4838</v>
      </c>
    </row>
    <row r="396" spans="2:26" ht="12.75" customHeight="1" x14ac:dyDescent="0.2">
      <c r="B396" s="266" t="str">
        <f t="shared" si="6"/>
        <v>Nigromancia100</v>
      </c>
      <c r="C396" s="422"/>
      <c r="D396" s="287" t="s">
        <v>378</v>
      </c>
      <c r="E396" s="418" t="s">
        <v>1722</v>
      </c>
      <c r="F396" s="418">
        <v>100</v>
      </c>
      <c r="G396" s="427" t="s">
        <v>1389</v>
      </c>
      <c r="H396" s="427" t="s">
        <v>3298</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3710</v>
      </c>
      <c r="W396" s="420" t="s">
        <v>3711</v>
      </c>
      <c r="X396" s="420" t="s">
        <v>3712</v>
      </c>
      <c r="Y396" s="420" t="s">
        <v>4839</v>
      </c>
      <c r="Z396" s="421" t="s">
        <v>4840</v>
      </c>
    </row>
    <row r="397" spans="2:26" ht="12.75" customHeight="1" x14ac:dyDescent="0.2">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2:26" ht="12.75" customHeight="1" x14ac:dyDescent="0.2">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4841</v>
      </c>
      <c r="W398" s="420" t="s">
        <v>4842</v>
      </c>
      <c r="X398" s="420" t="s">
        <v>4843</v>
      </c>
      <c r="Y398" s="420" t="s">
        <v>4844</v>
      </c>
      <c r="Z398" s="421" t="s">
        <v>4845</v>
      </c>
    </row>
    <row r="399" spans="2:26" ht="12.75" customHeight="1" x14ac:dyDescent="0.2">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4846</v>
      </c>
      <c r="W399" s="420" t="s">
        <v>4847</v>
      </c>
      <c r="X399" s="420" t="s">
        <v>4848</v>
      </c>
      <c r="Y399" s="420" t="s">
        <v>4849</v>
      </c>
      <c r="Z399" s="421" t="s">
        <v>4850</v>
      </c>
    </row>
    <row r="400" spans="2:26" ht="12.75" customHeight="1" x14ac:dyDescent="0.2">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3633</v>
      </c>
      <c r="W400" s="420" t="s">
        <v>3492</v>
      </c>
      <c r="X400" s="420" t="s">
        <v>3666</v>
      </c>
      <c r="Y400" s="420" t="s">
        <v>4410</v>
      </c>
      <c r="Z400" s="421" t="s">
        <v>4851</v>
      </c>
    </row>
    <row r="401" spans="2:26" ht="12.75" customHeight="1" x14ac:dyDescent="0.2">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4878</v>
      </c>
      <c r="W401" s="420" t="s">
        <v>4879</v>
      </c>
      <c r="X401" s="420" t="s">
        <v>4880</v>
      </c>
      <c r="Y401" s="420" t="s">
        <v>4881</v>
      </c>
      <c r="Z401" s="421" t="s">
        <v>4882</v>
      </c>
    </row>
    <row r="402" spans="2:26" ht="12.75" customHeight="1" x14ac:dyDescent="0.2">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4853</v>
      </c>
      <c r="W402" s="420" t="s">
        <v>4854</v>
      </c>
      <c r="X402" s="420" t="s">
        <v>4855</v>
      </c>
      <c r="Y402" s="420" t="s">
        <v>4856</v>
      </c>
      <c r="Z402" s="421" t="s">
        <v>4857</v>
      </c>
    </row>
    <row r="403" spans="2:26" ht="12.75" customHeight="1" x14ac:dyDescent="0.2">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4858</v>
      </c>
      <c r="W403" s="420" t="s">
        <v>4859</v>
      </c>
      <c r="X403" s="420" t="s">
        <v>4860</v>
      </c>
      <c r="Y403" s="420" t="s">
        <v>4861</v>
      </c>
      <c r="Z403" s="421" t="s">
        <v>4862</v>
      </c>
    </row>
    <row r="404" spans="2:26" ht="12.75" customHeight="1" x14ac:dyDescent="0.2">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3621</v>
      </c>
      <c r="W404" s="420" t="s">
        <v>4863</v>
      </c>
      <c r="X404" s="420" t="s">
        <v>4864</v>
      </c>
      <c r="Y404" s="420" t="s">
        <v>4865</v>
      </c>
      <c r="Z404" s="421" t="s">
        <v>4866</v>
      </c>
    </row>
    <row r="405" spans="2:26" ht="12.75" customHeight="1" x14ac:dyDescent="0.2">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3674</v>
      </c>
      <c r="V405" s="420" t="s">
        <v>4867</v>
      </c>
      <c r="W405" s="420" t="s">
        <v>4868</v>
      </c>
      <c r="X405" s="420" t="s">
        <v>4869</v>
      </c>
      <c r="Y405" s="420" t="s">
        <v>4870</v>
      </c>
      <c r="Z405" s="421" t="s">
        <v>4871</v>
      </c>
    </row>
    <row r="406" spans="2:26" ht="12.75" customHeight="1" x14ac:dyDescent="0.2">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9936</v>
      </c>
      <c r="W406" s="420" t="s">
        <v>9937</v>
      </c>
      <c r="X406" s="420" t="s">
        <v>9938</v>
      </c>
      <c r="Y406" s="420" t="s">
        <v>9939</v>
      </c>
      <c r="Z406" s="421" t="s">
        <v>4872</v>
      </c>
    </row>
    <row r="407" spans="2:26" ht="12.75" customHeight="1" x14ac:dyDescent="0.2">
      <c r="B407" s="266" t="str">
        <f t="shared" si="6"/>
        <v>Libre acceso2</v>
      </c>
      <c r="C407" s="422"/>
      <c r="D407" s="287" t="s">
        <v>389</v>
      </c>
      <c r="E407" s="418" t="s">
        <v>381</v>
      </c>
      <c r="F407" s="418">
        <v>2</v>
      </c>
      <c r="G407" s="427" t="s">
        <v>2121</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4873</v>
      </c>
      <c r="W407" s="420" t="s">
        <v>4874</v>
      </c>
      <c r="X407" s="420" t="s">
        <v>4875</v>
      </c>
      <c r="Y407" s="420" t="s">
        <v>4876</v>
      </c>
      <c r="Z407" s="421" t="s">
        <v>4877</v>
      </c>
    </row>
    <row r="408" spans="2:26" ht="12.75" customHeight="1" x14ac:dyDescent="0.2">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8931</v>
      </c>
      <c r="W408" s="1583" t="s">
        <v>8930</v>
      </c>
      <c r="X408" s="1583" t="s">
        <v>8932</v>
      </c>
      <c r="Y408" s="1583" t="s">
        <v>8933</v>
      </c>
      <c r="Z408" s="421" t="s">
        <v>4852</v>
      </c>
    </row>
    <row r="409" spans="2:26" ht="12.75" customHeight="1" x14ac:dyDescent="0.2">
      <c r="B409" s="266" t="str">
        <f t="shared" si="6"/>
        <v>Libre acceso2</v>
      </c>
      <c r="C409" s="422"/>
      <c r="D409" s="287" t="s">
        <v>390</v>
      </c>
      <c r="E409" s="418" t="s">
        <v>381</v>
      </c>
      <c r="F409" s="418">
        <v>2</v>
      </c>
      <c r="G409" s="427" t="s">
        <v>2121</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4883</v>
      </c>
      <c r="W409" s="420" t="s">
        <v>4372</v>
      </c>
      <c r="X409" s="420" t="s">
        <v>4884</v>
      </c>
      <c r="Y409" s="420" t="s">
        <v>4885</v>
      </c>
      <c r="Z409" s="421" t="s">
        <v>4886</v>
      </c>
    </row>
    <row r="410" spans="2:26" ht="12.75" customHeight="1" x14ac:dyDescent="0.2">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2:26" ht="12.75" customHeight="1" x14ac:dyDescent="0.2">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4887</v>
      </c>
      <c r="W411" s="420" t="s">
        <v>4888</v>
      </c>
      <c r="X411" s="420" t="s">
        <v>4889</v>
      </c>
      <c r="Y411" s="420" t="s">
        <v>4890</v>
      </c>
      <c r="Z411" s="421" t="s">
        <v>4891</v>
      </c>
    </row>
    <row r="412" spans="2:26" ht="12.75" customHeight="1" x14ac:dyDescent="0.2">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4892</v>
      </c>
      <c r="W412" s="420" t="s">
        <v>4893</v>
      </c>
      <c r="X412" s="420" t="s">
        <v>4894</v>
      </c>
      <c r="Y412" s="420" t="s">
        <v>4895</v>
      </c>
      <c r="Z412" s="421" t="s">
        <v>4896</v>
      </c>
    </row>
    <row r="413" spans="2:26" ht="12.75" customHeight="1" x14ac:dyDescent="0.2">
      <c r="B413" s="266" t="str">
        <f t="shared" si="6"/>
        <v>Libre acceso12</v>
      </c>
      <c r="C413" s="422"/>
      <c r="D413" s="287" t="s">
        <v>394</v>
      </c>
      <c r="E413" s="418" t="s">
        <v>381</v>
      </c>
      <c r="F413" s="418">
        <f t="shared" si="7"/>
        <v>12</v>
      </c>
      <c r="G413" s="427" t="s">
        <v>2121</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3633</v>
      </c>
      <c r="W413" s="420" t="s">
        <v>3744</v>
      </c>
      <c r="X413" s="420" t="s">
        <v>4897</v>
      </c>
      <c r="Y413" s="420" t="s">
        <v>3666</v>
      </c>
      <c r="Z413" s="421" t="s">
        <v>4898</v>
      </c>
    </row>
    <row r="414" spans="2:26" ht="12.75" customHeight="1" x14ac:dyDescent="0.2">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3482</v>
      </c>
      <c r="W414" s="420" t="s">
        <v>3483</v>
      </c>
      <c r="X414" s="420" t="s">
        <v>3597</v>
      </c>
      <c r="Y414" s="420" t="s">
        <v>4899</v>
      </c>
      <c r="Z414" s="421" t="s">
        <v>4900</v>
      </c>
    </row>
    <row r="415" spans="2:26" ht="12.75" customHeight="1" x14ac:dyDescent="0.2">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3632</v>
      </c>
      <c r="W415" s="420" t="s">
        <v>3634</v>
      </c>
      <c r="X415" s="420" t="s">
        <v>4901</v>
      </c>
      <c r="Y415" s="420" t="s">
        <v>4897</v>
      </c>
      <c r="Z415" s="421" t="s">
        <v>4902</v>
      </c>
    </row>
    <row r="416" spans="2:26" ht="12.75" customHeight="1" x14ac:dyDescent="0.2">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4903</v>
      </c>
      <c r="W416" s="420" t="s">
        <v>4904</v>
      </c>
      <c r="X416" s="420" t="s">
        <v>4905</v>
      </c>
      <c r="Y416" s="420" t="s">
        <v>4906</v>
      </c>
      <c r="Z416" s="421" t="s">
        <v>4907</v>
      </c>
    </row>
    <row r="417" spans="2:26" ht="12.75" customHeight="1" x14ac:dyDescent="0.2">
      <c r="B417" s="266" t="str">
        <f t="shared" si="6"/>
        <v>Libre acceso12</v>
      </c>
      <c r="C417" s="422"/>
      <c r="D417" s="287" t="s">
        <v>397</v>
      </c>
      <c r="E417" s="418" t="s">
        <v>381</v>
      </c>
      <c r="F417" s="418">
        <f t="shared" si="7"/>
        <v>12</v>
      </c>
      <c r="G417" s="427" t="s">
        <v>2121</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4908</v>
      </c>
      <c r="W417" s="420" t="s">
        <v>4909</v>
      </c>
      <c r="X417" s="420" t="s">
        <v>4910</v>
      </c>
      <c r="Y417" s="420" t="s">
        <v>4911</v>
      </c>
      <c r="Z417" s="421" t="s">
        <v>4912</v>
      </c>
    </row>
    <row r="418" spans="2:26" ht="12.75" customHeight="1" x14ac:dyDescent="0.2">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4913</v>
      </c>
      <c r="W418" s="420" t="s">
        <v>4914</v>
      </c>
      <c r="X418" s="420" t="s">
        <v>4915</v>
      </c>
      <c r="Y418" s="420" t="s">
        <v>4916</v>
      </c>
      <c r="Z418" s="421" t="s">
        <v>4917</v>
      </c>
    </row>
    <row r="419" spans="2:26" ht="12.75" customHeight="1" x14ac:dyDescent="0.2">
      <c r="B419" s="266" t="str">
        <f t="shared" si="6"/>
        <v>Libre acceso12</v>
      </c>
      <c r="C419" s="422"/>
      <c r="D419" s="287" t="s">
        <v>399</v>
      </c>
      <c r="E419" s="418" t="s">
        <v>381</v>
      </c>
      <c r="F419" s="418">
        <f t="shared" si="7"/>
        <v>12</v>
      </c>
      <c r="G419" s="427" t="s">
        <v>2121</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3744</v>
      </c>
      <c r="W419" s="420" t="s">
        <v>3493</v>
      </c>
      <c r="X419" s="420" t="s">
        <v>3933</v>
      </c>
      <c r="Y419" s="420" t="s">
        <v>4918</v>
      </c>
      <c r="Z419" s="421" t="s">
        <v>4919</v>
      </c>
    </row>
    <row r="420" spans="2:26" ht="12.75" customHeight="1" x14ac:dyDescent="0.2">
      <c r="B420" s="266" t="str">
        <f t="shared" si="6"/>
        <v>Libre acceso12</v>
      </c>
      <c r="C420" s="422"/>
      <c r="D420" s="287" t="s">
        <v>1691</v>
      </c>
      <c r="E420" s="418" t="s">
        <v>381</v>
      </c>
      <c r="F420" s="418">
        <f t="shared" si="7"/>
        <v>12</v>
      </c>
      <c r="G420" s="427" t="s">
        <v>2121</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4920</v>
      </c>
      <c r="W420" s="420" t="s">
        <v>4921</v>
      </c>
      <c r="X420" s="420" t="s">
        <v>4922</v>
      </c>
      <c r="Y420" s="420" t="s">
        <v>4923</v>
      </c>
      <c r="Z420" s="421" t="s">
        <v>4924</v>
      </c>
    </row>
    <row r="421" spans="2:26" ht="12.75" customHeight="1" x14ac:dyDescent="0.2">
      <c r="B421" s="266" t="str">
        <f t="shared" si="6"/>
        <v>Libre acceso12</v>
      </c>
      <c r="C421" s="422"/>
      <c r="D421" s="287" t="s">
        <v>400</v>
      </c>
      <c r="E421" s="418" t="s">
        <v>381</v>
      </c>
      <c r="F421" s="418">
        <f t="shared" si="7"/>
        <v>12</v>
      </c>
      <c r="G421" s="427" t="s">
        <v>2121</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3666</v>
      </c>
      <c r="W421" s="420" t="s">
        <v>3745</v>
      </c>
      <c r="X421" s="420" t="s">
        <v>4925</v>
      </c>
      <c r="Y421" s="420" t="s">
        <v>4926</v>
      </c>
      <c r="Z421" s="421" t="s">
        <v>4927</v>
      </c>
    </row>
    <row r="422" spans="2:26" ht="12.75" customHeight="1" x14ac:dyDescent="0.2">
      <c r="B422" s="266" t="str">
        <f t="shared" si="6"/>
        <v>Libre acceso12</v>
      </c>
      <c r="C422" s="422"/>
      <c r="D422" s="287" t="s">
        <v>401</v>
      </c>
      <c r="E422" s="418" t="s">
        <v>381</v>
      </c>
      <c r="F422" s="418">
        <f t="shared" si="7"/>
        <v>12</v>
      </c>
      <c r="G422" s="427" t="s">
        <v>2121</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3484</v>
      </c>
      <c r="W422" s="420" t="s">
        <v>3566</v>
      </c>
      <c r="X422" s="420" t="s">
        <v>3485</v>
      </c>
      <c r="Y422" s="420" t="s">
        <v>3598</v>
      </c>
      <c r="Z422" s="421" t="s">
        <v>4928</v>
      </c>
    </row>
    <row r="423" spans="2:26" ht="12.75" customHeight="1" x14ac:dyDescent="0.2">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2:26" ht="12.75" customHeight="1" x14ac:dyDescent="0.2">
      <c r="B424" s="266" t="str">
        <f t="shared" si="6"/>
        <v>Libre acceso22</v>
      </c>
      <c r="C424" s="422"/>
      <c r="D424" s="287" t="s">
        <v>403</v>
      </c>
      <c r="E424" s="418" t="s">
        <v>381</v>
      </c>
      <c r="F424" s="418">
        <f>F411+10</f>
        <v>22</v>
      </c>
      <c r="G424" s="427" t="s">
        <v>1389</v>
      </c>
      <c r="H424" s="427" t="s">
        <v>4118</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4929</v>
      </c>
      <c r="W424" s="420" t="s">
        <v>4930</v>
      </c>
      <c r="X424" s="420" t="s">
        <v>3883</v>
      </c>
      <c r="Y424" s="420" t="s">
        <v>4736</v>
      </c>
      <c r="Z424" s="421" t="s">
        <v>4931</v>
      </c>
    </row>
    <row r="425" spans="2:26" ht="12.75" customHeight="1" x14ac:dyDescent="0.2">
      <c r="B425" s="266" t="str">
        <f t="shared" si="6"/>
        <v>Libre acceso22</v>
      </c>
      <c r="C425" s="422"/>
      <c r="D425" s="287" t="s">
        <v>404</v>
      </c>
      <c r="E425" s="418" t="s">
        <v>381</v>
      </c>
      <c r="F425" s="418">
        <f t="shared" ref="F425:F435" si="8">F412+10</f>
        <v>22</v>
      </c>
      <c r="G425" s="427" t="s">
        <v>1389</v>
      </c>
      <c r="H425" s="427" t="s">
        <v>4118</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3681</v>
      </c>
      <c r="W425" s="420" t="s">
        <v>3682</v>
      </c>
      <c r="X425" s="420" t="s">
        <v>3577</v>
      </c>
      <c r="Y425" s="420" t="s">
        <v>3410</v>
      </c>
      <c r="Z425" s="421" t="s">
        <v>4932</v>
      </c>
    </row>
    <row r="426" spans="2:26" ht="12.75" customHeight="1" x14ac:dyDescent="0.2">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4933</v>
      </c>
      <c r="W426" s="420" t="s">
        <v>4934</v>
      </c>
      <c r="X426" s="420" t="s">
        <v>4935</v>
      </c>
      <c r="Y426" s="420" t="s">
        <v>4936</v>
      </c>
      <c r="Z426" s="421" t="s">
        <v>4937</v>
      </c>
    </row>
    <row r="427" spans="2:26" ht="12.75" customHeight="1" x14ac:dyDescent="0.2">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3975</v>
      </c>
      <c r="W427" s="420" t="s">
        <v>4938</v>
      </c>
      <c r="X427" s="420" t="s">
        <v>4939</v>
      </c>
      <c r="Y427" s="420" t="s">
        <v>4940</v>
      </c>
      <c r="Z427" s="421" t="s">
        <v>4941</v>
      </c>
    </row>
    <row r="428" spans="2:26" ht="12.75" customHeight="1" x14ac:dyDescent="0.2">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4401</v>
      </c>
      <c r="W428" s="420" t="s">
        <v>4402</v>
      </c>
      <c r="X428" s="420" t="s">
        <v>4403</v>
      </c>
      <c r="Y428" s="420" t="s">
        <v>4404</v>
      </c>
      <c r="Z428" s="421" t="s">
        <v>4942</v>
      </c>
    </row>
    <row r="429" spans="2:26" ht="12.75" customHeight="1" x14ac:dyDescent="0.2">
      <c r="B429" s="266" t="str">
        <f t="shared" si="6"/>
        <v>Libre acceso22</v>
      </c>
      <c r="C429" s="422"/>
      <c r="D429" s="287" t="s">
        <v>408</v>
      </c>
      <c r="E429" s="418" t="s">
        <v>381</v>
      </c>
      <c r="F429" s="418">
        <f t="shared" si="8"/>
        <v>22</v>
      </c>
      <c r="G429" s="427" t="s">
        <v>2121</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4943</v>
      </c>
      <c r="W429" s="420" t="s">
        <v>4944</v>
      </c>
      <c r="X429" s="420" t="s">
        <v>4945</v>
      </c>
      <c r="Y429" s="420" t="s">
        <v>4946</v>
      </c>
      <c r="Z429" s="421" t="s">
        <v>4947</v>
      </c>
    </row>
    <row r="430" spans="2:26" ht="12.75" customHeight="1" x14ac:dyDescent="0.2">
      <c r="B430" s="266" t="str">
        <f t="shared" si="6"/>
        <v>Libre acceso22</v>
      </c>
      <c r="C430" s="422"/>
      <c r="D430" s="287" t="s">
        <v>409</v>
      </c>
      <c r="E430" s="418" t="s">
        <v>381</v>
      </c>
      <c r="F430" s="418">
        <f t="shared" si="8"/>
        <v>22</v>
      </c>
      <c r="G430" s="427" t="s">
        <v>2121</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3484</v>
      </c>
      <c r="W430" s="420" t="s">
        <v>3566</v>
      </c>
      <c r="X430" s="420" t="s">
        <v>3485</v>
      </c>
      <c r="Y430" s="420" t="s">
        <v>3598</v>
      </c>
      <c r="Z430" s="421" t="s">
        <v>4948</v>
      </c>
    </row>
    <row r="431" spans="2:26" ht="12.75" customHeight="1" x14ac:dyDescent="0.2">
      <c r="B431" s="266" t="str">
        <f t="shared" si="6"/>
        <v>Libre acceso22</v>
      </c>
      <c r="C431" s="422"/>
      <c r="D431" s="287" t="s">
        <v>2196</v>
      </c>
      <c r="E431" s="418" t="s">
        <v>381</v>
      </c>
      <c r="F431" s="418">
        <f t="shared" si="8"/>
        <v>22</v>
      </c>
      <c r="G431" s="427" t="s">
        <v>1389</v>
      </c>
      <c r="H431" s="427" t="s">
        <v>4949</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4950</v>
      </c>
      <c r="W431" s="420" t="s">
        <v>4951</v>
      </c>
      <c r="X431" s="420" t="s">
        <v>4952</v>
      </c>
      <c r="Y431" s="420" t="s">
        <v>4953</v>
      </c>
      <c r="Z431" s="421" t="s">
        <v>4954</v>
      </c>
    </row>
    <row r="432" spans="2:26" ht="12.75" customHeight="1" x14ac:dyDescent="0.2">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3674</v>
      </c>
      <c r="V432" s="420" t="s">
        <v>4955</v>
      </c>
      <c r="W432" s="420" t="s">
        <v>4956</v>
      </c>
      <c r="X432" s="420" t="s">
        <v>4957</v>
      </c>
      <c r="Y432" s="420" t="s">
        <v>4958</v>
      </c>
      <c r="Z432" s="421" t="s">
        <v>4959</v>
      </c>
    </row>
    <row r="433" spans="2:26" ht="12.75" customHeight="1" x14ac:dyDescent="0.2">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4960</v>
      </c>
      <c r="W433" s="420" t="s">
        <v>4961</v>
      </c>
      <c r="X433" s="420" t="s">
        <v>4962</v>
      </c>
      <c r="Y433" s="420" t="s">
        <v>4963</v>
      </c>
      <c r="Z433" s="421" t="s">
        <v>4964</v>
      </c>
    </row>
    <row r="434" spans="2:26" ht="12.75" customHeight="1" x14ac:dyDescent="0.2">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4965</v>
      </c>
      <c r="W434" s="420" t="s">
        <v>4966</v>
      </c>
      <c r="X434" s="420" t="s">
        <v>4967</v>
      </c>
      <c r="Y434" s="420" t="s">
        <v>4968</v>
      </c>
      <c r="Z434" s="421" t="s">
        <v>4969</v>
      </c>
    </row>
    <row r="435" spans="2:26" ht="12.75" customHeight="1" x14ac:dyDescent="0.2">
      <c r="B435" s="266" t="str">
        <f t="shared" si="6"/>
        <v>Libre acceso22</v>
      </c>
      <c r="C435" s="422"/>
      <c r="D435" s="287" t="s">
        <v>412</v>
      </c>
      <c r="E435" s="418" t="s">
        <v>381</v>
      </c>
      <c r="F435" s="418">
        <f t="shared" si="8"/>
        <v>22</v>
      </c>
      <c r="G435" s="427" t="s">
        <v>2121</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3492</v>
      </c>
      <c r="W435" s="420" t="s">
        <v>3745</v>
      </c>
      <c r="X435" s="420" t="s">
        <v>4970</v>
      </c>
      <c r="Y435" s="420" t="s">
        <v>4971</v>
      </c>
      <c r="Z435" s="421" t="s">
        <v>4972</v>
      </c>
    </row>
    <row r="436" spans="2:26" ht="12.75" customHeight="1" x14ac:dyDescent="0.2">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2:26" ht="12.75" customHeight="1" x14ac:dyDescent="0.2">
      <c r="B437" s="266" t="str">
        <f t="shared" si="6"/>
        <v>Libre acceso32</v>
      </c>
      <c r="C437" s="422"/>
      <c r="D437" s="287" t="s">
        <v>414</v>
      </c>
      <c r="E437" s="418" t="s">
        <v>381</v>
      </c>
      <c r="F437" s="418">
        <f>F424+10</f>
        <v>32</v>
      </c>
      <c r="G437" s="427" t="s">
        <v>2121</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4973</v>
      </c>
      <c r="W437" s="420" t="s">
        <v>4974</v>
      </c>
      <c r="X437" s="420" t="s">
        <v>4975</v>
      </c>
      <c r="Y437" s="420" t="s">
        <v>4976</v>
      </c>
      <c r="Z437" s="421" t="s">
        <v>4977</v>
      </c>
    </row>
    <row r="438" spans="2:26" ht="12.75" customHeight="1" x14ac:dyDescent="0.2">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3674</v>
      </c>
      <c r="V438" s="420" t="s">
        <v>4978</v>
      </c>
      <c r="W438" s="420" t="s">
        <v>4979</v>
      </c>
      <c r="X438" s="420" t="s">
        <v>4980</v>
      </c>
      <c r="Y438" s="420" t="s">
        <v>4981</v>
      </c>
      <c r="Z438" s="421" t="s">
        <v>4982</v>
      </c>
    </row>
    <row r="439" spans="2:26" ht="12.75" customHeight="1" x14ac:dyDescent="0.2">
      <c r="B439" s="266" t="str">
        <f t="shared" si="6"/>
        <v>Libre acceso32</v>
      </c>
      <c r="C439" s="422"/>
      <c r="D439" s="287" t="s">
        <v>416</v>
      </c>
      <c r="E439" s="418" t="s">
        <v>381</v>
      </c>
      <c r="F439" s="418">
        <f t="shared" si="9"/>
        <v>32</v>
      </c>
      <c r="G439" s="427" t="s">
        <v>2121</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4983</v>
      </c>
      <c r="W439" s="420" t="s">
        <v>4984</v>
      </c>
      <c r="X439" s="420" t="s">
        <v>4985</v>
      </c>
      <c r="Y439" s="420" t="s">
        <v>4986</v>
      </c>
      <c r="Z439" s="421" t="s">
        <v>4987</v>
      </c>
    </row>
    <row r="440" spans="2:26" ht="12.75" customHeight="1" x14ac:dyDescent="0.2">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4988</v>
      </c>
      <c r="W440" s="420" t="s">
        <v>4989</v>
      </c>
      <c r="X440" s="420" t="s">
        <v>4990</v>
      </c>
      <c r="Y440" s="420" t="s">
        <v>4991</v>
      </c>
      <c r="Z440" s="421" t="s">
        <v>4992</v>
      </c>
    </row>
    <row r="441" spans="2:26" ht="12.75" customHeight="1" x14ac:dyDescent="0.2">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3674</v>
      </c>
      <c r="V441" s="420" t="s">
        <v>4993</v>
      </c>
      <c r="W441" s="420" t="s">
        <v>4994</v>
      </c>
      <c r="X441" s="420" t="s">
        <v>4995</v>
      </c>
      <c r="Y441" s="420" t="s">
        <v>4996</v>
      </c>
      <c r="Z441" s="421" t="s">
        <v>4997</v>
      </c>
    </row>
    <row r="442" spans="2:26" ht="12.75" customHeight="1" x14ac:dyDescent="0.2">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3674</v>
      </c>
      <c r="V442" s="420" t="s">
        <v>4998</v>
      </c>
      <c r="W442" s="420" t="s">
        <v>4999</v>
      </c>
      <c r="X442" s="420" t="s">
        <v>5000</v>
      </c>
      <c r="Y442" s="420" t="s">
        <v>5001</v>
      </c>
      <c r="Z442" s="421" t="s">
        <v>5002</v>
      </c>
    </row>
    <row r="443" spans="2:26" ht="12.75" customHeight="1" x14ac:dyDescent="0.2">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5003</v>
      </c>
      <c r="W443" s="420" t="s">
        <v>5004</v>
      </c>
      <c r="X443" s="420" t="s">
        <v>4744</v>
      </c>
      <c r="Y443" s="420" t="s">
        <v>3841</v>
      </c>
      <c r="Z443" s="421" t="s">
        <v>5005</v>
      </c>
    </row>
    <row r="444" spans="2:26" ht="12.75" customHeight="1" x14ac:dyDescent="0.2">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3631</v>
      </c>
      <c r="W444" s="420" t="s">
        <v>3633</v>
      </c>
      <c r="X444" s="420" t="s">
        <v>3744</v>
      </c>
      <c r="Y444" s="420" t="s">
        <v>3492</v>
      </c>
      <c r="Z444" s="421" t="s">
        <v>5006</v>
      </c>
    </row>
    <row r="445" spans="2:26" ht="12.75" customHeight="1" x14ac:dyDescent="0.2">
      <c r="B445" s="266" t="str">
        <f t="shared" si="6"/>
        <v>Libre acceso32</v>
      </c>
      <c r="C445" s="422"/>
      <c r="D445" s="287" t="s">
        <v>422</v>
      </c>
      <c r="E445" s="418" t="s">
        <v>381</v>
      </c>
      <c r="F445" s="418">
        <f t="shared" si="9"/>
        <v>32</v>
      </c>
      <c r="G445" s="427" t="s">
        <v>2121</v>
      </c>
      <c r="H445" s="427" t="s">
        <v>4118</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3681</v>
      </c>
      <c r="W445" s="420" t="s">
        <v>3577</v>
      </c>
      <c r="X445" s="420" t="s">
        <v>3578</v>
      </c>
      <c r="Y445" s="420" t="s">
        <v>3579</v>
      </c>
      <c r="Z445" s="421" t="s">
        <v>5007</v>
      </c>
    </row>
    <row r="446" spans="2:26" ht="12.75" customHeight="1" x14ac:dyDescent="0.2">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5008</v>
      </c>
      <c r="W446" s="420" t="s">
        <v>5009</v>
      </c>
      <c r="X446" s="420" t="s">
        <v>5010</v>
      </c>
      <c r="Y446" s="420" t="s">
        <v>5011</v>
      </c>
      <c r="Z446" s="421" t="s">
        <v>5012</v>
      </c>
    </row>
    <row r="447" spans="2:26" ht="12.75" customHeight="1" x14ac:dyDescent="0.2">
      <c r="B447" s="266" t="str">
        <f t="shared" si="6"/>
        <v>Libre acceso32</v>
      </c>
      <c r="C447" s="422"/>
      <c r="D447" s="287" t="s">
        <v>423</v>
      </c>
      <c r="E447" s="418" t="s">
        <v>381</v>
      </c>
      <c r="F447" s="418">
        <f t="shared" si="9"/>
        <v>32</v>
      </c>
      <c r="G447" s="427" t="s">
        <v>1389</v>
      </c>
      <c r="H447" s="427" t="s">
        <v>4118</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5013</v>
      </c>
      <c r="W447" s="420" t="s">
        <v>5014</v>
      </c>
      <c r="X447" s="420" t="s">
        <v>5015</v>
      </c>
      <c r="Y447" s="420" t="s">
        <v>5016</v>
      </c>
      <c r="Z447" s="421" t="s">
        <v>5017</v>
      </c>
    </row>
    <row r="448" spans="2:26" ht="12.75" customHeight="1" x14ac:dyDescent="0.2">
      <c r="B448" s="266" t="str">
        <f t="shared" si="6"/>
        <v>Libre acceso32</v>
      </c>
      <c r="C448" s="422"/>
      <c r="D448" s="287" t="s">
        <v>424</v>
      </c>
      <c r="E448" s="418" t="s">
        <v>381</v>
      </c>
      <c r="F448" s="418">
        <f t="shared" si="9"/>
        <v>32</v>
      </c>
      <c r="G448" s="427" t="s">
        <v>2121</v>
      </c>
      <c r="H448" s="427" t="s">
        <v>5018</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3719</v>
      </c>
      <c r="W448" s="420" t="s">
        <v>5019</v>
      </c>
      <c r="X448" s="420" t="s">
        <v>3681</v>
      </c>
      <c r="Y448" s="420" t="s">
        <v>4796</v>
      </c>
      <c r="Z448" s="421" t="s">
        <v>5020</v>
      </c>
    </row>
    <row r="449" spans="2:26" ht="12.75" customHeight="1" x14ac:dyDescent="0.2">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2:26" ht="12.75" customHeight="1" x14ac:dyDescent="0.2">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4984</v>
      </c>
      <c r="W450" s="420" t="s">
        <v>5021</v>
      </c>
      <c r="X450" s="420" t="s">
        <v>5022</v>
      </c>
      <c r="Y450" s="420" t="s">
        <v>5023</v>
      </c>
      <c r="Z450" s="421" t="s">
        <v>5024</v>
      </c>
    </row>
    <row r="451" spans="2:26" ht="12.75" customHeight="1" x14ac:dyDescent="0.2">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9995</v>
      </c>
      <c r="W451" s="420" t="s">
        <v>9984</v>
      </c>
      <c r="X451" s="420" t="s">
        <v>9985</v>
      </c>
      <c r="Y451" s="420" t="s">
        <v>9986</v>
      </c>
      <c r="Z451" s="421" t="s">
        <v>5025</v>
      </c>
    </row>
    <row r="452" spans="2:26" ht="12.75" customHeight="1" x14ac:dyDescent="0.2">
      <c r="B452" s="266" t="str">
        <f t="shared" si="6"/>
        <v>Libre acceso42</v>
      </c>
      <c r="C452" s="422"/>
      <c r="D452" s="287" t="s">
        <v>428</v>
      </c>
      <c r="E452" s="418" t="s">
        <v>381</v>
      </c>
      <c r="F452" s="418">
        <f t="shared" si="10"/>
        <v>42</v>
      </c>
      <c r="G452" s="427" t="s">
        <v>2121</v>
      </c>
      <c r="H452" s="427" t="s">
        <v>4118</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5026</v>
      </c>
      <c r="W452" s="420" t="s">
        <v>5027</v>
      </c>
      <c r="X452" s="420" t="s">
        <v>5028</v>
      </c>
      <c r="Y452" s="420" t="s">
        <v>5029</v>
      </c>
      <c r="Z452" s="421" t="s">
        <v>5030</v>
      </c>
    </row>
    <row r="453" spans="2:26" ht="12.75" customHeight="1" x14ac:dyDescent="0.2">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5031</v>
      </c>
      <c r="W453" s="420" t="s">
        <v>5032</v>
      </c>
      <c r="X453" s="420" t="s">
        <v>5033</v>
      </c>
      <c r="Y453" s="420" t="s">
        <v>5034</v>
      </c>
      <c r="Z453" s="421" t="s">
        <v>5035</v>
      </c>
    </row>
    <row r="454" spans="2:26" ht="12.75" customHeight="1" x14ac:dyDescent="0.2">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3674</v>
      </c>
      <c r="V454" s="420" t="s">
        <v>5036</v>
      </c>
      <c r="W454" s="420" t="s">
        <v>5037</v>
      </c>
      <c r="X454" s="420" t="s">
        <v>5038</v>
      </c>
      <c r="Y454" s="420" t="s">
        <v>5039</v>
      </c>
      <c r="Z454" s="421" t="s">
        <v>5040</v>
      </c>
    </row>
    <row r="455" spans="2:26" ht="12.75" customHeight="1" x14ac:dyDescent="0.2">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5041</v>
      </c>
      <c r="W455" s="420" t="s">
        <v>5042</v>
      </c>
      <c r="X455" s="420" t="s">
        <v>5043</v>
      </c>
      <c r="Y455" s="420" t="s">
        <v>5044</v>
      </c>
      <c r="Z455" s="421" t="s">
        <v>5045</v>
      </c>
    </row>
    <row r="456" spans="2:26" ht="12.75" customHeight="1" x14ac:dyDescent="0.2">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5046</v>
      </c>
      <c r="W456" s="420" t="s">
        <v>5047</v>
      </c>
      <c r="X456" s="420" t="s">
        <v>5048</v>
      </c>
      <c r="Y456" s="420" t="s">
        <v>5049</v>
      </c>
      <c r="Z456" s="421" t="s">
        <v>5050</v>
      </c>
    </row>
    <row r="457" spans="2:26" ht="12.75" customHeight="1" x14ac:dyDescent="0.2">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5051</v>
      </c>
      <c r="W457" s="420" t="s">
        <v>3695</v>
      </c>
      <c r="X457" s="420" t="s">
        <v>4687</v>
      </c>
      <c r="Y457" s="420" t="s">
        <v>4688</v>
      </c>
      <c r="Z457" s="421" t="s">
        <v>5052</v>
      </c>
    </row>
    <row r="458" spans="2:26" ht="12.75" customHeight="1" x14ac:dyDescent="0.2">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5053</v>
      </c>
      <c r="W458" s="420" t="s">
        <v>5054</v>
      </c>
      <c r="X458" s="420" t="s">
        <v>5055</v>
      </c>
      <c r="Y458" s="420" t="s">
        <v>5056</v>
      </c>
      <c r="Z458" s="421" t="s">
        <v>5057</v>
      </c>
    </row>
    <row r="459" spans="2:26" ht="12.75" customHeight="1" x14ac:dyDescent="0.2">
      <c r="B459" s="266" t="str">
        <f t="shared" si="11"/>
        <v>Libre acceso42</v>
      </c>
      <c r="C459" s="422"/>
      <c r="D459" s="287" t="s">
        <v>435</v>
      </c>
      <c r="E459" s="418" t="s">
        <v>381</v>
      </c>
      <c r="F459" s="418">
        <f t="shared" si="10"/>
        <v>42</v>
      </c>
      <c r="G459" s="427" t="s">
        <v>2121</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3695</v>
      </c>
      <c r="W459" s="420" t="s">
        <v>4687</v>
      </c>
      <c r="X459" s="420" t="s">
        <v>5058</v>
      </c>
      <c r="Y459" s="420" t="s">
        <v>4688</v>
      </c>
      <c r="Z459" s="421" t="s">
        <v>5059</v>
      </c>
    </row>
    <row r="460" spans="2:26" ht="12.75" customHeight="1" x14ac:dyDescent="0.2">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3674</v>
      </c>
      <c r="V460" s="420" t="s">
        <v>5060</v>
      </c>
      <c r="W460" s="420" t="s">
        <v>5061</v>
      </c>
      <c r="X460" s="420" t="s">
        <v>5062</v>
      </c>
      <c r="Y460" s="420" t="s">
        <v>5063</v>
      </c>
      <c r="Z460" s="421" t="s">
        <v>5064</v>
      </c>
    </row>
    <row r="461" spans="2:26" ht="12.75" customHeight="1" x14ac:dyDescent="0.2">
      <c r="B461" s="266" t="str">
        <f t="shared" si="11"/>
        <v>Libre acceso42</v>
      </c>
      <c r="C461" s="422"/>
      <c r="D461" s="287" t="s">
        <v>437</v>
      </c>
      <c r="E461" s="418" t="s">
        <v>381</v>
      </c>
      <c r="F461" s="418">
        <f t="shared" si="10"/>
        <v>42</v>
      </c>
      <c r="G461" s="427" t="s">
        <v>2121</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5065</v>
      </c>
      <c r="W461" s="420" t="s">
        <v>5066</v>
      </c>
      <c r="X461" s="420" t="s">
        <v>5067</v>
      </c>
      <c r="Y461" s="420" t="s">
        <v>5068</v>
      </c>
      <c r="Z461" s="421" t="s">
        <v>5069</v>
      </c>
    </row>
    <row r="462" spans="2:26" ht="12.75" customHeight="1" x14ac:dyDescent="0.2">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2:26" ht="12.75" customHeight="1" x14ac:dyDescent="0.2">
      <c r="B463" s="266" t="str">
        <f t="shared" si="11"/>
        <v>Libre acceso52</v>
      </c>
      <c r="C463" s="422"/>
      <c r="D463" s="287" t="s">
        <v>439</v>
      </c>
      <c r="E463" s="418" t="s">
        <v>381</v>
      </c>
      <c r="F463" s="418">
        <f>F450+10</f>
        <v>52</v>
      </c>
      <c r="G463" s="427" t="s">
        <v>2121</v>
      </c>
      <c r="H463" s="427" t="s">
        <v>4118</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5070</v>
      </c>
      <c r="W463" s="420" t="s">
        <v>5071</v>
      </c>
      <c r="X463" s="420" t="s">
        <v>3538</v>
      </c>
      <c r="Y463" s="420" t="s">
        <v>3539</v>
      </c>
      <c r="Z463" s="421" t="s">
        <v>7312</v>
      </c>
    </row>
    <row r="464" spans="2:26" ht="12.75" customHeight="1" x14ac:dyDescent="0.2">
      <c r="B464" s="266" t="str">
        <f t="shared" si="11"/>
        <v>Libre acceso52</v>
      </c>
      <c r="C464" s="422"/>
      <c r="D464" s="287" t="s">
        <v>440</v>
      </c>
      <c r="E464" s="418" t="s">
        <v>381</v>
      </c>
      <c r="F464" s="418">
        <f t="shared" ref="F464:F474" si="12">F451+10</f>
        <v>52</v>
      </c>
      <c r="G464" s="427" t="s">
        <v>1389</v>
      </c>
      <c r="H464" s="427" t="s">
        <v>4118</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5072</v>
      </c>
      <c r="W464" s="420" t="s">
        <v>5031</v>
      </c>
      <c r="X464" s="420" t="s">
        <v>5073</v>
      </c>
      <c r="Y464" s="420" t="s">
        <v>5074</v>
      </c>
      <c r="Z464" s="421" t="s">
        <v>5075</v>
      </c>
    </row>
    <row r="465" spans="2:26" ht="12.75" customHeight="1" x14ac:dyDescent="0.2">
      <c r="B465" s="266" t="str">
        <f t="shared" si="11"/>
        <v>Libre acceso52</v>
      </c>
      <c r="C465" s="422"/>
      <c r="D465" s="287" t="s">
        <v>441</v>
      </c>
      <c r="E465" s="418" t="s">
        <v>381</v>
      </c>
      <c r="F465" s="418">
        <f t="shared" si="12"/>
        <v>52</v>
      </c>
      <c r="G465" s="427" t="s">
        <v>1389</v>
      </c>
      <c r="H465" s="427" t="s">
        <v>4118</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5076</v>
      </c>
      <c r="W465" s="420" t="s">
        <v>3349</v>
      </c>
      <c r="X465" s="420" t="s">
        <v>5032</v>
      </c>
      <c r="Y465" s="420" t="s">
        <v>5077</v>
      </c>
      <c r="Z465" s="421" t="s">
        <v>5078</v>
      </c>
    </row>
    <row r="466" spans="2:26" ht="12.75" customHeight="1" x14ac:dyDescent="0.2">
      <c r="B466" s="266" t="str">
        <f t="shared" si="11"/>
        <v>Libre acceso52</v>
      </c>
      <c r="C466" s="422"/>
      <c r="D466" s="287" t="s">
        <v>442</v>
      </c>
      <c r="E466" s="418" t="s">
        <v>381</v>
      </c>
      <c r="F466" s="418">
        <f t="shared" si="12"/>
        <v>52</v>
      </c>
      <c r="G466" s="427" t="s">
        <v>1389</v>
      </c>
      <c r="H466" s="427" t="s">
        <v>4118</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5076</v>
      </c>
      <c r="W466" s="420" t="s">
        <v>5079</v>
      </c>
      <c r="X466" s="420" t="s">
        <v>5080</v>
      </c>
      <c r="Y466" s="420" t="s">
        <v>5081</v>
      </c>
      <c r="Z466" s="421" t="s">
        <v>5082</v>
      </c>
    </row>
    <row r="467" spans="2:26" ht="12.75" customHeight="1" x14ac:dyDescent="0.2">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5083</v>
      </c>
      <c r="W467" s="420" t="s">
        <v>5084</v>
      </c>
      <c r="X467" s="420" t="s">
        <v>5085</v>
      </c>
      <c r="Y467" s="420" t="s">
        <v>5086</v>
      </c>
      <c r="Z467" s="421" t="s">
        <v>5087</v>
      </c>
    </row>
    <row r="468" spans="2:26" ht="12.75" customHeight="1" x14ac:dyDescent="0.2">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5088</v>
      </c>
      <c r="W468" s="420" t="s">
        <v>4485</v>
      </c>
      <c r="X468" s="420" t="s">
        <v>5089</v>
      </c>
      <c r="Y468" s="420" t="s">
        <v>4818</v>
      </c>
      <c r="Z468" s="421" t="s">
        <v>5090</v>
      </c>
    </row>
    <row r="469" spans="2:26" ht="12.75" customHeight="1" x14ac:dyDescent="0.2">
      <c r="B469" s="266" t="str">
        <f t="shared" si="11"/>
        <v>Libre acceso52</v>
      </c>
      <c r="C469" s="422"/>
      <c r="D469" s="287" t="s">
        <v>445</v>
      </c>
      <c r="E469" s="418" t="s">
        <v>381</v>
      </c>
      <c r="F469" s="418">
        <f t="shared" si="12"/>
        <v>52</v>
      </c>
      <c r="G469" s="427" t="s">
        <v>2121</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3492</v>
      </c>
      <c r="W469" s="420" t="s">
        <v>3745</v>
      </c>
      <c r="X469" s="420" t="s">
        <v>5091</v>
      </c>
      <c r="Y469" s="420" t="s">
        <v>4918</v>
      </c>
      <c r="Z469" s="421" t="s">
        <v>5092</v>
      </c>
    </row>
    <row r="470" spans="2:26" ht="12.75" customHeight="1" x14ac:dyDescent="0.2">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5093</v>
      </c>
      <c r="W470" s="420" t="s">
        <v>5094</v>
      </c>
      <c r="X470" s="420" t="s">
        <v>5095</v>
      </c>
      <c r="Y470" s="420" t="s">
        <v>5096</v>
      </c>
      <c r="Z470" s="421" t="s">
        <v>5097</v>
      </c>
    </row>
    <row r="471" spans="2:26" ht="12.75" customHeight="1" x14ac:dyDescent="0.2">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5098</v>
      </c>
      <c r="W471" s="420" t="s">
        <v>5099</v>
      </c>
      <c r="X471" s="420" t="s">
        <v>5100</v>
      </c>
      <c r="Y471" s="420" t="s">
        <v>5101</v>
      </c>
      <c r="Z471" s="421" t="s">
        <v>5102</v>
      </c>
    </row>
    <row r="472" spans="2:26" ht="12.75" customHeight="1" x14ac:dyDescent="0.2">
      <c r="B472" s="266" t="str">
        <f t="shared" si="11"/>
        <v>Libre acceso52</v>
      </c>
      <c r="C472" s="422"/>
      <c r="D472" s="287" t="s">
        <v>448</v>
      </c>
      <c r="E472" s="418" t="s">
        <v>381</v>
      </c>
      <c r="F472" s="418">
        <f t="shared" si="12"/>
        <v>52</v>
      </c>
      <c r="G472" s="427" t="s">
        <v>2121</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5103</v>
      </c>
      <c r="W472" s="420" t="s">
        <v>5104</v>
      </c>
      <c r="X472" s="420" t="s">
        <v>5105</v>
      </c>
      <c r="Y472" s="420" t="s">
        <v>5106</v>
      </c>
      <c r="Z472" s="421" t="s">
        <v>5107</v>
      </c>
    </row>
    <row r="473" spans="2:26" ht="12.75" customHeight="1" x14ac:dyDescent="0.2">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5108</v>
      </c>
      <c r="W473" s="420" t="s">
        <v>5109</v>
      </c>
      <c r="X473" s="420" t="s">
        <v>5110</v>
      </c>
      <c r="Y473" s="420" t="s">
        <v>5111</v>
      </c>
      <c r="Z473" s="421" t="s">
        <v>5112</v>
      </c>
    </row>
    <row r="474" spans="2:26" ht="12.75" customHeight="1" x14ac:dyDescent="0.2">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5113</v>
      </c>
      <c r="W474" s="420" t="s">
        <v>5114</v>
      </c>
      <c r="X474" s="420" t="s">
        <v>5115</v>
      </c>
      <c r="Y474" s="420" t="s">
        <v>5116</v>
      </c>
      <c r="Z474" s="421" t="s">
        <v>5117</v>
      </c>
    </row>
    <row r="475" spans="2:26" ht="12.75" customHeight="1" x14ac:dyDescent="0.2">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2:26" ht="12.75" customHeight="1" x14ac:dyDescent="0.2">
      <c r="B476" s="266" t="str">
        <f t="shared" si="11"/>
        <v>Libre acceso62</v>
      </c>
      <c r="C476" s="422"/>
      <c r="D476" s="287" t="s">
        <v>452</v>
      </c>
      <c r="E476" s="418" t="s">
        <v>381</v>
      </c>
      <c r="F476" s="418">
        <f>F463+10</f>
        <v>62</v>
      </c>
      <c r="G476" s="427" t="s">
        <v>1389</v>
      </c>
      <c r="H476" s="427" t="s">
        <v>4118</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5118</v>
      </c>
      <c r="W476" s="420" t="s">
        <v>5119</v>
      </c>
      <c r="X476" s="420" t="s">
        <v>5120</v>
      </c>
      <c r="Y476" s="420" t="s">
        <v>5121</v>
      </c>
      <c r="Z476" s="421" t="s">
        <v>5122</v>
      </c>
    </row>
    <row r="477" spans="2:26" ht="12.75" customHeight="1" x14ac:dyDescent="0.2">
      <c r="B477" s="266" t="str">
        <f t="shared" si="11"/>
        <v>Libre acceso62</v>
      </c>
      <c r="C477" s="422"/>
      <c r="D477" s="287" t="s">
        <v>453</v>
      </c>
      <c r="E477" s="418" t="s">
        <v>381</v>
      </c>
      <c r="F477" s="418">
        <f t="shared" ref="F477:F487" si="13">F464+10</f>
        <v>62</v>
      </c>
      <c r="G477" s="427" t="s">
        <v>1389</v>
      </c>
      <c r="H477" s="427" t="s">
        <v>4118</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3681</v>
      </c>
      <c r="W477" s="420" t="s">
        <v>3682</v>
      </c>
      <c r="X477" s="420" t="s">
        <v>3577</v>
      </c>
      <c r="Y477" s="420" t="s">
        <v>3410</v>
      </c>
      <c r="Z477" s="421" t="s">
        <v>5123</v>
      </c>
    </row>
    <row r="478" spans="2:26" ht="12.75" customHeight="1" x14ac:dyDescent="0.2">
      <c r="B478" s="266" t="str">
        <f t="shared" si="11"/>
        <v>Libre acceso62</v>
      </c>
      <c r="C478" s="422"/>
      <c r="D478" s="287" t="s">
        <v>454</v>
      </c>
      <c r="E478" s="418" t="s">
        <v>381</v>
      </c>
      <c r="F478" s="418">
        <f t="shared" si="13"/>
        <v>62</v>
      </c>
      <c r="G478" s="427" t="s">
        <v>2121</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5124</v>
      </c>
      <c r="W478" s="420" t="s">
        <v>5125</v>
      </c>
      <c r="X478" s="420" t="s">
        <v>5126</v>
      </c>
      <c r="Y478" s="420" t="s">
        <v>5127</v>
      </c>
      <c r="Z478" s="421" t="s">
        <v>5128</v>
      </c>
    </row>
    <row r="479" spans="2:26" ht="12.75" customHeight="1" x14ac:dyDescent="0.2">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5129</v>
      </c>
      <c r="W479" s="420" t="s">
        <v>5130</v>
      </c>
      <c r="X479" s="420" t="s">
        <v>5131</v>
      </c>
      <c r="Y479" s="420" t="s">
        <v>5132</v>
      </c>
      <c r="Z479" s="421" t="s">
        <v>5133</v>
      </c>
    </row>
    <row r="480" spans="2:26" ht="12.75" customHeight="1" x14ac:dyDescent="0.2">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5134</v>
      </c>
      <c r="W480" s="420" t="s">
        <v>4098</v>
      </c>
      <c r="X480" s="420" t="s">
        <v>5135</v>
      </c>
      <c r="Y480" s="420" t="s">
        <v>4099</v>
      </c>
      <c r="Z480" s="421" t="s">
        <v>5136</v>
      </c>
    </row>
    <row r="481" spans="2:26" ht="12.75" customHeight="1" x14ac:dyDescent="0.2">
      <c r="B481" s="266" t="str">
        <f t="shared" si="11"/>
        <v>Libre acceso62</v>
      </c>
      <c r="C481" s="422"/>
      <c r="D481" s="287" t="s">
        <v>457</v>
      </c>
      <c r="E481" s="418" t="s">
        <v>381</v>
      </c>
      <c r="F481" s="418">
        <f t="shared" si="13"/>
        <v>62</v>
      </c>
      <c r="G481" s="427" t="s">
        <v>2121</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5137</v>
      </c>
      <c r="W481" s="420" t="s">
        <v>5138</v>
      </c>
      <c r="X481" s="420" t="s">
        <v>5139</v>
      </c>
      <c r="Y481" s="420" t="s">
        <v>5140</v>
      </c>
      <c r="Z481" s="421" t="s">
        <v>5141</v>
      </c>
    </row>
    <row r="482" spans="2:26" ht="12.75" customHeight="1" x14ac:dyDescent="0.2">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3674</v>
      </c>
      <c r="V482" s="420" t="s">
        <v>5142</v>
      </c>
      <c r="W482" s="420" t="s">
        <v>5143</v>
      </c>
      <c r="X482" s="420" t="s">
        <v>5144</v>
      </c>
      <c r="Y482" s="420" t="s">
        <v>5145</v>
      </c>
      <c r="Z482" s="421" t="s">
        <v>5146</v>
      </c>
    </row>
    <row r="483" spans="2:26" ht="12.75" customHeight="1" x14ac:dyDescent="0.2">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5147</v>
      </c>
      <c r="W483" s="420" t="s">
        <v>5148</v>
      </c>
      <c r="X483" s="420" t="s">
        <v>5149</v>
      </c>
      <c r="Y483" s="420" t="s">
        <v>5150</v>
      </c>
      <c r="Z483" s="421" t="s">
        <v>5151</v>
      </c>
    </row>
    <row r="484" spans="2:26" ht="12.75" customHeight="1" x14ac:dyDescent="0.2">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5152</v>
      </c>
      <c r="W484" s="420" t="s">
        <v>5153</v>
      </c>
      <c r="X484" s="420" t="s">
        <v>5154</v>
      </c>
      <c r="Y484" s="420" t="s">
        <v>5155</v>
      </c>
      <c r="Z484" s="421" t="s">
        <v>5156</v>
      </c>
    </row>
    <row r="485" spans="2:26" ht="12.75" customHeight="1" x14ac:dyDescent="0.2">
      <c r="B485" s="266" t="str">
        <f t="shared" si="11"/>
        <v>Libre acceso62</v>
      </c>
      <c r="C485" s="422"/>
      <c r="D485" s="287" t="s">
        <v>1920</v>
      </c>
      <c r="E485" s="418" t="s">
        <v>381</v>
      </c>
      <c r="F485" s="418">
        <f t="shared" si="13"/>
        <v>62</v>
      </c>
      <c r="G485" s="427" t="s">
        <v>1389</v>
      </c>
      <c r="H485" s="427" t="s">
        <v>4118</v>
      </c>
      <c r="I485" s="428" t="s">
        <v>1312</v>
      </c>
      <c r="J485" s="418">
        <v>8</v>
      </c>
      <c r="K485" s="418">
        <v>11</v>
      </c>
      <c r="L485" s="418">
        <v>13</v>
      </c>
      <c r="M485" s="423">
        <v>16</v>
      </c>
      <c r="N485" s="418">
        <v>120</v>
      </c>
      <c r="O485" s="418">
        <v>160</v>
      </c>
      <c r="P485" s="418">
        <v>200</v>
      </c>
      <c r="Q485" s="423">
        <v>240</v>
      </c>
      <c r="R485" s="418"/>
      <c r="S485" s="418"/>
      <c r="T485" s="418"/>
      <c r="U485" s="423"/>
      <c r="V485" s="420" t="s">
        <v>3695</v>
      </c>
      <c r="W485" s="420" t="s">
        <v>4687</v>
      </c>
      <c r="X485" s="420" t="s">
        <v>3696</v>
      </c>
      <c r="Y485" s="420" t="s">
        <v>4688</v>
      </c>
      <c r="Z485" s="421" t="s">
        <v>5157</v>
      </c>
    </row>
    <row r="486" spans="2:26" ht="12.75" customHeight="1" x14ac:dyDescent="0.2">
      <c r="B486" s="266" t="str">
        <f t="shared" si="11"/>
        <v>Libre acceso62</v>
      </c>
      <c r="C486" s="422"/>
      <c r="D486" s="287" t="s">
        <v>461</v>
      </c>
      <c r="E486" s="418" t="s">
        <v>381</v>
      </c>
      <c r="F486" s="418">
        <f t="shared" si="13"/>
        <v>62</v>
      </c>
      <c r="G486" s="427" t="s">
        <v>2121</v>
      </c>
      <c r="H486" s="427" t="s">
        <v>4118</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3695</v>
      </c>
      <c r="W486" s="420" t="s">
        <v>4687</v>
      </c>
      <c r="X486" s="420" t="s">
        <v>3696</v>
      </c>
      <c r="Y486" s="420" t="s">
        <v>4688</v>
      </c>
      <c r="Z486" s="421" t="s">
        <v>5158</v>
      </c>
    </row>
    <row r="487" spans="2:26" ht="12.75" customHeight="1" x14ac:dyDescent="0.2">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5152</v>
      </c>
      <c r="W487" s="420" t="s">
        <v>5153</v>
      </c>
      <c r="X487" s="420" t="s">
        <v>5154</v>
      </c>
      <c r="Y487" s="420" t="s">
        <v>5155</v>
      </c>
      <c r="Z487" s="421" t="s">
        <v>5159</v>
      </c>
    </row>
    <row r="488" spans="2:26" ht="12.75" customHeight="1" x14ac:dyDescent="0.2">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2:26" ht="12.75" customHeight="1" x14ac:dyDescent="0.2">
      <c r="B489" s="266" t="str">
        <f t="shared" si="11"/>
        <v>Libre acceso72</v>
      </c>
      <c r="C489" s="422"/>
      <c r="D489" s="287" t="s">
        <v>464</v>
      </c>
      <c r="E489" s="418" t="s">
        <v>381</v>
      </c>
      <c r="F489" s="418">
        <f>F476+10</f>
        <v>72</v>
      </c>
      <c r="G489" s="427" t="s">
        <v>2121</v>
      </c>
      <c r="H489" s="427" t="s">
        <v>4118</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5160</v>
      </c>
      <c r="W489" s="420" t="s">
        <v>5161</v>
      </c>
      <c r="X489" s="420" t="s">
        <v>5162</v>
      </c>
      <c r="Y489" s="420" t="s">
        <v>5163</v>
      </c>
      <c r="Z489" s="421" t="s">
        <v>5164</v>
      </c>
    </row>
    <row r="490" spans="2:26" ht="12.75" customHeight="1" x14ac:dyDescent="0.2">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5165</v>
      </c>
      <c r="W490" s="420" t="s">
        <v>5166</v>
      </c>
      <c r="X490" s="420" t="s">
        <v>5167</v>
      </c>
      <c r="Y490" s="420" t="s">
        <v>5168</v>
      </c>
      <c r="Z490" s="421" t="s">
        <v>5169</v>
      </c>
    </row>
    <row r="491" spans="2:26" ht="12.75" customHeight="1" x14ac:dyDescent="0.2">
      <c r="B491" s="266" t="str">
        <f t="shared" si="11"/>
        <v>Libre acceso72</v>
      </c>
      <c r="C491" s="422"/>
      <c r="D491" s="287" t="s">
        <v>466</v>
      </c>
      <c r="E491" s="418" t="s">
        <v>381</v>
      </c>
      <c r="F491" s="418">
        <f t="shared" si="14"/>
        <v>72</v>
      </c>
      <c r="G491" s="427" t="s">
        <v>1389</v>
      </c>
      <c r="H491" s="427" t="s">
        <v>4118</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3681</v>
      </c>
      <c r="W491" s="420" t="s">
        <v>3682</v>
      </c>
      <c r="X491" s="420" t="s">
        <v>3410</v>
      </c>
      <c r="Y491" s="420" t="s">
        <v>3872</v>
      </c>
      <c r="Z491" s="421" t="s">
        <v>5170</v>
      </c>
    </row>
    <row r="492" spans="2:26" ht="12.75" customHeight="1" x14ac:dyDescent="0.2">
      <c r="B492" s="266" t="str">
        <f t="shared" si="11"/>
        <v>Libre acceso72</v>
      </c>
      <c r="C492" s="422"/>
      <c r="D492" s="287" t="s">
        <v>467</v>
      </c>
      <c r="E492" s="418" t="s">
        <v>381</v>
      </c>
      <c r="F492" s="418">
        <f t="shared" si="14"/>
        <v>72</v>
      </c>
      <c r="G492" s="427" t="s">
        <v>1389</v>
      </c>
      <c r="H492" s="427" t="s">
        <v>5184</v>
      </c>
      <c r="I492" s="428" t="s">
        <v>1313</v>
      </c>
      <c r="J492" s="418">
        <v>9</v>
      </c>
      <c r="K492" s="418">
        <v>11</v>
      </c>
      <c r="L492" s="418">
        <v>13</v>
      </c>
      <c r="M492" s="423">
        <v>16</v>
      </c>
      <c r="N492" s="418">
        <v>100</v>
      </c>
      <c r="O492" s="418">
        <v>160</v>
      </c>
      <c r="P492" s="418">
        <v>220</v>
      </c>
      <c r="Q492" s="423">
        <v>300</v>
      </c>
      <c r="R492" s="418"/>
      <c r="S492" s="418"/>
      <c r="T492" s="418"/>
      <c r="U492" s="423"/>
      <c r="V492" s="420" t="s">
        <v>3682</v>
      </c>
      <c r="W492" s="420" t="s">
        <v>3577</v>
      </c>
      <c r="X492" s="420" t="s">
        <v>3578</v>
      </c>
      <c r="Y492" s="420" t="s">
        <v>3579</v>
      </c>
      <c r="Z492" s="421" t="s">
        <v>5185</v>
      </c>
    </row>
    <row r="493" spans="2:26" ht="12.75" customHeight="1" x14ac:dyDescent="0.2">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5178</v>
      </c>
      <c r="W493" s="420" t="s">
        <v>5179</v>
      </c>
      <c r="X493" s="420" t="s">
        <v>5180</v>
      </c>
      <c r="Y493" s="420" t="s">
        <v>5181</v>
      </c>
      <c r="Z493" s="421" t="s">
        <v>5182</v>
      </c>
    </row>
    <row r="494" spans="2:26" ht="12.75" customHeight="1" x14ac:dyDescent="0.2">
      <c r="B494" s="266" t="str">
        <f t="shared" si="11"/>
        <v>Libre acceso72</v>
      </c>
      <c r="C494" s="422"/>
      <c r="D494" s="287" t="s">
        <v>468</v>
      </c>
      <c r="E494" s="418" t="s">
        <v>381</v>
      </c>
      <c r="F494" s="418">
        <f t="shared" si="14"/>
        <v>72</v>
      </c>
      <c r="G494" s="427" t="s">
        <v>1389</v>
      </c>
      <c r="H494" s="427" t="s">
        <v>4118</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3694</v>
      </c>
      <c r="W494" s="420" t="s">
        <v>3695</v>
      </c>
      <c r="X494" s="420" t="s">
        <v>4687</v>
      </c>
      <c r="Y494" s="420" t="s">
        <v>3696</v>
      </c>
      <c r="Z494" s="421" t="s">
        <v>5183</v>
      </c>
    </row>
    <row r="495" spans="2:26" ht="12.75" customHeight="1" x14ac:dyDescent="0.2">
      <c r="B495" s="266" t="str">
        <f t="shared" si="11"/>
        <v>Libre acceso72</v>
      </c>
      <c r="C495" s="422"/>
      <c r="D495" s="287" t="s">
        <v>5171</v>
      </c>
      <c r="E495" s="418" t="s">
        <v>381</v>
      </c>
      <c r="F495" s="418">
        <f t="shared" si="14"/>
        <v>72</v>
      </c>
      <c r="G495" s="427" t="s">
        <v>2121</v>
      </c>
      <c r="H495" s="427" t="s">
        <v>5172</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5173</v>
      </c>
      <c r="W495" s="420" t="s">
        <v>5174</v>
      </c>
      <c r="X495" s="420" t="s">
        <v>5175</v>
      </c>
      <c r="Y495" s="420" t="s">
        <v>5176</v>
      </c>
      <c r="Z495" s="421" t="s">
        <v>5177</v>
      </c>
    </row>
    <row r="496" spans="2:26" ht="12.75" customHeight="1" x14ac:dyDescent="0.2">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5186</v>
      </c>
      <c r="W496" s="420" t="s">
        <v>5187</v>
      </c>
      <c r="X496" s="420" t="s">
        <v>5188</v>
      </c>
      <c r="Y496" s="420" t="s">
        <v>2751</v>
      </c>
      <c r="Z496" s="421" t="s">
        <v>5189</v>
      </c>
    </row>
    <row r="497" spans="2:26" ht="12.75" customHeight="1" x14ac:dyDescent="0.2">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5190</v>
      </c>
      <c r="W497" s="420" t="s">
        <v>5191</v>
      </c>
      <c r="X497" s="420" t="s">
        <v>5192</v>
      </c>
      <c r="Y497" s="420" t="s">
        <v>5193</v>
      </c>
      <c r="Z497" s="421" t="s">
        <v>5194</v>
      </c>
    </row>
    <row r="498" spans="2:26" ht="12.75" customHeight="1" x14ac:dyDescent="0.2">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5195</v>
      </c>
      <c r="W498" s="420" t="s">
        <v>5196</v>
      </c>
      <c r="X498" s="420" t="s">
        <v>5197</v>
      </c>
      <c r="Y498" s="420" t="s">
        <v>5198</v>
      </c>
      <c r="Z498" s="421" t="s">
        <v>5199</v>
      </c>
    </row>
    <row r="499" spans="2:26" ht="12.75" customHeight="1" x14ac:dyDescent="0.2">
      <c r="B499" s="266" t="str">
        <f t="shared" si="11"/>
        <v>Libre acceso72</v>
      </c>
      <c r="C499" s="422"/>
      <c r="D499" s="287" t="s">
        <v>469</v>
      </c>
      <c r="E499" s="418" t="s">
        <v>381</v>
      </c>
      <c r="F499" s="418">
        <f t="shared" si="14"/>
        <v>72</v>
      </c>
      <c r="G499" s="427" t="s">
        <v>2121</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4735</v>
      </c>
      <c r="W499" s="420" t="s">
        <v>3883</v>
      </c>
      <c r="X499" s="420" t="s">
        <v>4736</v>
      </c>
      <c r="Y499" s="420" t="s">
        <v>4737</v>
      </c>
      <c r="Z499" s="421" t="s">
        <v>5200</v>
      </c>
    </row>
    <row r="500" spans="2:26" ht="12.75" customHeight="1" x14ac:dyDescent="0.2">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5201</v>
      </c>
      <c r="W500" s="420" t="s">
        <v>5202</v>
      </c>
      <c r="X500" s="420" t="s">
        <v>5203</v>
      </c>
      <c r="Y500" s="420" t="s">
        <v>5204</v>
      </c>
      <c r="Z500" s="421" t="s">
        <v>5205</v>
      </c>
    </row>
    <row r="501" spans="2:26" ht="12.75" customHeight="1" x14ac:dyDescent="0.2">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2:26" ht="12.75" customHeight="1" x14ac:dyDescent="0.2">
      <c r="B502" s="266" t="str">
        <f t="shared" si="11"/>
        <v>Libre acceso82</v>
      </c>
      <c r="C502" s="422"/>
      <c r="D502" s="287" t="s">
        <v>472</v>
      </c>
      <c r="E502" s="418" t="s">
        <v>381</v>
      </c>
      <c r="F502" s="418">
        <f>F489+10</f>
        <v>82</v>
      </c>
      <c r="G502" s="427" t="s">
        <v>2121</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4017</v>
      </c>
      <c r="W502" s="420" t="s">
        <v>5206</v>
      </c>
      <c r="X502" s="420" t="s">
        <v>5207</v>
      </c>
      <c r="Y502" s="420" t="s">
        <v>5208</v>
      </c>
      <c r="Z502" s="421" t="s">
        <v>5209</v>
      </c>
    </row>
    <row r="503" spans="2:26" ht="12.75" customHeight="1" x14ac:dyDescent="0.2">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5210</v>
      </c>
      <c r="W503" s="420" t="s">
        <v>5211</v>
      </c>
      <c r="X503" s="420" t="s">
        <v>5212</v>
      </c>
      <c r="Y503" s="420" t="s">
        <v>5213</v>
      </c>
      <c r="Z503" s="421" t="s">
        <v>5214</v>
      </c>
    </row>
    <row r="504" spans="2:26" ht="12.75" customHeight="1" x14ac:dyDescent="0.2">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3492</v>
      </c>
      <c r="W504" s="420" t="s">
        <v>3493</v>
      </c>
      <c r="X504" s="420" t="s">
        <v>3666</v>
      </c>
      <c r="Y504" s="420" t="s">
        <v>4410</v>
      </c>
      <c r="Z504" s="421" t="s">
        <v>5215</v>
      </c>
    </row>
    <row r="505" spans="2:26" ht="12.75" customHeight="1" x14ac:dyDescent="0.2">
      <c r="B505" s="266" t="str">
        <f t="shared" si="11"/>
        <v>Libre acceso82</v>
      </c>
      <c r="C505" s="422"/>
      <c r="D505" s="287" t="s">
        <v>474</v>
      </c>
      <c r="E505" s="418" t="s">
        <v>381</v>
      </c>
      <c r="F505" s="418">
        <f t="shared" si="15"/>
        <v>82</v>
      </c>
      <c r="G505" s="427" t="s">
        <v>2121</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4017</v>
      </c>
      <c r="W505" s="420" t="s">
        <v>5216</v>
      </c>
      <c r="X505" s="420" t="s">
        <v>5217</v>
      </c>
      <c r="Y505" s="420" t="s">
        <v>5218</v>
      </c>
      <c r="Z505" s="421" t="s">
        <v>7313</v>
      </c>
    </row>
    <row r="506" spans="2:26" ht="12.75" customHeight="1" x14ac:dyDescent="0.2">
      <c r="B506" s="266" t="str">
        <f t="shared" si="11"/>
        <v>Libre acceso82</v>
      </c>
      <c r="C506" s="422"/>
      <c r="D506" s="287" t="s">
        <v>475</v>
      </c>
      <c r="E506" s="418" t="s">
        <v>381</v>
      </c>
      <c r="F506" s="418">
        <f t="shared" si="15"/>
        <v>82</v>
      </c>
      <c r="G506" s="427" t="s">
        <v>2121</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3744</v>
      </c>
      <c r="W506" s="420" t="s">
        <v>3492</v>
      </c>
      <c r="X506" s="420" t="s">
        <v>3493</v>
      </c>
      <c r="Y506" s="420" t="s">
        <v>3666</v>
      </c>
      <c r="Z506" s="421" t="s">
        <v>5219</v>
      </c>
    </row>
    <row r="507" spans="2:26" ht="12.75" customHeight="1" x14ac:dyDescent="0.2">
      <c r="B507" s="266" t="str">
        <f t="shared" si="11"/>
        <v>Libre acceso82</v>
      </c>
      <c r="C507" s="422"/>
      <c r="D507" s="287" t="s">
        <v>476</v>
      </c>
      <c r="E507" s="418" t="s">
        <v>381</v>
      </c>
      <c r="F507" s="418">
        <f t="shared" si="15"/>
        <v>82</v>
      </c>
      <c r="G507" s="427" t="s">
        <v>2121</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5220</v>
      </c>
      <c r="W507" s="420" t="s">
        <v>5221</v>
      </c>
      <c r="X507" s="420" t="s">
        <v>5222</v>
      </c>
      <c r="Y507" s="420" t="s">
        <v>5223</v>
      </c>
      <c r="Z507" s="421" t="s">
        <v>5224</v>
      </c>
    </row>
    <row r="508" spans="2:26" ht="12.75" customHeight="1" x14ac:dyDescent="0.2">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3674</v>
      </c>
      <c r="V508" s="420" t="s">
        <v>5225</v>
      </c>
      <c r="W508" s="420" t="s">
        <v>5226</v>
      </c>
      <c r="X508" s="420" t="s">
        <v>5227</v>
      </c>
      <c r="Y508" s="420" t="s">
        <v>5228</v>
      </c>
      <c r="Z508" s="421" t="s">
        <v>5229</v>
      </c>
    </row>
    <row r="509" spans="2:26" ht="12.75" customHeight="1" x14ac:dyDescent="0.2">
      <c r="B509" s="266" t="str">
        <f t="shared" si="11"/>
        <v>Libre acceso82</v>
      </c>
      <c r="C509" s="422"/>
      <c r="D509" s="287" t="s">
        <v>478</v>
      </c>
      <c r="E509" s="418" t="s">
        <v>381</v>
      </c>
      <c r="F509" s="418">
        <f t="shared" si="15"/>
        <v>82</v>
      </c>
      <c r="G509" s="427" t="s">
        <v>2121</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4980</v>
      </c>
      <c r="W509" s="420" t="s">
        <v>5230</v>
      </c>
      <c r="X509" s="420" t="s">
        <v>5231</v>
      </c>
      <c r="Y509" s="420" t="s">
        <v>5232</v>
      </c>
      <c r="Z509" s="421" t="s">
        <v>5233</v>
      </c>
    </row>
    <row r="510" spans="2:26" ht="12.75" customHeight="1" x14ac:dyDescent="0.2">
      <c r="B510" s="266" t="str">
        <f t="shared" si="11"/>
        <v>Libre acceso82</v>
      </c>
      <c r="C510" s="422"/>
      <c r="D510" s="287" t="s">
        <v>479</v>
      </c>
      <c r="E510" s="418" t="s">
        <v>381</v>
      </c>
      <c r="F510" s="418">
        <f t="shared" si="15"/>
        <v>82</v>
      </c>
      <c r="G510" s="427" t="s">
        <v>2121</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5234</v>
      </c>
      <c r="W510" s="420" t="s">
        <v>5235</v>
      </c>
      <c r="X510" s="420" t="s">
        <v>5236</v>
      </c>
      <c r="Y510" s="420" t="s">
        <v>5237</v>
      </c>
      <c r="Z510" s="421" t="s">
        <v>5238</v>
      </c>
    </row>
    <row r="511" spans="2:26" ht="12.75" customHeight="1" x14ac:dyDescent="0.2">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3674</v>
      </c>
      <c r="V511" s="420" t="s">
        <v>5239</v>
      </c>
      <c r="W511" s="420" t="s">
        <v>5240</v>
      </c>
      <c r="X511" s="420" t="s">
        <v>5241</v>
      </c>
      <c r="Y511" s="420" t="s">
        <v>5242</v>
      </c>
      <c r="Z511" s="421" t="s">
        <v>5243</v>
      </c>
    </row>
    <row r="512" spans="2:26" ht="12.75" customHeight="1" x14ac:dyDescent="0.2">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3674</v>
      </c>
      <c r="V512" s="420" t="s">
        <v>5244</v>
      </c>
      <c r="W512" s="420" t="s">
        <v>5245</v>
      </c>
      <c r="X512" s="420" t="s">
        <v>5246</v>
      </c>
      <c r="Y512" s="420" t="s">
        <v>5247</v>
      </c>
      <c r="Z512" s="421" t="s">
        <v>5248</v>
      </c>
    </row>
    <row r="513" spans="2:26" ht="12.75" customHeight="1" x14ac:dyDescent="0.2">
      <c r="B513" s="266" t="str">
        <f t="shared" si="11"/>
        <v>Libre acceso82</v>
      </c>
      <c r="C513" s="422"/>
      <c r="D513" s="287" t="s">
        <v>481</v>
      </c>
      <c r="E513" s="418" t="s">
        <v>381</v>
      </c>
      <c r="F513" s="418">
        <f t="shared" si="15"/>
        <v>82</v>
      </c>
      <c r="G513" s="427" t="s">
        <v>2121</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5249</v>
      </c>
      <c r="W513" s="420" t="s">
        <v>5250</v>
      </c>
      <c r="X513" s="420" t="s">
        <v>5251</v>
      </c>
      <c r="Y513" s="420" t="s">
        <v>5252</v>
      </c>
      <c r="Z513" s="421" t="s">
        <v>5253</v>
      </c>
    </row>
    <row r="514" spans="2:26" ht="12.75" customHeight="1" x14ac:dyDescent="0.2">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2:26" ht="12.75" customHeight="1" x14ac:dyDescent="0.2">
      <c r="B515" s="266" t="str">
        <f t="shared" si="11"/>
        <v>Libre acceso92</v>
      </c>
      <c r="C515" s="422"/>
      <c r="D515" s="287" t="s">
        <v>483</v>
      </c>
      <c r="E515" s="418" t="s">
        <v>381</v>
      </c>
      <c r="F515" s="418">
        <f>F502+10</f>
        <v>92</v>
      </c>
      <c r="G515" s="427" t="s">
        <v>1389</v>
      </c>
      <c r="H515" s="427" t="s">
        <v>5254</v>
      </c>
      <c r="I515" s="428" t="s">
        <v>1312</v>
      </c>
      <c r="J515" s="418">
        <v>10</v>
      </c>
      <c r="K515" s="418">
        <v>12</v>
      </c>
      <c r="L515" s="418">
        <v>14</v>
      </c>
      <c r="M515" s="423">
        <v>16</v>
      </c>
      <c r="N515" s="418">
        <v>200</v>
      </c>
      <c r="O515" s="418">
        <v>300</v>
      </c>
      <c r="P515" s="418">
        <v>360</v>
      </c>
      <c r="Q515" s="423">
        <v>420</v>
      </c>
      <c r="R515" s="418"/>
      <c r="S515" s="418"/>
      <c r="T515" s="418"/>
      <c r="U515" s="423" t="s">
        <v>3674</v>
      </c>
      <c r="V515" s="420" t="s">
        <v>4980</v>
      </c>
      <c r="W515" s="420" t="s">
        <v>5255</v>
      </c>
      <c r="X515" s="420" t="s">
        <v>5256</v>
      </c>
      <c r="Y515" s="420" t="s">
        <v>5257</v>
      </c>
      <c r="Z515" s="421" t="s">
        <v>5258</v>
      </c>
    </row>
    <row r="516" spans="2:26" ht="12.75" customHeight="1" x14ac:dyDescent="0.2">
      <c r="B516" s="266" t="str">
        <f t="shared" si="11"/>
        <v>Libre acceso92</v>
      </c>
      <c r="C516" s="422"/>
      <c r="D516" s="287" t="s">
        <v>484</v>
      </c>
      <c r="E516" s="418" t="s">
        <v>381</v>
      </c>
      <c r="F516" s="418">
        <f t="shared" ref="F516:F526" si="16">F503+10</f>
        <v>92</v>
      </c>
      <c r="G516" s="427" t="s">
        <v>2121</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5259</v>
      </c>
      <c r="W516" s="420" t="s">
        <v>5260</v>
      </c>
      <c r="X516" s="420" t="s">
        <v>5261</v>
      </c>
      <c r="Y516" s="420" t="s">
        <v>5262</v>
      </c>
      <c r="Z516" s="421" t="s">
        <v>5263</v>
      </c>
    </row>
    <row r="517" spans="2:26" ht="12.75" customHeight="1" x14ac:dyDescent="0.2">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5264</v>
      </c>
      <c r="W517" s="420" t="s">
        <v>5265</v>
      </c>
      <c r="X517" s="420" t="s">
        <v>5266</v>
      </c>
      <c r="Y517" s="420" t="s">
        <v>5267</v>
      </c>
      <c r="Z517" s="421" t="s">
        <v>5268</v>
      </c>
    </row>
    <row r="518" spans="2:26" ht="12.75" customHeight="1" x14ac:dyDescent="0.2">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3674</v>
      </c>
      <c r="V518" s="420" t="s">
        <v>5269</v>
      </c>
      <c r="W518" s="420" t="s">
        <v>5270</v>
      </c>
      <c r="X518" s="420" t="s">
        <v>5271</v>
      </c>
      <c r="Y518" s="420" t="s">
        <v>5272</v>
      </c>
      <c r="Z518" s="421" t="s">
        <v>5273</v>
      </c>
    </row>
    <row r="519" spans="2:26" ht="12.75" customHeight="1" x14ac:dyDescent="0.2">
      <c r="B519" s="266" t="str">
        <f t="shared" si="11"/>
        <v>Libre acceso92</v>
      </c>
      <c r="C519" s="422"/>
      <c r="D519" s="287" t="s">
        <v>487</v>
      </c>
      <c r="E519" s="418" t="s">
        <v>381</v>
      </c>
      <c r="F519" s="418">
        <f t="shared" si="16"/>
        <v>92</v>
      </c>
      <c r="G519" s="427" t="s">
        <v>1389</v>
      </c>
      <c r="H519" s="427" t="s">
        <v>4118</v>
      </c>
      <c r="I519" s="428" t="s">
        <v>1312</v>
      </c>
      <c r="J519" s="418">
        <v>10</v>
      </c>
      <c r="K519" s="418">
        <v>12</v>
      </c>
      <c r="L519" s="418">
        <v>14</v>
      </c>
      <c r="M519" s="423">
        <v>16</v>
      </c>
      <c r="N519" s="418">
        <v>100</v>
      </c>
      <c r="O519" s="418">
        <v>150</v>
      </c>
      <c r="P519" s="418">
        <v>200</v>
      </c>
      <c r="Q519" s="423">
        <v>250</v>
      </c>
      <c r="R519" s="418"/>
      <c r="S519" s="418"/>
      <c r="T519" s="418"/>
      <c r="U519" s="423"/>
      <c r="V519" s="420" t="s">
        <v>3681</v>
      </c>
      <c r="W519" s="420" t="s">
        <v>3682</v>
      </c>
      <c r="X519" s="420" t="s">
        <v>3577</v>
      </c>
      <c r="Y519" s="420" t="s">
        <v>3410</v>
      </c>
      <c r="Z519" s="421" t="s">
        <v>5274</v>
      </c>
    </row>
    <row r="520" spans="2:26" ht="12.75" customHeight="1" x14ac:dyDescent="0.2">
      <c r="B520" s="266" t="str">
        <f t="shared" ref="B520:B583" si="17">E520&amp;F520</f>
        <v>Libre acceso92</v>
      </c>
      <c r="C520" s="422"/>
      <c r="D520" s="287" t="s">
        <v>488</v>
      </c>
      <c r="E520" s="418" t="s">
        <v>381</v>
      </c>
      <c r="F520" s="418">
        <f t="shared" si="16"/>
        <v>92</v>
      </c>
      <c r="G520" s="427" t="s">
        <v>2121</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5275</v>
      </c>
      <c r="W520" s="420" t="s">
        <v>5276</v>
      </c>
      <c r="X520" s="420" t="s">
        <v>5277</v>
      </c>
      <c r="Y520" s="420" t="s">
        <v>5278</v>
      </c>
      <c r="Z520" s="421" t="s">
        <v>5279</v>
      </c>
    </row>
    <row r="521" spans="2:26" ht="12.75" customHeight="1" x14ac:dyDescent="0.2">
      <c r="B521" s="266" t="str">
        <f t="shared" si="17"/>
        <v>Libre acceso92</v>
      </c>
      <c r="C521" s="422"/>
      <c r="D521" s="287" t="s">
        <v>489</v>
      </c>
      <c r="E521" s="418" t="s">
        <v>381</v>
      </c>
      <c r="F521" s="418">
        <f t="shared" si="16"/>
        <v>92</v>
      </c>
      <c r="G521" s="427" t="s">
        <v>2121</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5280</v>
      </c>
      <c r="W521" s="420" t="s">
        <v>5281</v>
      </c>
      <c r="X521" s="420" t="s">
        <v>5282</v>
      </c>
      <c r="Y521" s="420" t="s">
        <v>5283</v>
      </c>
      <c r="Z521" s="421" t="s">
        <v>5284</v>
      </c>
    </row>
    <row r="522" spans="2:26" ht="12.75" customHeight="1" x14ac:dyDescent="0.2">
      <c r="B522" s="266" t="str">
        <f t="shared" si="17"/>
        <v>Libre acceso92</v>
      </c>
      <c r="C522" s="422"/>
      <c r="D522" s="287" t="s">
        <v>490</v>
      </c>
      <c r="E522" s="418" t="s">
        <v>381</v>
      </c>
      <c r="F522" s="418">
        <f t="shared" si="16"/>
        <v>92</v>
      </c>
      <c r="G522" s="427" t="s">
        <v>2121</v>
      </c>
      <c r="H522" s="427" t="s">
        <v>4118</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3681</v>
      </c>
      <c r="W522" s="420" t="s">
        <v>3682</v>
      </c>
      <c r="X522" s="420" t="s">
        <v>3410</v>
      </c>
      <c r="Y522" s="420" t="s">
        <v>3872</v>
      </c>
      <c r="Z522" s="421" t="s">
        <v>5285</v>
      </c>
    </row>
    <row r="523" spans="2:26" ht="12.75" customHeight="1" x14ac:dyDescent="0.2">
      <c r="B523" s="266" t="str">
        <f t="shared" si="17"/>
        <v>Libre acceso92</v>
      </c>
      <c r="C523" s="422"/>
      <c r="D523" s="287" t="s">
        <v>491</v>
      </c>
      <c r="E523" s="418" t="s">
        <v>381</v>
      </c>
      <c r="F523" s="418">
        <f t="shared" si="16"/>
        <v>92</v>
      </c>
      <c r="G523" s="427" t="s">
        <v>2121</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5286</v>
      </c>
      <c r="W523" s="420" t="s">
        <v>5287</v>
      </c>
      <c r="X523" s="420" t="s">
        <v>5288</v>
      </c>
      <c r="Y523" s="420" t="s">
        <v>5289</v>
      </c>
      <c r="Z523" s="421" t="s">
        <v>5290</v>
      </c>
    </row>
    <row r="524" spans="2:26" ht="12.75" customHeight="1" x14ac:dyDescent="0.2">
      <c r="B524" s="266" t="str">
        <f t="shared" si="17"/>
        <v>Libre acceso92</v>
      </c>
      <c r="C524" s="422"/>
      <c r="D524" s="287" t="s">
        <v>492</v>
      </c>
      <c r="E524" s="418" t="s">
        <v>381</v>
      </c>
      <c r="F524" s="418">
        <f t="shared" si="16"/>
        <v>92</v>
      </c>
      <c r="G524" s="427" t="s">
        <v>2121</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4763</v>
      </c>
      <c r="W524" s="420" t="s">
        <v>4737</v>
      </c>
      <c r="X524" s="420" t="s">
        <v>5291</v>
      </c>
      <c r="Y524" s="420" t="s">
        <v>5292</v>
      </c>
      <c r="Z524" s="421" t="s">
        <v>5293</v>
      </c>
    </row>
    <row r="525" spans="2:26" ht="12.75" customHeight="1" x14ac:dyDescent="0.2">
      <c r="B525" s="266" t="str">
        <f t="shared" si="17"/>
        <v>Libre acceso92</v>
      </c>
      <c r="C525" s="422"/>
      <c r="D525" s="287" t="s">
        <v>493</v>
      </c>
      <c r="E525" s="418" t="s">
        <v>381</v>
      </c>
      <c r="F525" s="418">
        <f t="shared" si="16"/>
        <v>92</v>
      </c>
      <c r="G525" s="427" t="s">
        <v>2121</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5294</v>
      </c>
      <c r="W525" s="420" t="s">
        <v>5295</v>
      </c>
      <c r="X525" s="420" t="s">
        <v>5296</v>
      </c>
      <c r="Y525" s="420" t="s">
        <v>5297</v>
      </c>
      <c r="Z525" s="421" t="s">
        <v>5298</v>
      </c>
    </row>
    <row r="526" spans="2:26" ht="12.75" customHeight="1" x14ac:dyDescent="0.2">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3682</v>
      </c>
      <c r="W526" s="420" t="s">
        <v>5299</v>
      </c>
      <c r="X526" s="420" t="s">
        <v>3578</v>
      </c>
      <c r="Y526" s="420" t="s">
        <v>3579</v>
      </c>
      <c r="Z526" s="421" t="s">
        <v>5300</v>
      </c>
    </row>
    <row r="527" spans="2:26" ht="12.75" customHeight="1" x14ac:dyDescent="0.2">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2:26" ht="12.75" customHeight="1" x14ac:dyDescent="0.2">
      <c r="B528" s="266" t="str">
        <f t="shared" si="17"/>
        <v>Caos4</v>
      </c>
      <c r="C528" s="422"/>
      <c r="D528" s="287" t="s">
        <v>496</v>
      </c>
      <c r="E528" s="418" t="s">
        <v>81</v>
      </c>
      <c r="F528" s="418">
        <v>4</v>
      </c>
      <c r="G528" s="427" t="s">
        <v>2656</v>
      </c>
      <c r="H528" s="427" t="s">
        <v>5301</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3597</v>
      </c>
      <c r="W528" s="420" t="s">
        <v>3484</v>
      </c>
      <c r="X528" s="420" t="s">
        <v>3566</v>
      </c>
      <c r="Y528" s="420" t="s">
        <v>5302</v>
      </c>
      <c r="Z528" s="421" t="s">
        <v>5303</v>
      </c>
    </row>
    <row r="529" spans="2:26" ht="12.75" customHeight="1" x14ac:dyDescent="0.2">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5304</v>
      </c>
      <c r="W529" s="420" t="s">
        <v>5305</v>
      </c>
      <c r="X529" s="420" t="s">
        <v>5306</v>
      </c>
      <c r="Y529" s="420" t="s">
        <v>5307</v>
      </c>
      <c r="Z529" s="421" t="s">
        <v>5308</v>
      </c>
    </row>
    <row r="530" spans="2:26" ht="12.75" customHeight="1" x14ac:dyDescent="0.2">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5309</v>
      </c>
      <c r="W530" s="420" t="s">
        <v>5310</v>
      </c>
      <c r="X530" s="420" t="s">
        <v>5311</v>
      </c>
      <c r="Y530" s="420" t="s">
        <v>5312</v>
      </c>
      <c r="Z530" s="421" t="s">
        <v>5313</v>
      </c>
    </row>
    <row r="531" spans="2:26" ht="12.75" customHeight="1" x14ac:dyDescent="0.2">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3681</v>
      </c>
      <c r="W531" s="420" t="s">
        <v>5314</v>
      </c>
      <c r="X531" s="420" t="s">
        <v>5315</v>
      </c>
      <c r="Y531" s="420" t="s">
        <v>3410</v>
      </c>
      <c r="Z531" s="421" t="s">
        <v>5316</v>
      </c>
    </row>
    <row r="532" spans="2:26" ht="12.75" customHeight="1" x14ac:dyDescent="0.2">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5317</v>
      </c>
      <c r="W532" s="420" t="s">
        <v>5318</v>
      </c>
      <c r="X532" s="420" t="s">
        <v>5319</v>
      </c>
      <c r="Y532" s="420" t="s">
        <v>5320</v>
      </c>
      <c r="Z532" s="421" t="s">
        <v>5321</v>
      </c>
    </row>
    <row r="533" spans="2:26" ht="12.75" customHeight="1" x14ac:dyDescent="0.2">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3709</v>
      </c>
      <c r="W533" s="420" t="s">
        <v>3710</v>
      </c>
      <c r="X533" s="420" t="s">
        <v>3711</v>
      </c>
      <c r="Y533" s="420" t="s">
        <v>3712</v>
      </c>
      <c r="Z533" s="421" t="s">
        <v>5322</v>
      </c>
    </row>
    <row r="534" spans="2:26" ht="12.75" customHeight="1" x14ac:dyDescent="0.2">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3682</v>
      </c>
      <c r="W534" s="420" t="s">
        <v>5323</v>
      </c>
      <c r="X534" s="420" t="s">
        <v>5324</v>
      </c>
      <c r="Y534" s="420" t="s">
        <v>5325</v>
      </c>
      <c r="Z534" s="421" t="s">
        <v>5326</v>
      </c>
    </row>
    <row r="535" spans="2:26" ht="12.75" customHeight="1" x14ac:dyDescent="0.2">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5327</v>
      </c>
      <c r="W535" s="420" t="s">
        <v>5328</v>
      </c>
      <c r="X535" s="420" t="s">
        <v>5329</v>
      </c>
      <c r="Y535" s="420" t="s">
        <v>5330</v>
      </c>
      <c r="Z535" s="421" t="s">
        <v>5331</v>
      </c>
    </row>
    <row r="536" spans="2:26" ht="12.75" customHeight="1" x14ac:dyDescent="0.2">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5332</v>
      </c>
      <c r="W536" s="420" t="s">
        <v>5333</v>
      </c>
      <c r="X536" s="420" t="s">
        <v>5334</v>
      </c>
      <c r="Y536" s="420" t="s">
        <v>5335</v>
      </c>
      <c r="Z536" s="421" t="s">
        <v>5336</v>
      </c>
    </row>
    <row r="537" spans="2:26" ht="12.75" customHeight="1" x14ac:dyDescent="0.2">
      <c r="B537" s="266" t="str">
        <f t="shared" si="17"/>
        <v>Caos94</v>
      </c>
      <c r="C537" s="422"/>
      <c r="D537" s="287" t="s">
        <v>505</v>
      </c>
      <c r="E537" s="418" t="s">
        <v>81</v>
      </c>
      <c r="F537" s="418">
        <v>94</v>
      </c>
      <c r="G537" s="427" t="s">
        <v>2656</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5337</v>
      </c>
      <c r="W537" s="420" t="s">
        <v>5338</v>
      </c>
      <c r="X537" s="420" t="s">
        <v>5339</v>
      </c>
      <c r="Y537" s="420" t="s">
        <v>5340</v>
      </c>
      <c r="Z537" s="421" t="s">
        <v>5341</v>
      </c>
    </row>
    <row r="538" spans="2:26" ht="12.75" customHeight="1" x14ac:dyDescent="0.2">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2:26" ht="12.75" customHeight="1" x14ac:dyDescent="0.2">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5342</v>
      </c>
      <c r="W539" s="420" t="s">
        <v>5343</v>
      </c>
      <c r="X539" s="420" t="s">
        <v>5344</v>
      </c>
      <c r="Y539" s="420" t="s">
        <v>5345</v>
      </c>
      <c r="Z539" s="421" t="s">
        <v>5346</v>
      </c>
    </row>
    <row r="540" spans="2:26" ht="12.75" customHeight="1" x14ac:dyDescent="0.2">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5347</v>
      </c>
      <c r="W540" s="420" t="s">
        <v>5348</v>
      </c>
      <c r="X540" s="420" t="s">
        <v>5349</v>
      </c>
      <c r="Y540" s="420" t="s">
        <v>5350</v>
      </c>
      <c r="Z540" s="421" t="s">
        <v>5351</v>
      </c>
    </row>
    <row r="541" spans="2:26" ht="12.75" customHeight="1" x14ac:dyDescent="0.2">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5352</v>
      </c>
      <c r="W541" s="420" t="s">
        <v>5353</v>
      </c>
      <c r="X541" s="420" t="s">
        <v>5354</v>
      </c>
      <c r="Y541" s="420" t="s">
        <v>5355</v>
      </c>
      <c r="Z541" s="421" t="s">
        <v>5356</v>
      </c>
    </row>
    <row r="542" spans="2:26" ht="12.75" customHeight="1" x14ac:dyDescent="0.2">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5357</v>
      </c>
      <c r="W542" s="420" t="s">
        <v>5358</v>
      </c>
      <c r="X542" s="420" t="s">
        <v>5359</v>
      </c>
      <c r="Y542" s="420" t="s">
        <v>5360</v>
      </c>
      <c r="Z542" s="421" t="s">
        <v>5361</v>
      </c>
    </row>
    <row r="543" spans="2:26" ht="12.75" customHeight="1" x14ac:dyDescent="0.2">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5362</v>
      </c>
      <c r="W543" s="420" t="s">
        <v>5363</v>
      </c>
      <c r="X543" s="420" t="s">
        <v>5364</v>
      </c>
      <c r="Y543" s="420" t="s">
        <v>5365</v>
      </c>
      <c r="Z543" s="421" t="s">
        <v>5366</v>
      </c>
    </row>
    <row r="544" spans="2:26" ht="12.75" customHeight="1" x14ac:dyDescent="0.2">
      <c r="B544" s="266" t="str">
        <f t="shared" si="17"/>
        <v>Guerra54</v>
      </c>
      <c r="C544" s="422"/>
      <c r="D544" s="287" t="s">
        <v>512</v>
      </c>
      <c r="E544" s="418" t="s">
        <v>82</v>
      </c>
      <c r="F544" s="418">
        <v>54</v>
      </c>
      <c r="G544" s="427" t="s">
        <v>2121</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5347</v>
      </c>
      <c r="W544" s="420" t="s">
        <v>5348</v>
      </c>
      <c r="X544" s="420" t="s">
        <v>5367</v>
      </c>
      <c r="Y544" s="420" t="s">
        <v>5350</v>
      </c>
      <c r="Z544" s="421" t="s">
        <v>5368</v>
      </c>
    </row>
    <row r="545" spans="2:26" ht="12.75" customHeight="1" x14ac:dyDescent="0.2">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5369</v>
      </c>
      <c r="W545" s="420" t="s">
        <v>5370</v>
      </c>
      <c r="X545" s="420" t="s">
        <v>5371</v>
      </c>
      <c r="Y545" s="420" t="s">
        <v>5372</v>
      </c>
      <c r="Z545" s="421" t="s">
        <v>5373</v>
      </c>
    </row>
    <row r="546" spans="2:26" ht="12.75" customHeight="1" x14ac:dyDescent="0.2">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5374</v>
      </c>
      <c r="W546" s="420" t="s">
        <v>5367</v>
      </c>
      <c r="X546" s="420" t="s">
        <v>5349</v>
      </c>
      <c r="Y546" s="420" t="s">
        <v>5350</v>
      </c>
      <c r="Z546" s="421" t="s">
        <v>5375</v>
      </c>
    </row>
    <row r="547" spans="2:26" ht="12.75" customHeight="1" x14ac:dyDescent="0.2">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5376</v>
      </c>
      <c r="W547" s="420" t="s">
        <v>5377</v>
      </c>
      <c r="X547" s="420" t="s">
        <v>5378</v>
      </c>
      <c r="Y547" s="420" t="s">
        <v>5379</v>
      </c>
      <c r="Z547" s="421" t="s">
        <v>5380</v>
      </c>
    </row>
    <row r="548" spans="2:26" ht="12.75" customHeight="1" x14ac:dyDescent="0.2">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5374</v>
      </c>
      <c r="W548" s="420" t="s">
        <v>5348</v>
      </c>
      <c r="X548" s="420" t="s">
        <v>5349</v>
      </c>
      <c r="Y548" s="420" t="s">
        <v>5381</v>
      </c>
      <c r="Z548" s="421" t="s">
        <v>5382</v>
      </c>
    </row>
    <row r="549" spans="2:26" ht="12.75" customHeight="1" x14ac:dyDescent="0.2">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2:26" ht="12.75" customHeight="1" x14ac:dyDescent="0.2">
      <c r="B550" s="266" t="str">
        <f t="shared" si="17"/>
        <v>Literae4</v>
      </c>
      <c r="C550" s="422"/>
      <c r="D550" s="287" t="s">
        <v>518</v>
      </c>
      <c r="E550" s="418" t="s">
        <v>83</v>
      </c>
      <c r="F550" s="418">
        <v>4</v>
      </c>
      <c r="G550" s="427" t="s">
        <v>2121</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5383</v>
      </c>
      <c r="W550" s="420" t="s">
        <v>5384</v>
      </c>
      <c r="X550" s="420" t="s">
        <v>5385</v>
      </c>
      <c r="Y550" s="420" t="s">
        <v>5386</v>
      </c>
      <c r="Z550" s="421" t="s">
        <v>5387</v>
      </c>
    </row>
    <row r="551" spans="2:26" ht="12.75" customHeight="1" x14ac:dyDescent="0.2">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5388</v>
      </c>
      <c r="W551" s="420" t="s">
        <v>5389</v>
      </c>
      <c r="X551" s="420" t="s">
        <v>5390</v>
      </c>
      <c r="Y551" s="420" t="s">
        <v>5391</v>
      </c>
      <c r="Z551" s="421" t="s">
        <v>5392</v>
      </c>
    </row>
    <row r="552" spans="2:26" ht="12.75" customHeight="1" x14ac:dyDescent="0.2">
      <c r="B552" s="266" t="str">
        <f t="shared" si="17"/>
        <v>Literae24</v>
      </c>
      <c r="C552" s="422"/>
      <c r="D552" s="287" t="s">
        <v>520</v>
      </c>
      <c r="E552" s="418" t="s">
        <v>83</v>
      </c>
      <c r="F552" s="418">
        <v>24</v>
      </c>
      <c r="G552" s="427" t="s">
        <v>2121</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5393</v>
      </c>
      <c r="Z552" s="421" t="s">
        <v>5394</v>
      </c>
    </row>
    <row r="553" spans="2:26" ht="12.75" customHeight="1" x14ac:dyDescent="0.2">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3695</v>
      </c>
      <c r="W553" s="420" t="s">
        <v>4687</v>
      </c>
      <c r="X553" s="420" t="s">
        <v>3696</v>
      </c>
      <c r="Y553" s="420" t="s">
        <v>4688</v>
      </c>
      <c r="Z553" s="421" t="s">
        <v>5395</v>
      </c>
    </row>
    <row r="554" spans="2:26" ht="12.75" customHeight="1" x14ac:dyDescent="0.2">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5396</v>
      </c>
      <c r="W554" s="420" t="s">
        <v>5397</v>
      </c>
      <c r="X554" s="420" t="s">
        <v>5398</v>
      </c>
      <c r="Y554" s="420" t="s">
        <v>4408</v>
      </c>
      <c r="Z554" s="421" t="s">
        <v>5399</v>
      </c>
    </row>
    <row r="555" spans="2:26" ht="12.75" customHeight="1" x14ac:dyDescent="0.2">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5400</v>
      </c>
      <c r="W555" s="420" t="s">
        <v>5401</v>
      </c>
      <c r="X555" s="420" t="s">
        <v>5402</v>
      </c>
      <c r="Y555" s="420" t="s">
        <v>5403</v>
      </c>
      <c r="Z555" s="421" t="s">
        <v>5404</v>
      </c>
    </row>
    <row r="556" spans="2:26" ht="12.75" customHeight="1" x14ac:dyDescent="0.2">
      <c r="B556" s="266" t="str">
        <f t="shared" si="17"/>
        <v>Literae64</v>
      </c>
      <c r="C556" s="422"/>
      <c r="D556" s="287" t="s">
        <v>524</v>
      </c>
      <c r="E556" s="418" t="s">
        <v>83</v>
      </c>
      <c r="F556" s="418">
        <v>64</v>
      </c>
      <c r="G556" s="427" t="s">
        <v>2121</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5405</v>
      </c>
      <c r="W556" s="420" t="s">
        <v>5406</v>
      </c>
      <c r="X556" s="420" t="s">
        <v>5407</v>
      </c>
      <c r="Y556" s="420" t="s">
        <v>5408</v>
      </c>
      <c r="Z556" s="421" t="s">
        <v>5409</v>
      </c>
    </row>
    <row r="557" spans="2:26" ht="12.75" customHeight="1" x14ac:dyDescent="0.2">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3633</v>
      </c>
      <c r="W557" s="420" t="s">
        <v>3492</v>
      </c>
      <c r="X557" s="420" t="s">
        <v>3666</v>
      </c>
      <c r="Y557" s="420" t="s">
        <v>3667</v>
      </c>
      <c r="Z557" s="421" t="s">
        <v>5410</v>
      </c>
    </row>
    <row r="558" spans="2:26" ht="12.75" customHeight="1" x14ac:dyDescent="0.2">
      <c r="B558" s="266" t="str">
        <f t="shared" si="17"/>
        <v>Literae84</v>
      </c>
      <c r="C558" s="422"/>
      <c r="D558" s="287" t="s">
        <v>526</v>
      </c>
      <c r="E558" s="418" t="s">
        <v>83</v>
      </c>
      <c r="F558" s="418">
        <v>84</v>
      </c>
      <c r="G558" s="427" t="s">
        <v>2121</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3709</v>
      </c>
      <c r="W558" s="420" t="s">
        <v>3749</v>
      </c>
      <c r="X558" s="420" t="s">
        <v>5411</v>
      </c>
      <c r="Y558" s="420" t="s">
        <v>4473</v>
      </c>
      <c r="Z558" s="421" t="s">
        <v>5412</v>
      </c>
    </row>
    <row r="559" spans="2:26" ht="12.75" customHeight="1" x14ac:dyDescent="0.2">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3681</v>
      </c>
      <c r="W559" s="420" t="s">
        <v>3682</v>
      </c>
      <c r="X559" s="420" t="s">
        <v>3577</v>
      </c>
      <c r="Y559" s="420" t="s">
        <v>3410</v>
      </c>
      <c r="Z559" s="421" t="s">
        <v>5413</v>
      </c>
    </row>
    <row r="560" spans="2:26" ht="12.75" customHeight="1" x14ac:dyDescent="0.2">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2:26" ht="12.75" customHeight="1" x14ac:dyDescent="0.2">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5414</v>
      </c>
    </row>
    <row r="562" spans="2:26" ht="12.75" customHeight="1" x14ac:dyDescent="0.2">
      <c r="B562" s="266" t="str">
        <f t="shared" si="17"/>
        <v>Muerte14</v>
      </c>
      <c r="C562" s="422"/>
      <c r="D562" s="287" t="s">
        <v>530</v>
      </c>
      <c r="E562" s="418" t="s">
        <v>84</v>
      </c>
      <c r="F562" s="418">
        <v>14</v>
      </c>
      <c r="G562" s="427" t="s">
        <v>2656</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5415</v>
      </c>
      <c r="W562" s="420" t="s">
        <v>5416</v>
      </c>
      <c r="X562" s="420" t="s">
        <v>5417</v>
      </c>
      <c r="Y562" s="420" t="s">
        <v>5418</v>
      </c>
      <c r="Z562" s="421" t="s">
        <v>5419</v>
      </c>
    </row>
    <row r="563" spans="2:26" ht="12.75" customHeight="1" x14ac:dyDescent="0.2">
      <c r="B563" s="266" t="str">
        <f t="shared" si="17"/>
        <v>Muerte24</v>
      </c>
      <c r="C563" s="422"/>
      <c r="D563" s="287" t="s">
        <v>531</v>
      </c>
      <c r="E563" s="418" t="s">
        <v>84</v>
      </c>
      <c r="F563" s="418">
        <v>24</v>
      </c>
      <c r="G563" s="427" t="s">
        <v>1389</v>
      </c>
      <c r="H563" s="427" t="s">
        <v>4022</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9996</v>
      </c>
      <c r="W563" s="420" t="s">
        <v>5160</v>
      </c>
      <c r="X563" s="420" t="s">
        <v>9997</v>
      </c>
      <c r="Y563" s="420" t="s">
        <v>5420</v>
      </c>
      <c r="Z563" s="421" t="s">
        <v>5421</v>
      </c>
    </row>
    <row r="564" spans="2:26" ht="12.75" customHeight="1" x14ac:dyDescent="0.2">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3682</v>
      </c>
      <c r="W564" s="420" t="s">
        <v>3577</v>
      </c>
      <c r="X564" s="420" t="s">
        <v>3410</v>
      </c>
      <c r="Y564" s="420" t="s">
        <v>3578</v>
      </c>
      <c r="Z564" s="421" t="s">
        <v>5422</v>
      </c>
    </row>
    <row r="565" spans="2:26" ht="12.75" customHeight="1" x14ac:dyDescent="0.2">
      <c r="B565" s="266" t="str">
        <f t="shared" si="17"/>
        <v>Muerte44</v>
      </c>
      <c r="C565" s="422"/>
      <c r="D565" s="287" t="s">
        <v>533</v>
      </c>
      <c r="E565" s="418" t="s">
        <v>84</v>
      </c>
      <c r="F565" s="418">
        <v>44</v>
      </c>
      <c r="G565" s="427" t="s">
        <v>1389</v>
      </c>
      <c r="H565" s="427" t="s">
        <v>4118</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5423</v>
      </c>
      <c r="W565" s="420" t="s">
        <v>5424</v>
      </c>
      <c r="X565" s="420" t="s">
        <v>5425</v>
      </c>
      <c r="Y565" s="420" t="s">
        <v>5426</v>
      </c>
      <c r="Z565" s="421" t="s">
        <v>5427</v>
      </c>
    </row>
    <row r="566" spans="2:26" ht="12.75" customHeight="1" x14ac:dyDescent="0.2">
      <c r="B566" s="266" t="str">
        <f t="shared" si="17"/>
        <v>Muerte54</v>
      </c>
      <c r="C566" s="422"/>
      <c r="D566" s="287" t="s">
        <v>10251</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10250</v>
      </c>
      <c r="W566" s="420" t="s">
        <v>5428</v>
      </c>
      <c r="X566" s="420" t="s">
        <v>5429</v>
      </c>
      <c r="Y566" s="420" t="s">
        <v>5430</v>
      </c>
      <c r="Z566" s="421" t="s">
        <v>5431</v>
      </c>
    </row>
    <row r="567" spans="2:26" ht="12.75" customHeight="1" x14ac:dyDescent="0.2">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5432</v>
      </c>
      <c r="W567" s="420" t="s">
        <v>5433</v>
      </c>
      <c r="X567" s="420" t="s">
        <v>5434</v>
      </c>
      <c r="Y567" s="420" t="s">
        <v>5435</v>
      </c>
      <c r="Z567" s="421" t="s">
        <v>5436</v>
      </c>
    </row>
    <row r="568" spans="2:26" ht="12.75" customHeight="1" x14ac:dyDescent="0.2">
      <c r="B568" s="266" t="str">
        <f t="shared" si="17"/>
        <v>Muerte74</v>
      </c>
      <c r="C568" s="422"/>
      <c r="D568" s="287" t="s">
        <v>535</v>
      </c>
      <c r="E568" s="418" t="s">
        <v>84</v>
      </c>
      <c r="F568" s="418">
        <v>74</v>
      </c>
      <c r="G568" s="427" t="s">
        <v>2656</v>
      </c>
      <c r="H568" s="427" t="s">
        <v>5437</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3681</v>
      </c>
      <c r="W568" s="420" t="s">
        <v>3577</v>
      </c>
      <c r="X568" s="420" t="s">
        <v>3578</v>
      </c>
      <c r="Y568" s="420" t="s">
        <v>3579</v>
      </c>
      <c r="Z568" s="421" t="s">
        <v>9998</v>
      </c>
    </row>
    <row r="569" spans="2:26" ht="12.75" customHeight="1" x14ac:dyDescent="0.2">
      <c r="B569" s="266" t="str">
        <f t="shared" si="17"/>
        <v>Muerte84</v>
      </c>
      <c r="C569" s="422"/>
      <c r="D569" s="287" t="s">
        <v>536</v>
      </c>
      <c r="E569" s="418" t="s">
        <v>84</v>
      </c>
      <c r="F569" s="418">
        <v>84</v>
      </c>
      <c r="G569" s="427" t="s">
        <v>1389</v>
      </c>
      <c r="H569" s="427" t="s">
        <v>4022</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5438</v>
      </c>
      <c r="W569" s="420" t="s">
        <v>5439</v>
      </c>
      <c r="X569" s="420" t="s">
        <v>5440</v>
      </c>
      <c r="Y569" s="420" t="s">
        <v>5441</v>
      </c>
      <c r="Z569" s="421" t="s">
        <v>5442</v>
      </c>
    </row>
    <row r="570" spans="2:26" ht="12.75" customHeight="1" x14ac:dyDescent="0.2">
      <c r="B570" s="266" t="str">
        <f t="shared" si="17"/>
        <v>Muerte94</v>
      </c>
      <c r="C570" s="422"/>
      <c r="D570" s="287" t="s">
        <v>537</v>
      </c>
      <c r="E570" s="418" t="s">
        <v>84</v>
      </c>
      <c r="F570" s="418">
        <v>94</v>
      </c>
      <c r="G570" s="427" t="s">
        <v>2656</v>
      </c>
      <c r="H570" s="427" t="s">
        <v>4048</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5443</v>
      </c>
      <c r="W570" s="420" t="s">
        <v>5444</v>
      </c>
      <c r="X570" s="420" t="s">
        <v>5445</v>
      </c>
      <c r="Y570" s="420" t="s">
        <v>5446</v>
      </c>
      <c r="Z570" s="421" t="s">
        <v>5447</v>
      </c>
    </row>
    <row r="571" spans="2:26" ht="12.75" customHeight="1" x14ac:dyDescent="0.2">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2:26" ht="12.75" customHeight="1" x14ac:dyDescent="0.2">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5448</v>
      </c>
      <c r="W572" s="420" t="s">
        <v>5449</v>
      </c>
      <c r="X572" s="420" t="s">
        <v>5450</v>
      </c>
      <c r="Y572" s="420" t="s">
        <v>5451</v>
      </c>
      <c r="Z572" s="421" t="s">
        <v>5452</v>
      </c>
    </row>
    <row r="573" spans="2:26" ht="12.75" customHeight="1" x14ac:dyDescent="0.2">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5021</v>
      </c>
      <c r="W573" s="420" t="s">
        <v>5453</v>
      </c>
      <c r="X573" s="420" t="s">
        <v>5337</v>
      </c>
      <c r="Y573" s="420" t="s">
        <v>5454</v>
      </c>
      <c r="Z573" s="421" t="s">
        <v>5455</v>
      </c>
    </row>
    <row r="574" spans="2:26" ht="12.75" customHeight="1" x14ac:dyDescent="0.2">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5456</v>
      </c>
      <c r="W574" s="420" t="s">
        <v>5457</v>
      </c>
      <c r="X574" s="420" t="s">
        <v>5458</v>
      </c>
      <c r="Y574" s="420" t="s">
        <v>5459</v>
      </c>
      <c r="Z574" s="421" t="s">
        <v>5460</v>
      </c>
    </row>
    <row r="575" spans="2:26" ht="12.75" customHeight="1" x14ac:dyDescent="0.2">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5461</v>
      </c>
      <c r="W575" s="420" t="s">
        <v>5462</v>
      </c>
      <c r="X575" s="420" t="s">
        <v>5463</v>
      </c>
      <c r="Y575" s="420" t="s">
        <v>5003</v>
      </c>
      <c r="Z575" s="421" t="s">
        <v>5464</v>
      </c>
    </row>
    <row r="576" spans="2:26" ht="12.75" customHeight="1" x14ac:dyDescent="0.2">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5465</v>
      </c>
      <c r="W576" s="420" t="s">
        <v>5466</v>
      </c>
      <c r="X576" s="420" t="s">
        <v>5467</v>
      </c>
      <c r="Y576" s="420" t="s">
        <v>5468</v>
      </c>
      <c r="Z576" s="421" t="s">
        <v>5469</v>
      </c>
    </row>
    <row r="577" spans="2:26" ht="12.75" customHeight="1" x14ac:dyDescent="0.2">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5470</v>
      </c>
      <c r="W577" s="420" t="s">
        <v>5471</v>
      </c>
      <c r="X577" s="420" t="s">
        <v>5472</v>
      </c>
      <c r="Y577" s="420" t="s">
        <v>5473</v>
      </c>
      <c r="Z577" s="421" t="s">
        <v>5474</v>
      </c>
    </row>
    <row r="578" spans="2:26" ht="12.75" customHeight="1" x14ac:dyDescent="0.2">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5475</v>
      </c>
      <c r="W578" s="420" t="s">
        <v>5476</v>
      </c>
      <c r="X578" s="420" t="s">
        <v>5477</v>
      </c>
      <c r="Y578" s="420" t="s">
        <v>5478</v>
      </c>
      <c r="Z578" s="421" t="s">
        <v>5479</v>
      </c>
    </row>
    <row r="579" spans="2:26" ht="12.75" customHeight="1" x14ac:dyDescent="0.2">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4368</v>
      </c>
      <c r="W579" s="420" t="s">
        <v>3483</v>
      </c>
      <c r="X579" s="420" t="s">
        <v>3597</v>
      </c>
      <c r="Y579" s="420" t="s">
        <v>3484</v>
      </c>
      <c r="Z579" s="421" t="s">
        <v>5480</v>
      </c>
    </row>
    <row r="580" spans="2:26" ht="12.75" customHeight="1" x14ac:dyDescent="0.2">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5481</v>
      </c>
      <c r="W580" s="420" t="s">
        <v>5482</v>
      </c>
      <c r="X580" s="420" t="s">
        <v>5483</v>
      </c>
      <c r="Y580" s="420" t="s">
        <v>5484</v>
      </c>
      <c r="Z580" s="421" t="s">
        <v>5485</v>
      </c>
    </row>
    <row r="581" spans="2:26" ht="12.75" customHeight="1" x14ac:dyDescent="0.2">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4076</v>
      </c>
      <c r="W581" s="420" t="s">
        <v>5486</v>
      </c>
      <c r="X581" s="420" t="s">
        <v>5487</v>
      </c>
      <c r="Y581" s="420" t="s">
        <v>5488</v>
      </c>
      <c r="Z581" s="421" t="s">
        <v>5489</v>
      </c>
    </row>
    <row r="582" spans="2:26" ht="12.75" customHeight="1" x14ac:dyDescent="0.2">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2:26" ht="12.75" customHeight="1" x14ac:dyDescent="0.2">
      <c r="B583" s="266" t="str">
        <f t="shared" si="17"/>
        <v>Nobleza4</v>
      </c>
      <c r="C583" s="422"/>
      <c r="D583" s="287" t="s">
        <v>550</v>
      </c>
      <c r="E583" s="418" t="s">
        <v>86</v>
      </c>
      <c r="F583" s="418">
        <v>4</v>
      </c>
      <c r="G583" s="427" t="s">
        <v>2121</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4017</v>
      </c>
      <c r="W583" s="420" t="s">
        <v>5490</v>
      </c>
      <c r="X583" s="420" t="s">
        <v>5491</v>
      </c>
      <c r="Y583" s="420" t="s">
        <v>5492</v>
      </c>
      <c r="Z583" s="421" t="s">
        <v>5493</v>
      </c>
    </row>
    <row r="584" spans="2:26" ht="12.75" customHeight="1" x14ac:dyDescent="0.2">
      <c r="B584" s="266" t="str">
        <f t="shared" ref="B584:B647" si="18">E584&amp;F584</f>
        <v>Nobleza14</v>
      </c>
      <c r="C584" s="422"/>
      <c r="D584" s="287" t="s">
        <v>551</v>
      </c>
      <c r="E584" s="418" t="s">
        <v>86</v>
      </c>
      <c r="F584" s="418">
        <v>14</v>
      </c>
      <c r="G584" s="427" t="s">
        <v>2121</v>
      </c>
      <c r="H584" s="427" t="s">
        <v>5494</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5495</v>
      </c>
      <c r="W584" s="420" t="s">
        <v>5496</v>
      </c>
      <c r="X584" s="420" t="s">
        <v>5497</v>
      </c>
      <c r="Y584" s="420" t="s">
        <v>5498</v>
      </c>
      <c r="Z584" s="421" t="s">
        <v>5499</v>
      </c>
    </row>
    <row r="585" spans="2:26" ht="12.75" customHeight="1" x14ac:dyDescent="0.2">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5500</v>
      </c>
      <c r="W585" s="420" t="s">
        <v>5501</v>
      </c>
      <c r="X585" s="420" t="s">
        <v>5502</v>
      </c>
      <c r="Y585" s="420" t="s">
        <v>5503</v>
      </c>
      <c r="Z585" s="421" t="s">
        <v>5504</v>
      </c>
    </row>
    <row r="586" spans="2:26" ht="12.75" customHeight="1" x14ac:dyDescent="0.2">
      <c r="B586" s="266" t="str">
        <f t="shared" si="18"/>
        <v>Nobleza34</v>
      </c>
      <c r="C586" s="422"/>
      <c r="D586" s="287" t="s">
        <v>553</v>
      </c>
      <c r="E586" s="418" t="s">
        <v>86</v>
      </c>
      <c r="F586" s="418">
        <v>34</v>
      </c>
      <c r="G586" s="427" t="s">
        <v>2121</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4017</v>
      </c>
      <c r="W586" s="420" t="s">
        <v>5505</v>
      </c>
      <c r="X586" s="420" t="s">
        <v>5506</v>
      </c>
      <c r="Y586" s="420" t="s">
        <v>5507</v>
      </c>
      <c r="Z586" s="421" t="s">
        <v>5508</v>
      </c>
    </row>
    <row r="587" spans="2:26" ht="12.75" customHeight="1" x14ac:dyDescent="0.2">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5509</v>
      </c>
      <c r="W587" s="420" t="s">
        <v>5510</v>
      </c>
      <c r="X587" s="420" t="s">
        <v>5511</v>
      </c>
      <c r="Y587" s="420" t="s">
        <v>5512</v>
      </c>
      <c r="Z587" s="421" t="s">
        <v>5513</v>
      </c>
    </row>
    <row r="588" spans="2:26" ht="12.75" customHeight="1" x14ac:dyDescent="0.2">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5509</v>
      </c>
      <c r="W588" s="420" t="s">
        <v>5510</v>
      </c>
      <c r="X588" s="420" t="s">
        <v>5511</v>
      </c>
      <c r="Y588" s="420" t="s">
        <v>5512</v>
      </c>
      <c r="Z588" s="421" t="s">
        <v>5514</v>
      </c>
    </row>
    <row r="589" spans="2:26" ht="12.75" customHeight="1" x14ac:dyDescent="0.2">
      <c r="B589" s="266" t="str">
        <f t="shared" si="18"/>
        <v>Nobleza64</v>
      </c>
      <c r="C589" s="422"/>
      <c r="D589" s="287" t="s">
        <v>556</v>
      </c>
      <c r="E589" s="418" t="s">
        <v>86</v>
      </c>
      <c r="F589" s="418">
        <v>64</v>
      </c>
      <c r="G589" s="427" t="s">
        <v>2121</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5509</v>
      </c>
      <c r="W589" s="420" t="s">
        <v>5510</v>
      </c>
      <c r="X589" s="420" t="s">
        <v>5511</v>
      </c>
      <c r="Y589" s="420" t="s">
        <v>5512</v>
      </c>
      <c r="Z589" s="421" t="s">
        <v>5515</v>
      </c>
    </row>
    <row r="590" spans="2:26" ht="12.75" customHeight="1" x14ac:dyDescent="0.2">
      <c r="B590" s="266" t="str">
        <f t="shared" si="18"/>
        <v>Nobleza74</v>
      </c>
      <c r="C590" s="422"/>
      <c r="D590" s="287" t="s">
        <v>557</v>
      </c>
      <c r="E590" s="418" t="s">
        <v>86</v>
      </c>
      <c r="F590" s="418">
        <v>74</v>
      </c>
      <c r="G590" s="427" t="s">
        <v>3820</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5516</v>
      </c>
      <c r="W590" s="420" t="s">
        <v>5517</v>
      </c>
      <c r="X590" s="420" t="s">
        <v>5518</v>
      </c>
      <c r="Y590" s="420" t="s">
        <v>5519</v>
      </c>
      <c r="Z590" s="421" t="s">
        <v>5520</v>
      </c>
    </row>
    <row r="591" spans="2:26" ht="12.75" customHeight="1" x14ac:dyDescent="0.2">
      <c r="B591" s="266" t="str">
        <f t="shared" si="18"/>
        <v>Nobleza84</v>
      </c>
      <c r="C591" s="422"/>
      <c r="D591" s="287" t="s">
        <v>558</v>
      </c>
      <c r="E591" s="418" t="s">
        <v>86</v>
      </c>
      <c r="F591" s="418">
        <v>84</v>
      </c>
      <c r="G591" s="427" t="s">
        <v>2121</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5521</v>
      </c>
      <c r="W591" s="420" t="s">
        <v>5522</v>
      </c>
      <c r="X591" s="420" t="s">
        <v>5523</v>
      </c>
      <c r="Y591" s="420" t="s">
        <v>5524</v>
      </c>
      <c r="Z591" s="421" t="s">
        <v>5525</v>
      </c>
    </row>
    <row r="592" spans="2:26" ht="12.75" customHeight="1" x14ac:dyDescent="0.2">
      <c r="B592" s="266" t="str">
        <f t="shared" si="18"/>
        <v>Nobleza94</v>
      </c>
      <c r="C592" s="422"/>
      <c r="D592" s="287" t="s">
        <v>559</v>
      </c>
      <c r="E592" s="418" t="s">
        <v>86</v>
      </c>
      <c r="F592" s="418">
        <v>94</v>
      </c>
      <c r="G592" s="427" t="s">
        <v>2121</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5526</v>
      </c>
      <c r="W592" s="420" t="s">
        <v>5527</v>
      </c>
      <c r="X592" s="420" t="s">
        <v>5528</v>
      </c>
      <c r="Y592" s="420" t="s">
        <v>5529</v>
      </c>
      <c r="Z592" s="421" t="s">
        <v>5530</v>
      </c>
    </row>
    <row r="593" spans="2:26" ht="12.75" customHeight="1" x14ac:dyDescent="0.2">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2:26" ht="12.75" customHeight="1" x14ac:dyDescent="0.2">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5531</v>
      </c>
      <c r="W594" s="420" t="s">
        <v>5532</v>
      </c>
      <c r="X594" s="420" t="s">
        <v>5533</v>
      </c>
      <c r="Y594" s="420" t="s">
        <v>5534</v>
      </c>
      <c r="Z594" s="421" t="s">
        <v>5535</v>
      </c>
    </row>
    <row r="595" spans="2:26" ht="12.75" customHeight="1" x14ac:dyDescent="0.2">
      <c r="B595" s="266" t="str">
        <f t="shared" si="18"/>
        <v>Paz14</v>
      </c>
      <c r="C595" s="422"/>
      <c r="D595" s="287" t="s">
        <v>562</v>
      </c>
      <c r="E595" s="418" t="s">
        <v>87</v>
      </c>
      <c r="F595" s="418">
        <v>14</v>
      </c>
      <c r="G595" s="427" t="s">
        <v>2121</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5536</v>
      </c>
      <c r="W595" s="420" t="s">
        <v>5537</v>
      </c>
      <c r="X595" s="420" t="s">
        <v>5538</v>
      </c>
      <c r="Y595" s="420" t="s">
        <v>5539</v>
      </c>
      <c r="Z595" s="421" t="s">
        <v>5540</v>
      </c>
    </row>
    <row r="596" spans="2:26" ht="12.75" customHeight="1" x14ac:dyDescent="0.2">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5541</v>
      </c>
      <c r="W596" s="420" t="s">
        <v>5542</v>
      </c>
      <c r="X596" s="420" t="s">
        <v>5543</v>
      </c>
      <c r="Y596" s="420" t="s">
        <v>5544</v>
      </c>
      <c r="Z596" s="421" t="s">
        <v>5545</v>
      </c>
    </row>
    <row r="597" spans="2:26" ht="12.75" customHeight="1" x14ac:dyDescent="0.2">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5546</v>
      </c>
      <c r="W597" s="420" t="s">
        <v>5547</v>
      </c>
      <c r="X597" s="420" t="s">
        <v>5548</v>
      </c>
      <c r="Y597" s="420" t="s">
        <v>5549</v>
      </c>
      <c r="Z597" s="421" t="s">
        <v>5550</v>
      </c>
    </row>
    <row r="598" spans="2:26" ht="12.75" customHeight="1" x14ac:dyDescent="0.2">
      <c r="B598" s="266" t="str">
        <f t="shared" si="18"/>
        <v>Paz44</v>
      </c>
      <c r="C598" s="422"/>
      <c r="D598" s="287" t="s">
        <v>565</v>
      </c>
      <c r="E598" s="418" t="s">
        <v>87</v>
      </c>
      <c r="F598" s="418">
        <v>44</v>
      </c>
      <c r="G598" s="427" t="s">
        <v>2121</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5546</v>
      </c>
      <c r="W598" s="420" t="s">
        <v>5547</v>
      </c>
      <c r="X598" s="420" t="s">
        <v>5548</v>
      </c>
      <c r="Y598" s="420" t="s">
        <v>5549</v>
      </c>
      <c r="Z598" s="421" t="s">
        <v>5551</v>
      </c>
    </row>
    <row r="599" spans="2:26" ht="12.75" customHeight="1" x14ac:dyDescent="0.2">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3681</v>
      </c>
      <c r="W599" s="420" t="s">
        <v>3577</v>
      </c>
      <c r="X599" s="420" t="s">
        <v>3578</v>
      </c>
      <c r="Y599" s="420" t="s">
        <v>3579</v>
      </c>
      <c r="Z599" s="421" t="s">
        <v>5552</v>
      </c>
    </row>
    <row r="600" spans="2:26" ht="12.75" customHeight="1" x14ac:dyDescent="0.2">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5553</v>
      </c>
      <c r="W600" s="420" t="s">
        <v>5554</v>
      </c>
      <c r="X600" s="420" t="s">
        <v>5555</v>
      </c>
      <c r="Y600" s="420" t="s">
        <v>5556</v>
      </c>
      <c r="Z600" s="421" t="s">
        <v>5557</v>
      </c>
    </row>
    <row r="601" spans="2:26" ht="12.75" customHeight="1" x14ac:dyDescent="0.2">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5558</v>
      </c>
      <c r="W601" s="420" t="s">
        <v>5559</v>
      </c>
      <c r="X601" s="420" t="s">
        <v>5560</v>
      </c>
      <c r="Y601" s="420" t="s">
        <v>5561</v>
      </c>
      <c r="Z601" s="421" t="s">
        <v>5562</v>
      </c>
    </row>
    <row r="602" spans="2:26" ht="12.75" customHeight="1" x14ac:dyDescent="0.2">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3681</v>
      </c>
      <c r="W602" s="420" t="s">
        <v>3682</v>
      </c>
      <c r="X602" s="420" t="s">
        <v>3577</v>
      </c>
      <c r="Y602" s="420" t="s">
        <v>3410</v>
      </c>
      <c r="Z602" s="421" t="s">
        <v>5563</v>
      </c>
    </row>
    <row r="603" spans="2:26" ht="12.75" customHeight="1" x14ac:dyDescent="0.2">
      <c r="B603" s="266" t="str">
        <f t="shared" si="18"/>
        <v>Paz94</v>
      </c>
      <c r="C603" s="422"/>
      <c r="D603" s="287" t="s">
        <v>570</v>
      </c>
      <c r="E603" s="418" t="s">
        <v>87</v>
      </c>
      <c r="F603" s="418">
        <v>94</v>
      </c>
      <c r="G603" s="427" t="s">
        <v>2121</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5564</v>
      </c>
      <c r="W603" s="420" t="s">
        <v>5565</v>
      </c>
      <c r="X603" s="420" t="s">
        <v>5566</v>
      </c>
      <c r="Y603" s="420" t="s">
        <v>5567</v>
      </c>
      <c r="Z603" s="421" t="s">
        <v>5568</v>
      </c>
    </row>
    <row r="604" spans="2:26" ht="12.75" customHeight="1" x14ac:dyDescent="0.2">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2:26" ht="12.75" customHeight="1" x14ac:dyDescent="0.2">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3681</v>
      </c>
      <c r="W605" s="420" t="s">
        <v>3682</v>
      </c>
      <c r="X605" s="420" t="s">
        <v>3577</v>
      </c>
      <c r="Y605" s="420" t="s">
        <v>3410</v>
      </c>
      <c r="Z605" s="421" t="s">
        <v>5569</v>
      </c>
    </row>
    <row r="606" spans="2:26" ht="12.75" customHeight="1" x14ac:dyDescent="0.2">
      <c r="B606" s="266" t="str">
        <f t="shared" si="18"/>
        <v>Pecado14</v>
      </c>
      <c r="C606" s="422"/>
      <c r="D606" s="287" t="s">
        <v>573</v>
      </c>
      <c r="E606" s="418" t="s">
        <v>88</v>
      </c>
      <c r="F606" s="418">
        <v>14</v>
      </c>
      <c r="G606" s="427" t="s">
        <v>2121</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3681</v>
      </c>
      <c r="W606" s="420" t="s">
        <v>3682</v>
      </c>
      <c r="X606" s="420" t="s">
        <v>3577</v>
      </c>
      <c r="Y606" s="420" t="s">
        <v>3410</v>
      </c>
      <c r="Z606" s="421" t="s">
        <v>5570</v>
      </c>
    </row>
    <row r="607" spans="2:26" ht="12.75" customHeight="1" x14ac:dyDescent="0.2">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5571</v>
      </c>
      <c r="W607" s="420" t="s">
        <v>5572</v>
      </c>
      <c r="X607" s="420" t="s">
        <v>5573</v>
      </c>
      <c r="Y607" s="420" t="s">
        <v>5574</v>
      </c>
      <c r="Z607" s="421" t="s">
        <v>5575</v>
      </c>
    </row>
    <row r="608" spans="2:26" ht="12.75" customHeight="1" x14ac:dyDescent="0.2">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3682</v>
      </c>
      <c r="W608" s="420" t="s">
        <v>3577</v>
      </c>
      <c r="X608" s="420" t="s">
        <v>3410</v>
      </c>
      <c r="Y608" s="420" t="s">
        <v>3578</v>
      </c>
      <c r="Z608" s="421" t="s">
        <v>5576</v>
      </c>
    </row>
    <row r="609" spans="2:26" ht="12.75" customHeight="1" x14ac:dyDescent="0.2">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5577</v>
      </c>
      <c r="W609" s="420" t="s">
        <v>5578</v>
      </c>
      <c r="X609" s="420" t="s">
        <v>5579</v>
      </c>
      <c r="Y609" s="420" t="s">
        <v>5580</v>
      </c>
      <c r="Z609" s="421" t="s">
        <v>5581</v>
      </c>
    </row>
    <row r="610" spans="2:26" ht="12.75" customHeight="1" x14ac:dyDescent="0.2">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3719</v>
      </c>
      <c r="W610" s="420" t="s">
        <v>3681</v>
      </c>
      <c r="X610" s="420" t="s">
        <v>3682</v>
      </c>
      <c r="Y610" s="420" t="s">
        <v>3577</v>
      </c>
      <c r="Z610" s="421" t="s">
        <v>5582</v>
      </c>
    </row>
    <row r="611" spans="2:26" ht="12.75" customHeight="1" x14ac:dyDescent="0.2">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5583</v>
      </c>
      <c r="W611" s="420" t="s">
        <v>5584</v>
      </c>
      <c r="X611" s="420" t="s">
        <v>5585</v>
      </c>
      <c r="Y611" s="420" t="s">
        <v>5586</v>
      </c>
      <c r="Z611" s="421" t="s">
        <v>5587</v>
      </c>
    </row>
    <row r="612" spans="2:26" ht="12.75" customHeight="1" x14ac:dyDescent="0.2">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3681</v>
      </c>
      <c r="W612" s="420" t="s">
        <v>3682</v>
      </c>
      <c r="X612" s="420" t="s">
        <v>3577</v>
      </c>
      <c r="Y612" s="420" t="s">
        <v>3410</v>
      </c>
      <c r="Z612" s="421" t="s">
        <v>5588</v>
      </c>
    </row>
    <row r="613" spans="2:26" ht="12.75" customHeight="1" x14ac:dyDescent="0.2">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3681</v>
      </c>
      <c r="W613" s="420" t="s">
        <v>3682</v>
      </c>
      <c r="X613" s="420" t="s">
        <v>3577</v>
      </c>
      <c r="Y613" s="420" t="s">
        <v>3410</v>
      </c>
      <c r="Z613" s="421" t="s">
        <v>5589</v>
      </c>
    </row>
    <row r="614" spans="2:26" ht="12.75" customHeight="1" x14ac:dyDescent="0.2">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3681</v>
      </c>
      <c r="W614" s="420" t="s">
        <v>3682</v>
      </c>
      <c r="X614" s="420" t="s">
        <v>3577</v>
      </c>
      <c r="Y614" s="420" t="s">
        <v>3410</v>
      </c>
      <c r="Z614" s="421" t="s">
        <v>5590</v>
      </c>
    </row>
    <row r="615" spans="2:26" ht="12.75" customHeight="1" x14ac:dyDescent="0.2">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2:26" ht="12.75" customHeight="1" x14ac:dyDescent="0.2">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5591</v>
      </c>
      <c r="W616" s="420" t="s">
        <v>5592</v>
      </c>
      <c r="X616" s="420" t="s">
        <v>5593</v>
      </c>
      <c r="Y616" s="420" t="s">
        <v>5594</v>
      </c>
      <c r="Z616" s="421" t="s">
        <v>5595</v>
      </c>
    </row>
    <row r="617" spans="2:26" ht="12.75" customHeight="1" x14ac:dyDescent="0.2">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5596</v>
      </c>
      <c r="W617" s="420" t="s">
        <v>5597</v>
      </c>
      <c r="X617" s="420" t="s">
        <v>5598</v>
      </c>
      <c r="Y617" s="420" t="s">
        <v>5599</v>
      </c>
      <c r="Z617" s="421" t="s">
        <v>5600</v>
      </c>
    </row>
    <row r="618" spans="2:26" ht="12.75" customHeight="1" x14ac:dyDescent="0.2">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3805</v>
      </c>
      <c r="W618" s="420" t="s">
        <v>3806</v>
      </c>
      <c r="X618" s="420" t="s">
        <v>3807</v>
      </c>
      <c r="Y618" s="420" t="s">
        <v>3831</v>
      </c>
      <c r="Z618" s="421" t="s">
        <v>5601</v>
      </c>
    </row>
    <row r="619" spans="2:26" ht="12.75" customHeight="1" x14ac:dyDescent="0.2">
      <c r="B619" s="266" t="str">
        <f t="shared" si="18"/>
        <v>Conocimiento34</v>
      </c>
      <c r="C619" s="422"/>
      <c r="D619" s="287" t="s">
        <v>585</v>
      </c>
      <c r="E619" s="418" t="s">
        <v>89</v>
      </c>
      <c r="F619" s="418">
        <v>34</v>
      </c>
      <c r="G619" s="427" t="s">
        <v>2121</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5602</v>
      </c>
      <c r="W619" s="420" t="s">
        <v>3839</v>
      </c>
      <c r="X619" s="420" t="s">
        <v>3805</v>
      </c>
      <c r="Y619" s="420" t="s">
        <v>3806</v>
      </c>
      <c r="Z619" s="421" t="s">
        <v>5603</v>
      </c>
    </row>
    <row r="620" spans="2:26" ht="12.75" customHeight="1" x14ac:dyDescent="0.2">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5604</v>
      </c>
      <c r="W620" s="420" t="s">
        <v>5605</v>
      </c>
      <c r="X620" s="420" t="s">
        <v>5606</v>
      </c>
      <c r="Y620" s="420" t="s">
        <v>5607</v>
      </c>
      <c r="Z620" s="421" t="s">
        <v>5608</v>
      </c>
    </row>
    <row r="621" spans="2:26" ht="12.75" customHeight="1" x14ac:dyDescent="0.2">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5609</v>
      </c>
      <c r="W621" s="420" t="s">
        <v>5610</v>
      </c>
      <c r="X621" s="420" t="s">
        <v>5611</v>
      </c>
      <c r="Y621" s="420" t="s">
        <v>5612</v>
      </c>
      <c r="Z621" s="421" t="s">
        <v>5613</v>
      </c>
    </row>
    <row r="622" spans="2:26" ht="12.75" customHeight="1" x14ac:dyDescent="0.2">
      <c r="B622" s="266" t="str">
        <f t="shared" si="18"/>
        <v>Conocimiento64</v>
      </c>
      <c r="C622" s="422"/>
      <c r="D622" s="287" t="s">
        <v>588</v>
      </c>
      <c r="E622" s="418" t="s">
        <v>89</v>
      </c>
      <c r="F622" s="418">
        <v>64</v>
      </c>
      <c r="G622" s="427" t="s">
        <v>2121</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5614</v>
      </c>
      <c r="W622" s="420" t="s">
        <v>5615</v>
      </c>
      <c r="X622" s="420" t="s">
        <v>5616</v>
      </c>
      <c r="Y622" s="420" t="s">
        <v>5617</v>
      </c>
      <c r="Z622" s="421" t="s">
        <v>5618</v>
      </c>
    </row>
    <row r="623" spans="2:26" ht="12.75" customHeight="1" x14ac:dyDescent="0.2">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5619</v>
      </c>
      <c r="W623" s="420" t="s">
        <v>5620</v>
      </c>
      <c r="X623" s="420" t="s">
        <v>5621</v>
      </c>
      <c r="Y623" s="420" t="s">
        <v>5622</v>
      </c>
      <c r="Z623" s="421" t="s">
        <v>5623</v>
      </c>
    </row>
    <row r="624" spans="2:26" ht="12.75" customHeight="1" x14ac:dyDescent="0.2">
      <c r="B624" s="266" t="str">
        <f t="shared" si="18"/>
        <v>Conocimiento84</v>
      </c>
      <c r="C624" s="422"/>
      <c r="D624" s="287" t="s">
        <v>590</v>
      </c>
      <c r="E624" s="418" t="s">
        <v>89</v>
      </c>
      <c r="F624" s="418">
        <v>84</v>
      </c>
      <c r="G624" s="427" t="s">
        <v>2121</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5624</v>
      </c>
      <c r="W624" s="420" t="s">
        <v>5625</v>
      </c>
      <c r="X624" s="420" t="s">
        <v>5626</v>
      </c>
      <c r="Y624" s="420" t="s">
        <v>5627</v>
      </c>
      <c r="Z624" s="421" t="s">
        <v>5628</v>
      </c>
    </row>
    <row r="625" spans="2:26" ht="12.75" customHeight="1" x14ac:dyDescent="0.2">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5629</v>
      </c>
      <c r="W625" s="420" t="s">
        <v>5630</v>
      </c>
      <c r="X625" s="420" t="s">
        <v>5631</v>
      </c>
      <c r="Y625" s="420" t="s">
        <v>5632</v>
      </c>
      <c r="Z625" s="421" t="s">
        <v>5633</v>
      </c>
    </row>
    <row r="626" spans="2:26" ht="12.75" customHeight="1" x14ac:dyDescent="0.2">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2:26" ht="12.75" customHeight="1" x14ac:dyDescent="0.2">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3680</v>
      </c>
      <c r="W627" s="420" t="s">
        <v>3719</v>
      </c>
      <c r="X627" s="420" t="s">
        <v>3681</v>
      </c>
      <c r="Y627" s="420" t="s">
        <v>3577</v>
      </c>
      <c r="Z627" s="421" t="s">
        <v>5634</v>
      </c>
    </row>
    <row r="628" spans="2:26" ht="12.75" customHeight="1" x14ac:dyDescent="0.2">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5635</v>
      </c>
      <c r="W628" s="420" t="s">
        <v>5636</v>
      </c>
      <c r="X628" s="420" t="s">
        <v>5637</v>
      </c>
      <c r="Y628" s="420" t="s">
        <v>5638</v>
      </c>
      <c r="Z628" s="421" t="s">
        <v>5639</v>
      </c>
    </row>
    <row r="629" spans="2:26" ht="12.75" customHeight="1" x14ac:dyDescent="0.2">
      <c r="B629" s="266" t="str">
        <f t="shared" si="18"/>
        <v>Sangre24</v>
      </c>
      <c r="C629" s="422"/>
      <c r="D629" s="287" t="s">
        <v>1929</v>
      </c>
      <c r="E629" s="418" t="s">
        <v>90</v>
      </c>
      <c r="F629" s="418">
        <v>24</v>
      </c>
      <c r="G629" s="427" t="s">
        <v>2121</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5640</v>
      </c>
      <c r="W629" s="420" t="s">
        <v>5641</v>
      </c>
      <c r="X629" s="420" t="s">
        <v>5642</v>
      </c>
      <c r="Y629" s="420" t="s">
        <v>5643</v>
      </c>
      <c r="Z629" s="421" t="s">
        <v>5644</v>
      </c>
    </row>
    <row r="630" spans="2:26" ht="12.75" customHeight="1" x14ac:dyDescent="0.2">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5645</v>
      </c>
      <c r="W630" s="420" t="s">
        <v>5646</v>
      </c>
      <c r="X630" s="420" t="s">
        <v>5647</v>
      </c>
      <c r="Y630" s="420" t="s">
        <v>5648</v>
      </c>
      <c r="Z630" s="421" t="s">
        <v>5649</v>
      </c>
    </row>
    <row r="631" spans="2:26" ht="12.75" customHeight="1" x14ac:dyDescent="0.2">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5650</v>
      </c>
      <c r="W631" s="420" t="s">
        <v>5651</v>
      </c>
      <c r="X631" s="420" t="s">
        <v>5652</v>
      </c>
      <c r="Y631" s="420" t="s">
        <v>5653</v>
      </c>
      <c r="Z631" s="421" t="s">
        <v>5654</v>
      </c>
    </row>
    <row r="632" spans="2:26" ht="12.75" customHeight="1" x14ac:dyDescent="0.2">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5655</v>
      </c>
      <c r="W632" s="420" t="s">
        <v>5656</v>
      </c>
      <c r="X632" s="420" t="s">
        <v>5657</v>
      </c>
      <c r="Y632" s="420" t="s">
        <v>5658</v>
      </c>
      <c r="Z632" s="421" t="s">
        <v>5659</v>
      </c>
    </row>
    <row r="633" spans="2:26" ht="12.75" customHeight="1" x14ac:dyDescent="0.2">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5660</v>
      </c>
      <c r="W633" s="420" t="s">
        <v>5661</v>
      </c>
      <c r="X633" s="420" t="s">
        <v>5662</v>
      </c>
      <c r="Y633" s="420" t="s">
        <v>5663</v>
      </c>
      <c r="Z633" s="421" t="s">
        <v>5664</v>
      </c>
    </row>
    <row r="634" spans="2:26" ht="12.75" customHeight="1" x14ac:dyDescent="0.2">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5665</v>
      </c>
      <c r="W634" s="420" t="s">
        <v>5666</v>
      </c>
      <c r="X634" s="420" t="s">
        <v>5667</v>
      </c>
      <c r="Y634" s="420" t="s">
        <v>5668</v>
      </c>
      <c r="Z634" s="421" t="s">
        <v>5669</v>
      </c>
    </row>
    <row r="635" spans="2:26" ht="12.75" customHeight="1" x14ac:dyDescent="0.2">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5670</v>
      </c>
      <c r="W635" s="420" t="s">
        <v>5671</v>
      </c>
      <c r="X635" s="420" t="s">
        <v>5672</v>
      </c>
      <c r="Y635" s="420" t="s">
        <v>5673</v>
      </c>
      <c r="Z635" s="421" t="s">
        <v>5674</v>
      </c>
    </row>
    <row r="636" spans="2:26" ht="12.75" customHeight="1" x14ac:dyDescent="0.2">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5675</v>
      </c>
      <c r="W636" s="420" t="s">
        <v>5676</v>
      </c>
      <c r="X636" s="420" t="s">
        <v>5677</v>
      </c>
      <c r="Y636" s="420" t="s">
        <v>5678</v>
      </c>
      <c r="Z636" s="421" t="s">
        <v>5679</v>
      </c>
    </row>
    <row r="637" spans="2:26" ht="12.75" customHeight="1" x14ac:dyDescent="0.2">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2:26" ht="12.75" customHeight="1" x14ac:dyDescent="0.2">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5680</v>
      </c>
      <c r="W638" s="420" t="s">
        <v>5681</v>
      </c>
      <c r="X638" s="420" t="s">
        <v>5682</v>
      </c>
      <c r="Y638" s="420" t="s">
        <v>5683</v>
      </c>
      <c r="Z638" s="421" t="s">
        <v>9987</v>
      </c>
    </row>
    <row r="639" spans="2:26" ht="12.75" customHeight="1" x14ac:dyDescent="0.2">
      <c r="B639" s="266" t="str">
        <f t="shared" si="18"/>
        <v>Sueños14</v>
      </c>
      <c r="C639" s="422"/>
      <c r="D639" s="287" t="s">
        <v>604</v>
      </c>
      <c r="E639" s="418" t="s">
        <v>91</v>
      </c>
      <c r="F639" s="418">
        <v>14</v>
      </c>
      <c r="G639" s="427" t="s">
        <v>2121</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5684</v>
      </c>
      <c r="W639" s="420" t="s">
        <v>5685</v>
      </c>
      <c r="X639" s="420" t="s">
        <v>5686</v>
      </c>
      <c r="Y639" s="420" t="s">
        <v>5687</v>
      </c>
      <c r="Z639" s="421" t="s">
        <v>9988</v>
      </c>
    </row>
    <row r="640" spans="2:26" ht="12.75" customHeight="1" x14ac:dyDescent="0.2">
      <c r="B640" s="266" t="str">
        <f t="shared" si="18"/>
        <v>Sueños24</v>
      </c>
      <c r="C640" s="422"/>
      <c r="D640" s="287" t="s">
        <v>605</v>
      </c>
      <c r="E640" s="418" t="s">
        <v>91</v>
      </c>
      <c r="F640" s="418">
        <v>24</v>
      </c>
      <c r="G640" s="427" t="s">
        <v>2121</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3682</v>
      </c>
      <c r="W640" s="420" t="s">
        <v>3577</v>
      </c>
      <c r="X640" s="420" t="s">
        <v>3410</v>
      </c>
      <c r="Y640" s="420" t="s">
        <v>9989</v>
      </c>
      <c r="Z640" s="421" t="s">
        <v>9990</v>
      </c>
    </row>
    <row r="641" spans="2:26" ht="12.75" customHeight="1" x14ac:dyDescent="0.2">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3360</v>
      </c>
      <c r="W641" s="420" t="s">
        <v>5688</v>
      </c>
      <c r="X641" s="420" t="s">
        <v>5689</v>
      </c>
      <c r="Y641" s="420" t="s">
        <v>5690</v>
      </c>
      <c r="Z641" s="421" t="s">
        <v>9991</v>
      </c>
    </row>
    <row r="642" spans="2:26" ht="12.75" customHeight="1" x14ac:dyDescent="0.2">
      <c r="B642" s="266" t="str">
        <f t="shared" si="18"/>
        <v>Sueños44</v>
      </c>
      <c r="C642" s="422"/>
      <c r="D642" s="287" t="s">
        <v>607</v>
      </c>
      <c r="E642" s="418" t="s">
        <v>91</v>
      </c>
      <c r="F642" s="418">
        <v>44</v>
      </c>
      <c r="G642" s="427" t="s">
        <v>2121</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5691</v>
      </c>
      <c r="W642" s="420" t="s">
        <v>5692</v>
      </c>
      <c r="X642" s="420" t="s">
        <v>5693</v>
      </c>
      <c r="Y642" s="420" t="s">
        <v>9992</v>
      </c>
      <c r="Z642" s="421" t="s">
        <v>9993</v>
      </c>
    </row>
    <row r="643" spans="2:26" ht="12.75" customHeight="1" x14ac:dyDescent="0.2">
      <c r="B643" s="266" t="str">
        <f t="shared" si="18"/>
        <v>Sueños54</v>
      </c>
      <c r="C643" s="422"/>
      <c r="D643" s="287" t="s">
        <v>608</v>
      </c>
      <c r="E643" s="418" t="s">
        <v>91</v>
      </c>
      <c r="F643" s="418">
        <v>54</v>
      </c>
      <c r="G643" s="427" t="s">
        <v>2121</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3680</v>
      </c>
      <c r="W643" s="420" t="s">
        <v>3719</v>
      </c>
      <c r="X643" s="420" t="s">
        <v>3681</v>
      </c>
      <c r="Y643" s="420" t="s">
        <v>3682</v>
      </c>
      <c r="Z643" s="421" t="s">
        <v>7314</v>
      </c>
    </row>
    <row r="644" spans="2:26" ht="12.75" customHeight="1" x14ac:dyDescent="0.2">
      <c r="B644" s="266" t="str">
        <f t="shared" si="18"/>
        <v>Sueños64</v>
      </c>
      <c r="C644" s="422"/>
      <c r="D644" s="287" t="s">
        <v>609</v>
      </c>
      <c r="E644" s="418" t="s">
        <v>91</v>
      </c>
      <c r="F644" s="418">
        <v>64</v>
      </c>
      <c r="G644" s="427" t="s">
        <v>2121</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5694</v>
      </c>
      <c r="W644" s="420" t="s">
        <v>5695</v>
      </c>
      <c r="X644" s="420" t="s">
        <v>5696</v>
      </c>
      <c r="Y644" s="420" t="s">
        <v>5697</v>
      </c>
      <c r="Z644" s="421" t="s">
        <v>5698</v>
      </c>
    </row>
    <row r="645" spans="2:26" ht="12.75" customHeight="1" x14ac:dyDescent="0.2">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3719</v>
      </c>
      <c r="W645" s="420" t="s">
        <v>3681</v>
      </c>
      <c r="X645" s="420" t="s">
        <v>3682</v>
      </c>
      <c r="Y645" s="420" t="s">
        <v>3577</v>
      </c>
      <c r="Z645" s="421" t="s">
        <v>5699</v>
      </c>
    </row>
    <row r="646" spans="2:26" ht="12.75" customHeight="1" x14ac:dyDescent="0.2">
      <c r="B646" s="266" t="str">
        <f t="shared" si="18"/>
        <v>Sueños84</v>
      </c>
      <c r="C646" s="422"/>
      <c r="D646" s="287" t="s">
        <v>611</v>
      </c>
      <c r="E646" s="418" t="s">
        <v>91</v>
      </c>
      <c r="F646" s="418">
        <v>84</v>
      </c>
      <c r="G646" s="427" t="s">
        <v>2121</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5700</v>
      </c>
      <c r="W646" s="420" t="s">
        <v>5701</v>
      </c>
      <c r="X646" s="420" t="s">
        <v>5702</v>
      </c>
      <c r="Y646" s="420" t="s">
        <v>5703</v>
      </c>
      <c r="Z646" s="421" t="s">
        <v>5704</v>
      </c>
    </row>
    <row r="647" spans="2:26" ht="12.75" customHeight="1" x14ac:dyDescent="0.2">
      <c r="B647" s="266" t="str">
        <f t="shared" si="18"/>
        <v>Sueños94</v>
      </c>
      <c r="C647" s="422"/>
      <c r="D647" s="287" t="s">
        <v>612</v>
      </c>
      <c r="E647" s="418" t="s">
        <v>91</v>
      </c>
      <c r="F647" s="418">
        <v>94</v>
      </c>
      <c r="G647" s="427" t="s">
        <v>2121</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5705</v>
      </c>
      <c r="W647" s="420" t="s">
        <v>5706</v>
      </c>
      <c r="X647" s="420" t="s">
        <v>5707</v>
      </c>
      <c r="Y647" s="420" t="s">
        <v>5708</v>
      </c>
      <c r="Z647" s="421" t="s">
        <v>9994</v>
      </c>
    </row>
    <row r="648" spans="2:26" ht="12.75" customHeight="1" x14ac:dyDescent="0.2">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2:26" ht="12.75" customHeight="1" x14ac:dyDescent="0.2">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5709</v>
      </c>
      <c r="W649" s="420" t="s">
        <v>5710</v>
      </c>
      <c r="X649" s="420" t="s">
        <v>5711</v>
      </c>
      <c r="Y649" s="420" t="s">
        <v>5712</v>
      </c>
      <c r="Z649" s="421" t="s">
        <v>5713</v>
      </c>
    </row>
    <row r="650" spans="2:26" ht="12.75" customHeight="1" x14ac:dyDescent="0.2">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5714</v>
      </c>
      <c r="W650" s="420" t="s">
        <v>5715</v>
      </c>
      <c r="X650" s="420" t="s">
        <v>5716</v>
      </c>
      <c r="Y650" s="420" t="s">
        <v>5717</v>
      </c>
      <c r="Z650" s="421" t="s">
        <v>5718</v>
      </c>
    </row>
    <row r="651" spans="2:26" ht="12.75" customHeight="1" x14ac:dyDescent="0.2">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5719</v>
      </c>
      <c r="W651" s="420" t="s">
        <v>5720</v>
      </c>
      <c r="X651" s="420" t="s">
        <v>5721</v>
      </c>
      <c r="Y651" s="420" t="s">
        <v>5722</v>
      </c>
      <c r="Z651" s="421" t="s">
        <v>5723</v>
      </c>
    </row>
    <row r="652" spans="2:26" ht="12.75" customHeight="1" x14ac:dyDescent="0.2">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5724</v>
      </c>
      <c r="W652" s="420" t="s">
        <v>5725</v>
      </c>
      <c r="X652" s="420" t="s">
        <v>5726</v>
      </c>
      <c r="Y652" s="420" t="s">
        <v>5727</v>
      </c>
      <c r="Z652" s="421" t="s">
        <v>5728</v>
      </c>
    </row>
    <row r="653" spans="2:26" ht="12.75" customHeight="1" x14ac:dyDescent="0.2">
      <c r="B653" s="266" t="str">
        <f t="shared" si="19"/>
        <v>Tiempo44</v>
      </c>
      <c r="C653" s="422"/>
      <c r="D653" s="287" t="s">
        <v>618</v>
      </c>
      <c r="E653" s="418" t="s">
        <v>92</v>
      </c>
      <c r="F653" s="418">
        <v>44</v>
      </c>
      <c r="G653" s="427" t="s">
        <v>2121</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5729</v>
      </c>
      <c r="W653" s="420" t="s">
        <v>5730</v>
      </c>
      <c r="X653" s="420" t="s">
        <v>5731</v>
      </c>
      <c r="Y653" s="420" t="s">
        <v>5732</v>
      </c>
      <c r="Z653" s="421" t="s">
        <v>5733</v>
      </c>
    </row>
    <row r="654" spans="2:26" ht="12.75" customHeight="1" x14ac:dyDescent="0.2">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5734</v>
      </c>
      <c r="W654" s="420" t="s">
        <v>5735</v>
      </c>
      <c r="X654" s="420" t="s">
        <v>5736</v>
      </c>
      <c r="Y654" s="420" t="s">
        <v>5737</v>
      </c>
      <c r="Z654" s="421" t="s">
        <v>5738</v>
      </c>
    </row>
    <row r="655" spans="2:26" ht="12.75" customHeight="1" x14ac:dyDescent="0.2">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5739</v>
      </c>
      <c r="W655" s="420" t="s">
        <v>5740</v>
      </c>
      <c r="X655" s="420" t="s">
        <v>5741</v>
      </c>
      <c r="Y655" s="420" t="s">
        <v>5742</v>
      </c>
      <c r="Z655" s="421" t="s">
        <v>5743</v>
      </c>
    </row>
    <row r="656" spans="2:26" ht="12.75" customHeight="1" x14ac:dyDescent="0.2">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5744</v>
      </c>
      <c r="W656" s="420" t="s">
        <v>5745</v>
      </c>
      <c r="X656" s="420" t="s">
        <v>5746</v>
      </c>
      <c r="Y656" s="420" t="s">
        <v>5747</v>
      </c>
      <c r="Z656" s="421" t="s">
        <v>5748</v>
      </c>
    </row>
    <row r="657" spans="2:26" ht="12.75" customHeight="1" x14ac:dyDescent="0.2">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5749</v>
      </c>
      <c r="W657" s="420" t="s">
        <v>5750</v>
      </c>
      <c r="X657" s="420" t="s">
        <v>5751</v>
      </c>
      <c r="Y657" s="420" t="s">
        <v>5752</v>
      </c>
      <c r="Z657" s="421" t="s">
        <v>5753</v>
      </c>
    </row>
    <row r="658" spans="2:26" ht="12.75" customHeight="1" x14ac:dyDescent="0.2">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5754</v>
      </c>
      <c r="W658" s="420" t="s">
        <v>5755</v>
      </c>
      <c r="X658" s="420" t="s">
        <v>5756</v>
      </c>
      <c r="Y658" s="420" t="s">
        <v>5757</v>
      </c>
      <c r="Z658" s="421" t="s">
        <v>5758</v>
      </c>
    </row>
    <row r="659" spans="2:26" ht="12.75" customHeight="1" x14ac:dyDescent="0.2">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2:26" ht="12.75" customHeight="1" x14ac:dyDescent="0.2">
      <c r="B660" s="266" t="str">
        <f t="shared" si="19"/>
        <v>Umbral4</v>
      </c>
      <c r="C660" s="422"/>
      <c r="D660" s="287" t="s">
        <v>625</v>
      </c>
      <c r="E660" s="418" t="s">
        <v>2108</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5759</v>
      </c>
      <c r="W660" s="420" t="s">
        <v>5760</v>
      </c>
      <c r="X660" s="420" t="s">
        <v>5761</v>
      </c>
      <c r="Y660" s="420" t="s">
        <v>5762</v>
      </c>
      <c r="Z660" s="421" t="s">
        <v>5763</v>
      </c>
    </row>
    <row r="661" spans="2:26" ht="12.75" customHeight="1" x14ac:dyDescent="0.2">
      <c r="B661" s="266" t="str">
        <f t="shared" si="19"/>
        <v>Umbral14</v>
      </c>
      <c r="C661" s="422"/>
      <c r="D661" s="287" t="s">
        <v>626</v>
      </c>
      <c r="E661" s="418" t="s">
        <v>2108</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3565</v>
      </c>
      <c r="W661" s="420" t="s">
        <v>5764</v>
      </c>
      <c r="X661" s="420" t="s">
        <v>4174</v>
      </c>
      <c r="Y661" s="420" t="s">
        <v>4175</v>
      </c>
      <c r="Z661" s="421" t="s">
        <v>5765</v>
      </c>
    </row>
    <row r="662" spans="2:26" ht="12.75" customHeight="1" x14ac:dyDescent="0.2">
      <c r="B662" s="266" t="str">
        <f t="shared" si="19"/>
        <v>Umbral24</v>
      </c>
      <c r="C662" s="422"/>
      <c r="D662" s="287" t="s">
        <v>627</v>
      </c>
      <c r="E662" s="418" t="s">
        <v>2108</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3487</v>
      </c>
      <c r="W662" s="420" t="s">
        <v>3294</v>
      </c>
      <c r="X662" s="420" t="s">
        <v>5766</v>
      </c>
      <c r="Y662" s="420" t="s">
        <v>5767</v>
      </c>
      <c r="Z662" s="421" t="s">
        <v>5768</v>
      </c>
    </row>
    <row r="663" spans="2:26" ht="12.75" customHeight="1" x14ac:dyDescent="0.2">
      <c r="B663" s="266" t="str">
        <f t="shared" si="19"/>
        <v>Umbral34</v>
      </c>
      <c r="C663" s="422"/>
      <c r="D663" s="287" t="s">
        <v>628</v>
      </c>
      <c r="E663" s="418" t="s">
        <v>2108</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4661</v>
      </c>
      <c r="W663" s="420" t="s">
        <v>4662</v>
      </c>
      <c r="X663" s="420" t="s">
        <v>4663</v>
      </c>
      <c r="Y663" s="420" t="s">
        <v>4664</v>
      </c>
      <c r="Z663" s="421" t="s">
        <v>5769</v>
      </c>
    </row>
    <row r="664" spans="2:26" ht="12.75" customHeight="1" x14ac:dyDescent="0.2">
      <c r="B664" s="266" t="str">
        <f t="shared" si="19"/>
        <v>Umbral44</v>
      </c>
      <c r="C664" s="422"/>
      <c r="D664" s="287" t="s">
        <v>629</v>
      </c>
      <c r="E664" s="418" t="s">
        <v>2108</v>
      </c>
      <c r="F664" s="418">
        <v>44</v>
      </c>
      <c r="G664" s="427" t="s">
        <v>2121</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4661</v>
      </c>
      <c r="W664" s="420" t="s">
        <v>4663</v>
      </c>
      <c r="X664" s="420" t="s">
        <v>5770</v>
      </c>
      <c r="Y664" s="420" t="s">
        <v>5771</v>
      </c>
      <c r="Z664" s="421" t="s">
        <v>7315</v>
      </c>
    </row>
    <row r="665" spans="2:26" ht="12.75" customHeight="1" x14ac:dyDescent="0.2">
      <c r="B665" s="266" t="str">
        <f t="shared" si="19"/>
        <v>Umbral54</v>
      </c>
      <c r="C665" s="422"/>
      <c r="D665" s="287" t="s">
        <v>630</v>
      </c>
      <c r="E665" s="418" t="s">
        <v>2108</v>
      </c>
      <c r="F665" s="418">
        <v>54</v>
      </c>
      <c r="G665" s="427" t="s">
        <v>2121</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5772</v>
      </c>
      <c r="W665" s="420" t="s">
        <v>5773</v>
      </c>
      <c r="X665" s="420" t="s">
        <v>5774</v>
      </c>
      <c r="Y665" s="420" t="s">
        <v>5775</v>
      </c>
      <c r="Z665" s="421" t="s">
        <v>5776</v>
      </c>
    </row>
    <row r="666" spans="2:26" ht="12.75" customHeight="1" x14ac:dyDescent="0.2">
      <c r="B666" s="266" t="str">
        <f t="shared" si="19"/>
        <v>Umbral64</v>
      </c>
      <c r="C666" s="422"/>
      <c r="D666" s="287" t="s">
        <v>631</v>
      </c>
      <c r="E666" s="418" t="s">
        <v>2108</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5777</v>
      </c>
      <c r="W666" s="420" t="s">
        <v>5778</v>
      </c>
      <c r="X666" s="420" t="s">
        <v>5779</v>
      </c>
      <c r="Y666" s="420" t="s">
        <v>5780</v>
      </c>
      <c r="Z666" s="421" t="s">
        <v>5781</v>
      </c>
    </row>
    <row r="667" spans="2:26" ht="12.75" customHeight="1" x14ac:dyDescent="0.2">
      <c r="B667" s="266" t="str">
        <f t="shared" si="19"/>
        <v>Umbral74</v>
      </c>
      <c r="C667" s="422"/>
      <c r="D667" s="287" t="s">
        <v>632</v>
      </c>
      <c r="E667" s="418" t="s">
        <v>2108</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5767</v>
      </c>
      <c r="W667" s="420" t="s">
        <v>5782</v>
      </c>
      <c r="X667" s="420" t="s">
        <v>5783</v>
      </c>
      <c r="Y667" s="420" t="s">
        <v>5784</v>
      </c>
      <c r="Z667" s="421" t="s">
        <v>5785</v>
      </c>
    </row>
    <row r="668" spans="2:26" ht="12.75" customHeight="1" x14ac:dyDescent="0.2">
      <c r="B668" s="266" t="str">
        <f t="shared" si="19"/>
        <v>Umbral84</v>
      </c>
      <c r="C668" s="422"/>
      <c r="D668" s="287" t="s">
        <v>633</v>
      </c>
      <c r="E668" s="418" t="s">
        <v>2108</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5786</v>
      </c>
      <c r="W668" s="420" t="s">
        <v>5787</v>
      </c>
      <c r="X668" s="420" t="s">
        <v>5788</v>
      </c>
      <c r="Y668" s="420" t="s">
        <v>5789</v>
      </c>
      <c r="Z668" s="421" t="s">
        <v>5790</v>
      </c>
    </row>
    <row r="669" spans="2:26" ht="12.75" customHeight="1" x14ac:dyDescent="0.2">
      <c r="B669" s="266" t="str">
        <f t="shared" si="19"/>
        <v>Umbral94</v>
      </c>
      <c r="C669" s="422"/>
      <c r="D669" s="287" t="s">
        <v>634</v>
      </c>
      <c r="E669" s="418" t="s">
        <v>2108</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3695</v>
      </c>
      <c r="W669" s="420" t="s">
        <v>4687</v>
      </c>
      <c r="X669" s="420" t="s">
        <v>3697</v>
      </c>
      <c r="Y669" s="420" t="s">
        <v>5791</v>
      </c>
      <c r="Z669" s="421" t="s">
        <v>5792</v>
      </c>
    </row>
    <row r="670" spans="2:26" ht="12.75" customHeight="1" x14ac:dyDescent="0.2">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2:26" ht="12.75" customHeight="1" x14ac:dyDescent="0.2">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5793</v>
      </c>
      <c r="W671" s="420" t="s">
        <v>5794</v>
      </c>
      <c r="X671" s="420" t="s">
        <v>5795</v>
      </c>
      <c r="Y671" s="420" t="s">
        <v>5796</v>
      </c>
      <c r="Z671" s="421" t="s">
        <v>5797</v>
      </c>
    </row>
    <row r="672" spans="2:26" ht="12.75" customHeight="1" x14ac:dyDescent="0.2">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5798</v>
      </c>
      <c r="W672" s="420" t="s">
        <v>5799</v>
      </c>
      <c r="X672" s="420" t="s">
        <v>5800</v>
      </c>
      <c r="Y672" s="420" t="s">
        <v>5801</v>
      </c>
      <c r="Z672" s="421" t="s">
        <v>5802</v>
      </c>
    </row>
    <row r="673" spans="2:26" ht="12.75" customHeight="1" x14ac:dyDescent="0.2">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5803</v>
      </c>
      <c r="W673" s="420" t="s">
        <v>5804</v>
      </c>
      <c r="X673" s="420" t="s">
        <v>5805</v>
      </c>
      <c r="Y673" s="420" t="s">
        <v>5806</v>
      </c>
      <c r="Z673" s="421" t="s">
        <v>5807</v>
      </c>
    </row>
    <row r="674" spans="2:26" ht="12.75" customHeight="1" x14ac:dyDescent="0.2">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5808</v>
      </c>
      <c r="W674" s="420" t="s">
        <v>4671</v>
      </c>
      <c r="X674" s="420" t="s">
        <v>5809</v>
      </c>
      <c r="Y674" s="420" t="s">
        <v>5810</v>
      </c>
      <c r="Z674" s="421" t="s">
        <v>5811</v>
      </c>
    </row>
    <row r="675" spans="2:26" ht="12.75" customHeight="1" x14ac:dyDescent="0.2">
      <c r="B675" s="266" t="str">
        <f t="shared" si="19"/>
        <v>Vacío44</v>
      </c>
      <c r="C675" s="422"/>
      <c r="D675" s="287" t="s">
        <v>8629</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4744</v>
      </c>
      <c r="W675" s="420" t="s">
        <v>3331</v>
      </c>
      <c r="X675" s="420" t="s">
        <v>5812</v>
      </c>
      <c r="Y675" s="420" t="s">
        <v>4148</v>
      </c>
      <c r="Z675" s="421" t="s">
        <v>5813</v>
      </c>
    </row>
    <row r="676" spans="2:26" ht="12.75" customHeight="1" x14ac:dyDescent="0.2">
      <c r="B676" s="266" t="str">
        <f t="shared" si="19"/>
        <v>Vacío54</v>
      </c>
      <c r="C676" s="422"/>
      <c r="D676" s="287" t="s">
        <v>640</v>
      </c>
      <c r="E676" s="418" t="s">
        <v>93</v>
      </c>
      <c r="F676" s="418">
        <v>54</v>
      </c>
      <c r="G676" s="427" t="s">
        <v>2121</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5814</v>
      </c>
      <c r="W676" s="420" t="s">
        <v>5815</v>
      </c>
      <c r="X676" s="420" t="s">
        <v>5816</v>
      </c>
      <c r="Y676" s="420" t="s">
        <v>5817</v>
      </c>
      <c r="Z676" s="421" t="s">
        <v>5818</v>
      </c>
    </row>
    <row r="677" spans="2:26" ht="12.75" customHeight="1" x14ac:dyDescent="0.2">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5819</v>
      </c>
      <c r="W677" s="420" t="s">
        <v>5820</v>
      </c>
      <c r="X677" s="420" t="s">
        <v>5821</v>
      </c>
      <c r="Y677" s="420" t="s">
        <v>5822</v>
      </c>
      <c r="Z677" s="421" t="s">
        <v>5823</v>
      </c>
    </row>
    <row r="678" spans="2:26" ht="12.75" customHeight="1" x14ac:dyDescent="0.2">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5824</v>
      </c>
      <c r="W678" s="420" t="s">
        <v>5825</v>
      </c>
      <c r="X678" s="420" t="s">
        <v>5826</v>
      </c>
      <c r="Y678" s="420" t="s">
        <v>5827</v>
      </c>
      <c r="Z678" s="421" t="s">
        <v>5828</v>
      </c>
    </row>
    <row r="679" spans="2:26" ht="12.75" customHeight="1" x14ac:dyDescent="0.2">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5829</v>
      </c>
      <c r="W679" s="420" t="s">
        <v>5830</v>
      </c>
      <c r="X679" s="420" t="s">
        <v>5831</v>
      </c>
      <c r="Y679" s="420" t="s">
        <v>5832</v>
      </c>
      <c r="Z679" s="421" t="s">
        <v>5833</v>
      </c>
    </row>
    <row r="680" spans="2:26" ht="12.75" customHeight="1" thickBot="1" x14ac:dyDescent="0.25">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5834</v>
      </c>
      <c r="W680" s="435" t="s">
        <v>5835</v>
      </c>
      <c r="X680" s="435" t="s">
        <v>5836</v>
      </c>
      <c r="Y680" s="435" t="s">
        <v>5837</v>
      </c>
      <c r="Z680" s="436" t="s">
        <v>5838</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684" t="s">
        <v>2643</v>
      </c>
      <c r="D2" s="4685"/>
      <c r="E2" s="4685"/>
      <c r="F2" s="4685"/>
      <c r="G2" s="4686"/>
      <c r="I2" s="5902" t="s">
        <v>2644</v>
      </c>
      <c r="J2" s="5903"/>
      <c r="L2" s="5905" t="s">
        <v>2645</v>
      </c>
    </row>
    <row r="3" spans="1:14" x14ac:dyDescent="0.2">
      <c r="A3" s="297">
        <v>3</v>
      </c>
      <c r="C3" s="5902"/>
      <c r="D3" s="5903"/>
      <c r="E3" s="5903"/>
      <c r="F3" s="5903"/>
      <c r="G3" s="5904"/>
      <c r="I3" s="5902"/>
      <c r="J3" s="5903"/>
      <c r="L3" s="5906"/>
    </row>
    <row r="4" spans="1:14" ht="13.5" thickBot="1" x14ac:dyDescent="0.25">
      <c r="A4" s="297">
        <v>4</v>
      </c>
      <c r="C4" s="298" t="s">
        <v>2646</v>
      </c>
      <c r="D4" s="873" t="s">
        <v>2647</v>
      </c>
      <c r="E4" s="874" t="s">
        <v>2648</v>
      </c>
      <c r="F4" s="874" t="s">
        <v>2649</v>
      </c>
      <c r="G4" s="875" t="s">
        <v>1449</v>
      </c>
      <c r="I4" s="299" t="s">
        <v>2650</v>
      </c>
      <c r="J4" s="300" t="s">
        <v>2651</v>
      </c>
      <c r="L4" s="301" t="s">
        <v>1389</v>
      </c>
    </row>
    <row r="5" spans="1:14" ht="13.5" thickTop="1" x14ac:dyDescent="0.2">
      <c r="A5" s="297">
        <v>5</v>
      </c>
      <c r="C5" s="876" t="s">
        <v>1612</v>
      </c>
      <c r="D5" s="877" t="s">
        <v>2652</v>
      </c>
      <c r="E5" s="878" t="s">
        <v>2653</v>
      </c>
      <c r="F5" s="878" t="s">
        <v>2654</v>
      </c>
      <c r="G5" s="879" t="s">
        <v>2655</v>
      </c>
      <c r="I5" s="302">
        <v>0</v>
      </c>
      <c r="J5" s="303">
        <v>20</v>
      </c>
      <c r="L5" s="2546" t="s">
        <v>2121</v>
      </c>
    </row>
    <row r="6" spans="1:14" ht="13.5" thickBot="1" x14ac:dyDescent="0.25">
      <c r="A6" s="297">
        <v>6</v>
      </c>
      <c r="C6" s="880" t="s">
        <v>1615</v>
      </c>
      <c r="D6" s="881" t="s">
        <v>2657</v>
      </c>
      <c r="E6" s="882" t="s">
        <v>2658</v>
      </c>
      <c r="F6" s="882" t="s">
        <v>2659</v>
      </c>
      <c r="G6" s="883" t="s">
        <v>2660</v>
      </c>
      <c r="I6" s="304">
        <v>50</v>
      </c>
      <c r="J6" s="305">
        <v>30</v>
      </c>
      <c r="L6" s="2547" t="s">
        <v>9913</v>
      </c>
    </row>
    <row r="7" spans="1:14" x14ac:dyDescent="0.2">
      <c r="A7" s="297">
        <v>7</v>
      </c>
      <c r="C7" s="884" t="s">
        <v>1619</v>
      </c>
      <c r="D7" s="885" t="s">
        <v>2661</v>
      </c>
      <c r="E7" s="882" t="s">
        <v>2662</v>
      </c>
      <c r="F7" s="882" t="s">
        <v>2663</v>
      </c>
      <c r="G7" s="883" t="s">
        <v>2664</v>
      </c>
      <c r="I7" s="304">
        <v>100</v>
      </c>
      <c r="J7" s="305">
        <v>40</v>
      </c>
    </row>
    <row r="8" spans="1:14" x14ac:dyDescent="0.2">
      <c r="A8" s="297">
        <v>8</v>
      </c>
      <c r="C8" s="880" t="s">
        <v>1713</v>
      </c>
      <c r="D8" s="881" t="s">
        <v>2665</v>
      </c>
      <c r="E8" s="882" t="s">
        <v>2666</v>
      </c>
      <c r="F8" s="882" t="s">
        <v>2667</v>
      </c>
      <c r="G8" s="883" t="s">
        <v>2668</v>
      </c>
      <c r="I8" s="302">
        <v>150</v>
      </c>
      <c r="J8" s="303">
        <v>50</v>
      </c>
    </row>
    <row r="9" spans="1:14" x14ac:dyDescent="0.2">
      <c r="A9" s="297">
        <v>9</v>
      </c>
      <c r="C9" s="884" t="s">
        <v>1708</v>
      </c>
      <c r="D9" s="885" t="s">
        <v>2669</v>
      </c>
      <c r="E9" s="882" t="s">
        <v>2670</v>
      </c>
      <c r="F9" s="882" t="s">
        <v>2671</v>
      </c>
      <c r="G9" s="883" t="s">
        <v>2672</v>
      </c>
      <c r="I9" s="304">
        <v>200</v>
      </c>
      <c r="J9" s="305">
        <v>60</v>
      </c>
    </row>
    <row r="10" spans="1:14" x14ac:dyDescent="0.2">
      <c r="A10" s="297">
        <v>10</v>
      </c>
      <c r="C10" s="880" t="s">
        <v>1709</v>
      </c>
      <c r="D10" s="881" t="s">
        <v>2673</v>
      </c>
      <c r="E10" s="882" t="s">
        <v>2674</v>
      </c>
      <c r="F10" s="882" t="s">
        <v>2675</v>
      </c>
      <c r="G10" s="883" t="s">
        <v>2676</v>
      </c>
      <c r="I10" s="304">
        <v>250</v>
      </c>
      <c r="J10" s="305">
        <v>70</v>
      </c>
    </row>
    <row r="11" spans="1:14" x14ac:dyDescent="0.2">
      <c r="A11" s="297">
        <v>11</v>
      </c>
      <c r="C11" s="884" t="s">
        <v>2677</v>
      </c>
      <c r="D11" s="885" t="s">
        <v>2678</v>
      </c>
      <c r="E11" s="882" t="s">
        <v>2679</v>
      </c>
      <c r="F11" s="882" t="s">
        <v>2680</v>
      </c>
      <c r="G11" s="883" t="s">
        <v>2681</v>
      </c>
      <c r="I11" s="302">
        <v>300</v>
      </c>
      <c r="J11" s="303">
        <v>80</v>
      </c>
    </row>
    <row r="12" spans="1:14" ht="13.5" thickBot="1" x14ac:dyDescent="0.25">
      <c r="A12" s="297">
        <v>12</v>
      </c>
      <c r="C12" s="886" t="s">
        <v>1720</v>
      </c>
      <c r="D12" s="887" t="s">
        <v>2682</v>
      </c>
      <c r="E12" s="888" t="s">
        <v>2683</v>
      </c>
      <c r="F12" s="888" t="s">
        <v>2684</v>
      </c>
      <c r="G12" s="872" t="s">
        <v>2685</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684" t="s">
        <v>2288</v>
      </c>
      <c r="D15" s="4686"/>
      <c r="F15" s="4684" t="s">
        <v>2686</v>
      </c>
      <c r="G15" s="4685"/>
      <c r="H15" s="4685"/>
      <c r="I15" s="4685"/>
      <c r="J15" s="4685"/>
      <c r="K15" s="4685"/>
      <c r="L15" s="4685"/>
      <c r="M15" s="4685"/>
      <c r="N15" s="4686"/>
    </row>
    <row r="16" spans="1:14" x14ac:dyDescent="0.2">
      <c r="A16" s="297">
        <v>16</v>
      </c>
      <c r="C16" s="5902"/>
      <c r="D16" s="5904"/>
      <c r="F16" s="5902"/>
      <c r="G16" s="5903"/>
      <c r="H16" s="5903"/>
      <c r="I16" s="5903"/>
      <c r="J16" s="5903"/>
      <c r="K16" s="5903"/>
      <c r="L16" s="5903"/>
      <c r="M16" s="5903"/>
      <c r="N16" s="5904"/>
    </row>
    <row r="17" spans="1:14" x14ac:dyDescent="0.2">
      <c r="A17" s="297">
        <v>17</v>
      </c>
      <c r="C17" s="311" t="s">
        <v>1449</v>
      </c>
      <c r="D17" s="309" t="s">
        <v>2289</v>
      </c>
      <c r="E17" s="310">
        <v>1</v>
      </c>
      <c r="F17" s="311"/>
      <c r="G17" s="312" t="s">
        <v>1612</v>
      </c>
      <c r="H17" s="313" t="s">
        <v>1615</v>
      </c>
      <c r="I17" s="314" t="s">
        <v>1619</v>
      </c>
      <c r="J17" s="313" t="s">
        <v>1713</v>
      </c>
      <c r="K17" s="314" t="s">
        <v>1708</v>
      </c>
      <c r="L17" s="313" t="s">
        <v>1709</v>
      </c>
      <c r="M17" s="314" t="s">
        <v>2677</v>
      </c>
      <c r="N17" s="315" t="s">
        <v>1720</v>
      </c>
    </row>
    <row r="18" spans="1:14" x14ac:dyDescent="0.2">
      <c r="A18" s="297">
        <v>18</v>
      </c>
      <c r="C18" s="662" t="s">
        <v>2687</v>
      </c>
      <c r="D18" s="316">
        <f>COUNTIF(Sheele!$C$33:$J$36,C18)</f>
        <v>0</v>
      </c>
      <c r="E18" s="310">
        <v>2</v>
      </c>
      <c r="F18" s="317" t="s">
        <v>2688</v>
      </c>
      <c r="G18" s="318">
        <v>8</v>
      </c>
      <c r="H18" s="318">
        <v>8</v>
      </c>
      <c r="I18" s="318">
        <v>6</v>
      </c>
      <c r="J18" s="318">
        <v>6</v>
      </c>
      <c r="K18" s="318">
        <v>5</v>
      </c>
      <c r="L18" s="319">
        <v>5</v>
      </c>
      <c r="M18" s="318">
        <v>7</v>
      </c>
      <c r="N18" s="303">
        <v>6</v>
      </c>
    </row>
    <row r="19" spans="1:14" x14ac:dyDescent="0.2">
      <c r="A19" s="297">
        <v>19</v>
      </c>
      <c r="C19" s="662" t="s">
        <v>2689</v>
      </c>
      <c r="D19" s="316">
        <f>COUNTIF(Sheele!$C$33:$J$36,C19)</f>
        <v>0</v>
      </c>
      <c r="E19" s="310">
        <v>3</v>
      </c>
      <c r="F19" s="317" t="s">
        <v>2690</v>
      </c>
      <c r="G19" s="318">
        <v>2</v>
      </c>
      <c r="H19" s="318">
        <v>3</v>
      </c>
      <c r="I19" s="318">
        <v>4</v>
      </c>
      <c r="J19" s="318">
        <v>5</v>
      </c>
      <c r="K19" s="318">
        <v>2</v>
      </c>
      <c r="L19" s="319">
        <v>2</v>
      </c>
      <c r="M19" s="318">
        <v>3</v>
      </c>
      <c r="N19" s="303">
        <v>2</v>
      </c>
    </row>
    <row r="20" spans="1:14" x14ac:dyDescent="0.2">
      <c r="A20" s="297">
        <v>20</v>
      </c>
      <c r="C20" s="662" t="s">
        <v>2691</v>
      </c>
      <c r="D20" s="316">
        <f>COUNTIF(Sheele!$C$33:$J$36,C20)</f>
        <v>0</v>
      </c>
      <c r="E20" s="310">
        <v>4</v>
      </c>
      <c r="F20" s="317" t="s">
        <v>2692</v>
      </c>
      <c r="G20" s="318">
        <v>8</v>
      </c>
      <c r="H20" s="318">
        <v>6</v>
      </c>
      <c r="I20" s="318">
        <v>5</v>
      </c>
      <c r="J20" s="318">
        <v>6</v>
      </c>
      <c r="K20" s="318">
        <v>6</v>
      </c>
      <c r="L20" s="319">
        <v>6</v>
      </c>
      <c r="M20" s="318">
        <v>6</v>
      </c>
      <c r="N20" s="303">
        <v>8</v>
      </c>
    </row>
    <row r="21" spans="1:14" x14ac:dyDescent="0.2">
      <c r="A21" s="297">
        <v>21</v>
      </c>
      <c r="C21" s="662" t="s">
        <v>2693</v>
      </c>
      <c r="D21" s="316">
        <f>COUNTIF(Sheele!$C$33:$J$36,C21)</f>
        <v>0</v>
      </c>
      <c r="E21" s="310">
        <v>5</v>
      </c>
      <c r="F21" s="317" t="s">
        <v>2694</v>
      </c>
      <c r="G21" s="318">
        <v>2</v>
      </c>
      <c r="H21" s="318">
        <v>3</v>
      </c>
      <c r="I21" s="318">
        <v>4</v>
      </c>
      <c r="J21" s="318">
        <v>6</v>
      </c>
      <c r="K21" s="318">
        <v>2</v>
      </c>
      <c r="L21" s="319">
        <v>2</v>
      </c>
      <c r="M21" s="318">
        <v>4</v>
      </c>
      <c r="N21" s="303">
        <v>2</v>
      </c>
    </row>
    <row r="22" spans="1:14" x14ac:dyDescent="0.2">
      <c r="A22" s="297">
        <v>22</v>
      </c>
      <c r="C22" s="662" t="s">
        <v>2695</v>
      </c>
      <c r="D22" s="316">
        <f>COUNTIF(Sheele!$C$33:$J$36,C22)</f>
        <v>0</v>
      </c>
      <c r="E22" s="310">
        <v>6</v>
      </c>
      <c r="F22" s="317" t="s">
        <v>2696</v>
      </c>
      <c r="G22" s="318">
        <v>8</v>
      </c>
      <c r="H22" s="318">
        <v>8</v>
      </c>
      <c r="I22" s="318">
        <v>7</v>
      </c>
      <c r="J22" s="318">
        <v>6</v>
      </c>
      <c r="K22" s="318">
        <v>9</v>
      </c>
      <c r="L22" s="319">
        <v>9</v>
      </c>
      <c r="M22" s="318">
        <v>7</v>
      </c>
      <c r="N22" s="303">
        <v>9</v>
      </c>
    </row>
    <row r="23" spans="1:14" x14ac:dyDescent="0.2">
      <c r="A23" s="297">
        <v>23</v>
      </c>
      <c r="C23" s="662" t="s">
        <v>2697</v>
      </c>
      <c r="D23" s="316">
        <f>COUNTIF(Sheele!$C$33:$J$36,C23)</f>
        <v>0</v>
      </c>
      <c r="E23" s="310">
        <v>7</v>
      </c>
      <c r="F23" s="317" t="s">
        <v>2698</v>
      </c>
      <c r="G23" s="318">
        <v>6</v>
      </c>
      <c r="H23" s="318">
        <v>6</v>
      </c>
      <c r="I23" s="318">
        <v>5</v>
      </c>
      <c r="J23" s="318">
        <v>6</v>
      </c>
      <c r="K23" s="318">
        <v>7</v>
      </c>
      <c r="L23" s="319">
        <v>7</v>
      </c>
      <c r="M23" s="318">
        <v>8</v>
      </c>
      <c r="N23" s="303">
        <v>10</v>
      </c>
    </row>
    <row r="24" spans="1:14" x14ac:dyDescent="0.2">
      <c r="A24" s="297">
        <v>24</v>
      </c>
      <c r="C24" s="662" t="s">
        <v>2699</v>
      </c>
      <c r="D24" s="316">
        <f>COUNTIF(Sheele!$C$33:$J$36,C24)</f>
        <v>0</v>
      </c>
      <c r="E24" s="310">
        <v>8</v>
      </c>
      <c r="F24" s="317" t="s">
        <v>2700</v>
      </c>
      <c r="G24" s="318">
        <v>8</v>
      </c>
      <c r="H24" s="318">
        <v>8</v>
      </c>
      <c r="I24" s="318">
        <v>8</v>
      </c>
      <c r="J24" s="318">
        <v>8</v>
      </c>
      <c r="K24" s="318">
        <v>9</v>
      </c>
      <c r="L24" s="319">
        <v>9</v>
      </c>
      <c r="M24" s="318">
        <v>8</v>
      </c>
      <c r="N24" s="303">
        <v>8</v>
      </c>
    </row>
    <row r="25" spans="1:14" ht="13.5" thickBot="1" x14ac:dyDescent="0.25">
      <c r="A25" s="297">
        <v>25</v>
      </c>
      <c r="C25" s="663" t="s">
        <v>2701</v>
      </c>
      <c r="D25" s="320">
        <f>COUNTIF(Sheele!$C$33:$J$36,C25)</f>
        <v>0</v>
      </c>
      <c r="E25" s="310">
        <v>9</v>
      </c>
      <c r="F25" s="321" t="s">
        <v>2702</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684" t="s">
        <v>2703</v>
      </c>
      <c r="D27" s="4685"/>
      <c r="E27" s="4685"/>
      <c r="F27" s="4685"/>
      <c r="G27" s="4685"/>
      <c r="H27" s="4685"/>
      <c r="I27" s="4685"/>
      <c r="J27" s="4685"/>
      <c r="K27" s="4686"/>
    </row>
    <row r="28" spans="1:14" ht="12.75" customHeight="1" thickBot="1" x14ac:dyDescent="0.25">
      <c r="A28" s="297">
        <v>28</v>
      </c>
      <c r="C28" s="4687"/>
      <c r="D28" s="4688"/>
      <c r="E28" s="4688"/>
      <c r="F28" s="4688"/>
      <c r="G28" s="4688"/>
      <c r="H28" s="4688"/>
      <c r="I28" s="4688"/>
      <c r="J28" s="4688"/>
      <c r="K28" s="4689"/>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2677</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6431</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2639</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6432</v>
      </c>
      <c r="D77" s="530"/>
      <c r="E77" s="530"/>
      <c r="F77" s="530"/>
      <c r="G77" s="530"/>
      <c r="H77" s="530"/>
      <c r="I77" s="530"/>
      <c r="J77" s="530"/>
      <c r="K77" s="531"/>
    </row>
    <row r="78" spans="1:11" x14ac:dyDescent="0.2">
      <c r="A78" s="297">
        <v>78</v>
      </c>
      <c r="B78" s="540">
        <v>50</v>
      </c>
      <c r="C78" s="522" t="s">
        <v>6433</v>
      </c>
      <c r="D78" s="532"/>
      <c r="E78" s="532"/>
      <c r="F78" s="532"/>
      <c r="G78" s="532"/>
      <c r="H78" s="532"/>
      <c r="I78" s="532"/>
      <c r="J78" s="532"/>
      <c r="K78" s="533"/>
    </row>
    <row r="79" spans="1:11" x14ac:dyDescent="0.2">
      <c r="A79" s="297">
        <v>79</v>
      </c>
      <c r="B79" s="540">
        <v>51</v>
      </c>
      <c r="C79" s="523" t="s">
        <v>6434</v>
      </c>
      <c r="D79" s="530"/>
      <c r="E79" s="530"/>
      <c r="F79" s="530"/>
      <c r="G79" s="530"/>
      <c r="H79" s="530"/>
      <c r="I79" s="530"/>
      <c r="J79" s="530"/>
      <c r="K79" s="531"/>
    </row>
    <row r="80" spans="1:11" x14ac:dyDescent="0.2">
      <c r="A80" s="297">
        <v>80</v>
      </c>
      <c r="B80" s="540">
        <v>52</v>
      </c>
      <c r="C80" s="522" t="s">
        <v>6435</v>
      </c>
      <c r="D80" s="532"/>
      <c r="E80" s="532"/>
      <c r="F80" s="532"/>
      <c r="G80" s="532"/>
      <c r="H80" s="532"/>
      <c r="I80" s="532"/>
      <c r="J80" s="532"/>
      <c r="K80" s="533"/>
    </row>
    <row r="81" spans="1:18" x14ac:dyDescent="0.2">
      <c r="A81" s="297">
        <v>81</v>
      </c>
      <c r="B81" s="540">
        <v>53</v>
      </c>
      <c r="C81" s="526" t="str">
        <f>IF(PDs!E177="","",PDs!E177)</f>
        <v>Prueba</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909" t="s">
        <v>2704</v>
      </c>
      <c r="D89" s="5910"/>
      <c r="E89" s="5910"/>
      <c r="F89" s="5910"/>
      <c r="G89" s="327" t="s">
        <v>2705</v>
      </c>
      <c r="H89" s="328"/>
      <c r="I89" s="329"/>
      <c r="J89" s="329"/>
      <c r="K89" s="329"/>
      <c r="L89" s="329"/>
      <c r="M89" s="329"/>
      <c r="N89" s="329"/>
      <c r="O89" s="329"/>
      <c r="P89" s="329"/>
      <c r="Q89" s="329"/>
      <c r="R89" s="5896" t="s">
        <v>2706</v>
      </c>
    </row>
    <row r="90" spans="1:18" ht="13.5" thickBot="1" x14ac:dyDescent="0.25">
      <c r="C90" s="5898" t="s">
        <v>2707</v>
      </c>
      <c r="D90" s="5898"/>
      <c r="E90" s="5898"/>
      <c r="F90" s="331" t="s">
        <v>2289</v>
      </c>
      <c r="G90" s="330" t="s">
        <v>2708</v>
      </c>
      <c r="H90" s="331" t="s">
        <v>2709</v>
      </c>
      <c r="I90" s="308"/>
      <c r="J90" s="308"/>
      <c r="K90" s="308"/>
      <c r="L90" s="5899" t="s">
        <v>1558</v>
      </c>
      <c r="M90" s="5899"/>
      <c r="N90" s="5899"/>
      <c r="O90" s="5899"/>
      <c r="P90" s="5899"/>
      <c r="Q90" s="5899"/>
      <c r="R90" s="5897"/>
    </row>
    <row r="91" spans="1:18" x14ac:dyDescent="0.2">
      <c r="B91" s="332">
        <f>H91</f>
        <v>0</v>
      </c>
      <c r="C91" s="733" t="s">
        <v>2710</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2711</v>
      </c>
      <c r="D92" s="333" t="s">
        <v>2711</v>
      </c>
      <c r="E92" s="333"/>
      <c r="F92" s="334">
        <f>COUNTIF(Sheele!$C$20:$F$31,C92)</f>
        <v>0</v>
      </c>
      <c r="G92" s="318">
        <v>1</v>
      </c>
      <c r="H92" s="318">
        <f>IF(OR($F92=0,$G92=0),0,MAX($H$91:H91)+1)</f>
        <v>0</v>
      </c>
      <c r="I92" s="318" t="s">
        <v>1464</v>
      </c>
      <c r="J92" s="726" t="s">
        <v>1464</v>
      </c>
      <c r="K92" s="318" t="s">
        <v>1464</v>
      </c>
      <c r="L92" s="5900" t="s">
        <v>2712</v>
      </c>
      <c r="M92" s="5901"/>
      <c r="N92" s="5901"/>
      <c r="O92" s="5901"/>
      <c r="P92" s="5901"/>
      <c r="Q92" s="5901"/>
      <c r="R92" s="738" t="s">
        <v>1464</v>
      </c>
    </row>
    <row r="93" spans="1:18" x14ac:dyDescent="0.2">
      <c r="B93" s="335">
        <f t="shared" si="0"/>
        <v>0</v>
      </c>
      <c r="C93" s="333" t="s">
        <v>2713</v>
      </c>
      <c r="D93" s="333" t="s">
        <v>2713</v>
      </c>
      <c r="E93" s="333"/>
      <c r="F93" s="334">
        <f>COUNTIF(Sheele!$C$20:$F$31,C93)</f>
        <v>0</v>
      </c>
      <c r="G93" s="318">
        <v>1</v>
      </c>
      <c r="H93" s="318">
        <f>IF(OR($F93=0,$G93=0),0,MAX($H$91:H92)+1)</f>
        <v>0</v>
      </c>
      <c r="I93" s="318" t="s">
        <v>1464</v>
      </c>
      <c r="J93" s="318" t="s">
        <v>1464</v>
      </c>
      <c r="K93" s="318" t="s">
        <v>1464</v>
      </c>
      <c r="L93" s="5900" t="s">
        <v>2714</v>
      </c>
      <c r="M93" s="5901"/>
      <c r="N93" s="5901"/>
      <c r="O93" s="5901"/>
      <c r="P93" s="5901"/>
      <c r="Q93" s="5901"/>
      <c r="R93" s="738" t="s">
        <v>1464</v>
      </c>
    </row>
    <row r="94" spans="1:18" x14ac:dyDescent="0.2">
      <c r="B94" s="335">
        <f t="shared" si="0"/>
        <v>0</v>
      </c>
      <c r="C94" s="333" t="s">
        <v>2715</v>
      </c>
      <c r="D94" s="358" t="s">
        <v>8949</v>
      </c>
      <c r="E94" s="333"/>
      <c r="F94" s="334">
        <f>COUNTIF(Sheele!$C$20:$F$31,C94)</f>
        <v>0</v>
      </c>
      <c r="G94" s="318">
        <v>1</v>
      </c>
      <c r="H94" s="318">
        <f>IF(OR($F94=0,$G94=0),0,MAX($H$91:H93)+1)</f>
        <v>0</v>
      </c>
      <c r="I94" s="318" t="s">
        <v>1464</v>
      </c>
      <c r="J94" s="726" t="s">
        <v>1464</v>
      </c>
      <c r="K94" s="318" t="s">
        <v>1464</v>
      </c>
      <c r="L94" s="5900" t="s">
        <v>2716</v>
      </c>
      <c r="M94" s="5901"/>
      <c r="N94" s="5901"/>
      <c r="O94" s="5901"/>
      <c r="P94" s="5901"/>
      <c r="Q94" s="5901"/>
      <c r="R94" s="738" t="s">
        <v>1464</v>
      </c>
    </row>
    <row r="95" spans="1:18" x14ac:dyDescent="0.2">
      <c r="B95" s="335">
        <f t="shared" si="0"/>
        <v>0</v>
      </c>
      <c r="C95" s="333" t="s">
        <v>2717</v>
      </c>
      <c r="D95" s="333" t="s">
        <v>2717</v>
      </c>
      <c r="E95" s="333"/>
      <c r="F95" s="334">
        <f>COUNTIF(Sheele!$C$20:$F$31,C95)</f>
        <v>0</v>
      </c>
      <c r="G95" s="318">
        <v>1</v>
      </c>
      <c r="H95" s="318">
        <f>IF(OR($F95=0,$G95=0),0,MAX($H$91:H94)+1)</f>
        <v>0</v>
      </c>
      <c r="I95" s="318" t="s">
        <v>1464</v>
      </c>
      <c r="J95" s="726" t="s">
        <v>1464</v>
      </c>
      <c r="K95" s="318" t="s">
        <v>1464</v>
      </c>
      <c r="L95" s="5907" t="s">
        <v>9942</v>
      </c>
      <c r="M95" s="5901"/>
      <c r="N95" s="5901"/>
      <c r="O95" s="5901"/>
      <c r="P95" s="5901"/>
      <c r="Q95" s="5901"/>
      <c r="R95" s="738" t="s">
        <v>1464</v>
      </c>
    </row>
    <row r="96" spans="1:18" x14ac:dyDescent="0.2">
      <c r="B96" s="335">
        <f t="shared" si="0"/>
        <v>0</v>
      </c>
      <c r="C96" s="333" t="s">
        <v>2718</v>
      </c>
      <c r="D96" s="333" t="s">
        <v>2718</v>
      </c>
      <c r="E96" s="333"/>
      <c r="F96" s="334">
        <f>COUNTIF(Sheele!$C$20:$F$31,C96)</f>
        <v>0</v>
      </c>
      <c r="G96" s="318">
        <v>1</v>
      </c>
      <c r="H96" s="318">
        <f>IF(OR($F96=0,$G96=0),0,MAX($H$91:H95)+1)</f>
        <v>0</v>
      </c>
      <c r="I96" s="318" t="s">
        <v>1464</v>
      </c>
      <c r="J96" s="318" t="s">
        <v>1464</v>
      </c>
      <c r="K96" s="318" t="s">
        <v>1464</v>
      </c>
      <c r="L96" s="5908" t="s">
        <v>9943</v>
      </c>
      <c r="M96" s="5901"/>
      <c r="N96" s="5901"/>
      <c r="O96" s="5901"/>
      <c r="P96" s="5901"/>
      <c r="Q96" s="5901"/>
      <c r="R96" s="738" t="s">
        <v>1464</v>
      </c>
    </row>
    <row r="97" spans="2:18" x14ac:dyDescent="0.2">
      <c r="B97" s="335">
        <f t="shared" si="0"/>
        <v>0</v>
      </c>
      <c r="C97" s="333" t="s">
        <v>2719</v>
      </c>
      <c r="D97" s="333"/>
      <c r="E97" s="333"/>
      <c r="F97" s="334"/>
      <c r="G97" s="318"/>
      <c r="H97" s="318"/>
      <c r="I97" s="318" t="s">
        <v>1464</v>
      </c>
      <c r="J97" s="726" t="s">
        <v>1464</v>
      </c>
      <c r="K97" s="318" t="s">
        <v>1464</v>
      </c>
      <c r="L97" s="5900"/>
      <c r="M97" s="5901"/>
      <c r="N97" s="5901"/>
      <c r="O97" s="5901"/>
      <c r="P97" s="5901"/>
      <c r="Q97" s="5901"/>
      <c r="R97" s="739"/>
    </row>
    <row r="98" spans="2:18" x14ac:dyDescent="0.2">
      <c r="B98" s="335">
        <f t="shared" si="0"/>
        <v>0</v>
      </c>
      <c r="C98" s="333" t="s">
        <v>2720</v>
      </c>
      <c r="D98" s="333" t="s">
        <v>2720</v>
      </c>
      <c r="E98" s="333"/>
      <c r="F98" s="334">
        <f>COUNTIF(Sheele!$C$20:$F$31,C98)</f>
        <v>0</v>
      </c>
      <c r="G98" s="318"/>
      <c r="H98" s="318">
        <f>IF(OR($F98=0,$G98=0),0,MAX($H$91:H97)+1)</f>
        <v>0</v>
      </c>
      <c r="I98" s="318" t="s">
        <v>1464</v>
      </c>
      <c r="J98" s="318" t="s">
        <v>1464</v>
      </c>
      <c r="K98" s="318" t="s">
        <v>1464</v>
      </c>
      <c r="L98" s="5907" t="s">
        <v>9944</v>
      </c>
      <c r="M98" s="5901"/>
      <c r="N98" s="5901"/>
      <c r="O98" s="5901"/>
      <c r="P98" s="5901"/>
      <c r="Q98" s="5901"/>
      <c r="R98" s="739"/>
    </row>
    <row r="99" spans="2:18" x14ac:dyDescent="0.2">
      <c r="B99" s="335">
        <f t="shared" si="0"/>
        <v>0</v>
      </c>
      <c r="C99" s="333" t="s">
        <v>2721</v>
      </c>
      <c r="D99" s="333" t="s">
        <v>2721</v>
      </c>
      <c r="E99" s="333"/>
      <c r="F99" s="334">
        <f>COUNTIF(Sheele!$C$20:$F$31,C99)</f>
        <v>0</v>
      </c>
      <c r="G99" s="318"/>
      <c r="H99" s="318">
        <f>IF(OR($F99=0,$G99=0),0,MAX($H$91:H98)+1)</f>
        <v>0</v>
      </c>
      <c r="I99" s="318" t="s">
        <v>1464</v>
      </c>
      <c r="J99" s="318" t="s">
        <v>1464</v>
      </c>
      <c r="K99" s="318" t="s">
        <v>1464</v>
      </c>
      <c r="L99" s="5907" t="s">
        <v>9945</v>
      </c>
      <c r="M99" s="5901"/>
      <c r="N99" s="5901"/>
      <c r="O99" s="5901"/>
      <c r="P99" s="5901"/>
      <c r="Q99" s="5901"/>
      <c r="R99" s="739"/>
    </row>
    <row r="100" spans="2:18" x14ac:dyDescent="0.2">
      <c r="B100" s="335">
        <f t="shared" si="0"/>
        <v>0</v>
      </c>
      <c r="C100" s="333" t="s">
        <v>2722</v>
      </c>
      <c r="D100" s="333" t="s">
        <v>2722</v>
      </c>
      <c r="E100" s="333"/>
      <c r="F100" s="334">
        <f>COUNTIF(Sheele!$C$20:$F$31,C100)</f>
        <v>0</v>
      </c>
      <c r="G100" s="318"/>
      <c r="H100" s="318">
        <f>IF(OR($F100=0,$G100=0),0,MAX($H$91:H99)+1)</f>
        <v>0</v>
      </c>
      <c r="I100" s="318" t="s">
        <v>1464</v>
      </c>
      <c r="J100" s="726" t="s">
        <v>1464</v>
      </c>
      <c r="K100" s="318" t="s">
        <v>1464</v>
      </c>
      <c r="L100" s="5900" t="s">
        <v>2723</v>
      </c>
      <c r="M100" s="5901"/>
      <c r="N100" s="5901"/>
      <c r="O100" s="5901"/>
      <c r="P100" s="5901"/>
      <c r="Q100" s="5901"/>
      <c r="R100" s="739"/>
    </row>
    <row r="101" spans="2:18" x14ac:dyDescent="0.2">
      <c r="B101" s="335">
        <f t="shared" si="0"/>
        <v>0</v>
      </c>
      <c r="C101" s="333" t="s">
        <v>2724</v>
      </c>
      <c r="D101" s="333" t="s">
        <v>2724</v>
      </c>
      <c r="E101" s="336"/>
      <c r="F101" s="334">
        <f>COUNTIF(Sheele!$C$20:$F$31,C101)</f>
        <v>0</v>
      </c>
      <c r="G101" s="318"/>
      <c r="H101" s="318">
        <f>IF(OR($F101=0,$G101=0),0,MAX($H$91:H100)+1)</f>
        <v>0</v>
      </c>
      <c r="I101" s="318" t="s">
        <v>1464</v>
      </c>
      <c r="J101" s="726" t="s">
        <v>1464</v>
      </c>
      <c r="K101" s="318" t="s">
        <v>1464</v>
      </c>
      <c r="L101" s="5915" t="s">
        <v>2725</v>
      </c>
      <c r="M101" s="5901"/>
      <c r="N101" s="5901"/>
      <c r="O101" s="5901"/>
      <c r="P101" s="5901"/>
      <c r="Q101" s="5901"/>
      <c r="R101" s="739"/>
    </row>
    <row r="102" spans="2:18" x14ac:dyDescent="0.2">
      <c r="B102" s="335">
        <f t="shared" si="0"/>
        <v>0</v>
      </c>
      <c r="C102" s="333" t="s">
        <v>2726</v>
      </c>
      <c r="D102" s="333"/>
      <c r="E102" s="333"/>
      <c r="F102" s="334"/>
      <c r="G102" s="318"/>
      <c r="H102" s="318"/>
      <c r="I102" s="318" t="s">
        <v>1464</v>
      </c>
      <c r="J102" s="318" t="s">
        <v>1464</v>
      </c>
      <c r="K102" s="318" t="s">
        <v>1464</v>
      </c>
      <c r="L102" s="5900"/>
      <c r="M102" s="5901"/>
      <c r="N102" s="5901"/>
      <c r="O102" s="5901"/>
      <c r="P102" s="5901"/>
      <c r="Q102" s="5901"/>
      <c r="R102" s="739"/>
    </row>
    <row r="103" spans="2:18" x14ac:dyDescent="0.2">
      <c r="B103" s="335">
        <f t="shared" si="0"/>
        <v>0</v>
      </c>
      <c r="C103" s="333" t="s">
        <v>2727</v>
      </c>
      <c r="D103" s="333" t="s">
        <v>2727</v>
      </c>
      <c r="E103" s="333"/>
      <c r="F103" s="334">
        <f>COUNTIF(Sheele!$C$20:$F$31,C103)</f>
        <v>0</v>
      </c>
      <c r="G103" s="318"/>
      <c r="H103" s="318">
        <f>IF(OR($F103=0,$G103=0),0,MAX($H$91:H102)+1)</f>
        <v>0</v>
      </c>
      <c r="I103" s="318" t="s">
        <v>1464</v>
      </c>
      <c r="J103" s="726" t="s">
        <v>1464</v>
      </c>
      <c r="K103" s="318" t="s">
        <v>1464</v>
      </c>
      <c r="L103" s="5908" t="s">
        <v>9946</v>
      </c>
      <c r="M103" s="5901"/>
      <c r="N103" s="5901"/>
      <c r="O103" s="5901"/>
      <c r="P103" s="5901"/>
      <c r="Q103" s="5901"/>
      <c r="R103" s="738" t="s">
        <v>1464</v>
      </c>
    </row>
    <row r="104" spans="2:18" x14ac:dyDescent="0.2">
      <c r="B104" s="335">
        <f t="shared" si="0"/>
        <v>0</v>
      </c>
      <c r="C104" s="333" t="s">
        <v>2728</v>
      </c>
      <c r="D104" s="333" t="s">
        <v>2728</v>
      </c>
      <c r="E104" s="333"/>
      <c r="F104" s="334">
        <f>COUNTIF(Sheele!$C$20:$F$31,C104)</f>
        <v>0</v>
      </c>
      <c r="G104" s="318"/>
      <c r="H104" s="318">
        <f>IF(OR($F104=0,$G104=0),0,MAX($H$91:H103)+1)</f>
        <v>0</v>
      </c>
      <c r="I104" s="318" t="s">
        <v>1464</v>
      </c>
      <c r="J104" s="318" t="s">
        <v>1464</v>
      </c>
      <c r="K104" s="318" t="s">
        <v>1464</v>
      </c>
      <c r="L104" s="5915" t="s">
        <v>2729</v>
      </c>
      <c r="M104" s="5901"/>
      <c r="N104" s="5901"/>
      <c r="O104" s="5901"/>
      <c r="P104" s="5901"/>
      <c r="Q104" s="5901"/>
      <c r="R104" s="738" t="s">
        <v>1464</v>
      </c>
    </row>
    <row r="105" spans="2:18" x14ac:dyDescent="0.2">
      <c r="B105" s="335">
        <f t="shared" si="0"/>
        <v>0</v>
      </c>
      <c r="C105" s="333" t="s">
        <v>2730</v>
      </c>
      <c r="D105" s="333" t="s">
        <v>2730</v>
      </c>
      <c r="E105" s="333"/>
      <c r="F105" s="334">
        <f>COUNTIF(Sheele!$C$20:$F$31,C105)</f>
        <v>0</v>
      </c>
      <c r="G105" s="318"/>
      <c r="H105" s="318">
        <f>IF(OR($F105=0,$G105=0),0,MAX($H$91:H104)+1)</f>
        <v>0</v>
      </c>
      <c r="I105" s="318" t="s">
        <v>1464</v>
      </c>
      <c r="J105" s="726" t="s">
        <v>1464</v>
      </c>
      <c r="K105" s="318" t="s">
        <v>1464</v>
      </c>
      <c r="L105" s="5915" t="s">
        <v>2731</v>
      </c>
      <c r="M105" s="5901"/>
      <c r="N105" s="5901"/>
      <c r="O105" s="5901"/>
      <c r="P105" s="5901"/>
      <c r="Q105" s="5901"/>
      <c r="R105" s="738" t="s">
        <v>1464</v>
      </c>
    </row>
    <row r="106" spans="2:18" x14ac:dyDescent="0.2">
      <c r="B106" s="335">
        <f t="shared" si="0"/>
        <v>0</v>
      </c>
      <c r="C106" s="333" t="s">
        <v>2732</v>
      </c>
      <c r="D106" s="333"/>
      <c r="E106" s="333"/>
      <c r="F106" s="334"/>
      <c r="G106" s="318"/>
      <c r="H106" s="318"/>
      <c r="I106" s="318" t="s">
        <v>1464</v>
      </c>
      <c r="J106" s="318" t="s">
        <v>1464</v>
      </c>
      <c r="K106" s="318" t="s">
        <v>1464</v>
      </c>
      <c r="L106" s="5900"/>
      <c r="M106" s="5901"/>
      <c r="N106" s="5901"/>
      <c r="O106" s="5901"/>
      <c r="P106" s="5901"/>
      <c r="Q106" s="5901"/>
      <c r="R106" s="739"/>
    </row>
    <row r="107" spans="2:18" x14ac:dyDescent="0.2">
      <c r="B107" s="335">
        <f t="shared" si="0"/>
        <v>0</v>
      </c>
      <c r="C107" s="333" t="s">
        <v>2733</v>
      </c>
      <c r="D107" s="333" t="s">
        <v>2733</v>
      </c>
      <c r="E107" s="333"/>
      <c r="F107" s="334">
        <f>COUNTIF(Sheele!$C$20:$F$31,C107)</f>
        <v>0</v>
      </c>
      <c r="G107" s="318"/>
      <c r="H107" s="318">
        <f>IF(OR($F107=0,$G107=0),0,MAX($H$91:H106)+1)</f>
        <v>0</v>
      </c>
      <c r="I107" s="318" t="s">
        <v>1464</v>
      </c>
      <c r="J107" s="726" t="s">
        <v>1464</v>
      </c>
      <c r="K107" s="318" t="s">
        <v>1464</v>
      </c>
      <c r="L107" s="5900" t="str">
        <f>"Los puntos de vida se incrementan a Presencia·4 ("&amp;Sheele!N21*4&amp;")"</f>
        <v>Los puntos de vida se incrementan a Presencia·4 (120)</v>
      </c>
      <c r="M107" s="5901"/>
      <c r="N107" s="5901"/>
      <c r="O107" s="5901"/>
      <c r="P107" s="5901"/>
      <c r="Q107" s="5901"/>
      <c r="R107" s="738" t="s">
        <v>1464</v>
      </c>
    </row>
    <row r="108" spans="2:18" x14ac:dyDescent="0.2">
      <c r="B108" s="335">
        <f t="shared" si="0"/>
        <v>0</v>
      </c>
      <c r="C108" s="333" t="s">
        <v>2734</v>
      </c>
      <c r="D108" s="333" t="s">
        <v>2734</v>
      </c>
      <c r="E108" s="333"/>
      <c r="F108" s="334">
        <f>COUNTIF(Sheele!$C$20:$F$31,C108)</f>
        <v>0</v>
      </c>
      <c r="G108" s="318"/>
      <c r="H108" s="318">
        <f>IF(OR($F108=0,$G108=0),0,MAX($H$91:H107)+1)</f>
        <v>0</v>
      </c>
      <c r="I108" s="318" t="s">
        <v>1464</v>
      </c>
      <c r="J108" s="318" t="s">
        <v>1464</v>
      </c>
      <c r="K108" s="318" t="s">
        <v>1464</v>
      </c>
      <c r="L108" s="5915" t="s">
        <v>2735</v>
      </c>
      <c r="M108" s="5901"/>
      <c r="N108" s="5901"/>
      <c r="O108" s="5901"/>
      <c r="P108" s="5901"/>
      <c r="Q108" s="5901"/>
      <c r="R108" s="738" t="s">
        <v>1464</v>
      </c>
    </row>
    <row r="109" spans="2:18" ht="13.5" thickBot="1" x14ac:dyDescent="0.25">
      <c r="B109" s="335">
        <f t="shared" si="0"/>
        <v>0</v>
      </c>
      <c r="C109" s="333" t="s">
        <v>2736</v>
      </c>
      <c r="D109" s="333" t="s">
        <v>2736</v>
      </c>
      <c r="E109" s="333"/>
      <c r="F109" s="334">
        <f>COUNTIF(Sheele!$C$20:$F$31,C109)</f>
        <v>0</v>
      </c>
      <c r="G109" s="318"/>
      <c r="H109" s="318">
        <f>IF(OR($F109=0,$G109=0),0,MAX($H$91:H108)+1)</f>
        <v>0</v>
      </c>
      <c r="I109" s="318" t="s">
        <v>1464</v>
      </c>
      <c r="J109" s="726" t="s">
        <v>1464</v>
      </c>
      <c r="K109" s="318" t="s">
        <v>1464</v>
      </c>
      <c r="L109" s="5916" t="s">
        <v>2737</v>
      </c>
      <c r="M109" s="5917"/>
      <c r="N109" s="5917"/>
      <c r="O109" s="5917"/>
      <c r="P109" s="5917"/>
      <c r="Q109" s="5917"/>
      <c r="R109" s="738" t="s">
        <v>1464</v>
      </c>
    </row>
    <row r="110" spans="2:18" ht="13.5" thickBot="1" x14ac:dyDescent="0.25">
      <c r="B110" s="335">
        <f>G110</f>
        <v>0</v>
      </c>
      <c r="C110" s="5912" t="s">
        <v>2738</v>
      </c>
      <c r="D110" s="5913"/>
      <c r="E110" s="5913"/>
      <c r="F110" s="337" t="s">
        <v>2739</v>
      </c>
      <c r="G110" s="338"/>
      <c r="H110" s="339">
        <f>COUNTIF(H91:H109,"&gt;0")</f>
        <v>0</v>
      </c>
      <c r="I110" s="349"/>
      <c r="J110" s="740"/>
      <c r="K110" s="740"/>
      <c r="L110" s="740"/>
      <c r="M110" s="349"/>
      <c r="N110" s="740"/>
      <c r="O110" s="740"/>
      <c r="P110" s="740"/>
      <c r="Q110" s="349"/>
      <c r="R110" s="741"/>
    </row>
    <row r="111" spans="2:18" x14ac:dyDescent="0.2">
      <c r="B111" s="335">
        <f t="shared" si="0"/>
        <v>0</v>
      </c>
      <c r="C111" s="730" t="s">
        <v>2652</v>
      </c>
      <c r="D111" s="340"/>
      <c r="E111" s="340"/>
      <c r="F111" s="341"/>
      <c r="G111" s="342"/>
      <c r="H111" s="343"/>
      <c r="I111" s="344" t="s">
        <v>2740</v>
      </c>
      <c r="J111" s="345" t="s">
        <v>2741</v>
      </c>
      <c r="K111" s="346" t="s">
        <v>1575</v>
      </c>
      <c r="L111" s="5914" t="s">
        <v>1558</v>
      </c>
      <c r="M111" s="5914"/>
      <c r="N111" s="5914"/>
      <c r="O111" s="5914"/>
      <c r="P111" s="5914"/>
      <c r="Q111" s="5914"/>
      <c r="R111" s="742"/>
    </row>
    <row r="112" spans="2:18" x14ac:dyDescent="0.2">
      <c r="B112" s="335">
        <f t="shared" si="0"/>
        <v>0</v>
      </c>
      <c r="C112" s="347" t="s">
        <v>2742</v>
      </c>
      <c r="D112" s="347" t="s">
        <v>2742</v>
      </c>
      <c r="E112" s="347"/>
      <c r="F112" s="334">
        <f>COUNTIF(Sheele!$G$20:$J$29,C112)</f>
        <v>0</v>
      </c>
      <c r="G112" s="318">
        <v>1</v>
      </c>
      <c r="H112" s="318">
        <f>IF(OR($F112=0,$G112=0),0,MAX($H$111:H111)+1)</f>
        <v>0</v>
      </c>
      <c r="I112" s="725">
        <v>250</v>
      </c>
      <c r="J112" s="318">
        <f>50+Sheele!N10</f>
        <v>110</v>
      </c>
      <c r="K112" s="727">
        <f>Sheele!N21*2</f>
        <v>60</v>
      </c>
      <c r="L112" s="5901" t="s">
        <v>2743</v>
      </c>
      <c r="M112" s="5901"/>
      <c r="N112" s="5901"/>
      <c r="O112" s="5901"/>
      <c r="P112" s="5901"/>
      <c r="Q112" s="5901"/>
      <c r="R112" s="738" t="s">
        <v>1464</v>
      </c>
    </row>
    <row r="113" spans="2:18" x14ac:dyDescent="0.2">
      <c r="B113" s="335">
        <f t="shared" si="0"/>
        <v>0</v>
      </c>
      <c r="C113" s="347" t="s">
        <v>2744</v>
      </c>
      <c r="D113" s="347" t="s">
        <v>2744</v>
      </c>
      <c r="E113" s="347"/>
      <c r="F113" s="334">
        <f>COUNTIF(Sheele!$G$20:$J$29,C113)</f>
        <v>0</v>
      </c>
      <c r="G113" s="318">
        <v>1</v>
      </c>
      <c r="H113" s="318">
        <f>IF(OR($F113=0,$G113=0),0,MAX($H$111:H112)+1)</f>
        <v>0</v>
      </c>
      <c r="I113" s="725">
        <v>100</v>
      </c>
      <c r="J113" s="318">
        <f>Sheele!N10</f>
        <v>60</v>
      </c>
      <c r="K113" s="727">
        <v>60</v>
      </c>
      <c r="L113" s="5901" t="s">
        <v>2745</v>
      </c>
      <c r="M113" s="5901"/>
      <c r="N113" s="5901"/>
      <c r="O113" s="5901"/>
      <c r="P113" s="5901"/>
      <c r="Q113" s="5901"/>
      <c r="R113" s="738" t="s">
        <v>1464</v>
      </c>
    </row>
    <row r="114" spans="2:18" x14ac:dyDescent="0.2">
      <c r="B114" s="335">
        <f t="shared" si="0"/>
        <v>0</v>
      </c>
      <c r="C114" s="347" t="s">
        <v>2746</v>
      </c>
      <c r="D114" s="347" t="s">
        <v>2746</v>
      </c>
      <c r="E114" s="347"/>
      <c r="F114" s="334">
        <f>COUNTIF(Sheele!$G$20:$J$29,C114)</f>
        <v>0</v>
      </c>
      <c r="G114" s="318">
        <v>1</v>
      </c>
      <c r="H114" s="318">
        <f>IF(OR($F114=0,$G114=0),0,MAX($H$111:H113)+1)</f>
        <v>0</v>
      </c>
      <c r="I114" s="725">
        <v>100</v>
      </c>
      <c r="J114" s="318" t="s">
        <v>1464</v>
      </c>
      <c r="K114" s="727" t="s">
        <v>1464</v>
      </c>
      <c r="L114" s="5901" t="s">
        <v>2747</v>
      </c>
      <c r="M114" s="5901"/>
      <c r="N114" s="5901"/>
      <c r="O114" s="5901"/>
      <c r="P114" s="5901"/>
      <c r="Q114" s="5901"/>
      <c r="R114" s="738" t="s">
        <v>1464</v>
      </c>
    </row>
    <row r="115" spans="2:18" x14ac:dyDescent="0.2">
      <c r="B115" s="335">
        <f t="shared" si="0"/>
        <v>0</v>
      </c>
      <c r="C115" s="347" t="s">
        <v>2748</v>
      </c>
      <c r="D115" s="347" t="s">
        <v>2748</v>
      </c>
      <c r="E115" s="347"/>
      <c r="F115" s="334">
        <f>COUNTIF(Sheele!$G$20:$J$29,C115)</f>
        <v>0</v>
      </c>
      <c r="G115" s="318">
        <v>1</v>
      </c>
      <c r="H115" s="318">
        <f>IF(OR($F115=0,$G115=0),0,MAX($H$111:H114)+1)</f>
        <v>0</v>
      </c>
      <c r="I115" s="2714" t="s">
        <v>9950</v>
      </c>
      <c r="J115" s="318">
        <f>Sheele!N10</f>
        <v>60</v>
      </c>
      <c r="K115" s="727" t="str">
        <f>"x +"&amp;Sheele!H15</f>
        <v>x +10</v>
      </c>
      <c r="L115" s="5911" t="s">
        <v>9949</v>
      </c>
      <c r="M115" s="5901"/>
      <c r="N115" s="5901"/>
      <c r="O115" s="5901"/>
      <c r="P115" s="5901"/>
      <c r="Q115" s="5901"/>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901" t="s">
        <v>2749</v>
      </c>
      <c r="M116" s="5901"/>
      <c r="N116" s="5901"/>
      <c r="O116" s="5901"/>
      <c r="P116" s="5901"/>
      <c r="Q116" s="5901"/>
      <c r="R116" s="738" t="s">
        <v>1464</v>
      </c>
    </row>
    <row r="117" spans="2:18" x14ac:dyDescent="0.2">
      <c r="B117" s="335">
        <f t="shared" si="0"/>
        <v>0</v>
      </c>
      <c r="C117" s="347" t="s">
        <v>2750</v>
      </c>
      <c r="D117" s="347" t="s">
        <v>2750</v>
      </c>
      <c r="E117" s="347"/>
      <c r="F117" s="334">
        <f>COUNTIF(Sheele!$G$20:$J$29,C117)</f>
        <v>0</v>
      </c>
      <c r="G117" s="318"/>
      <c r="H117" s="318">
        <f>IF(OR($F117=0,$G117=0),0,MAX($H$111:H116)+1)</f>
        <v>0</v>
      </c>
      <c r="I117" s="725" t="s">
        <v>1464</v>
      </c>
      <c r="J117" s="318" t="s">
        <v>1464</v>
      </c>
      <c r="K117" s="727" t="s">
        <v>1464</v>
      </c>
      <c r="L117" s="5901" t="s">
        <v>2751</v>
      </c>
      <c r="M117" s="5901"/>
      <c r="N117" s="5901"/>
      <c r="O117" s="5901"/>
      <c r="P117" s="5901"/>
      <c r="Q117" s="5901"/>
      <c r="R117" s="738" t="s">
        <v>1464</v>
      </c>
    </row>
    <row r="118" spans="2:18" x14ac:dyDescent="0.2">
      <c r="B118" s="335">
        <f t="shared" si="0"/>
        <v>0</v>
      </c>
      <c r="C118" s="347" t="s">
        <v>2752</v>
      </c>
      <c r="D118" s="347" t="s">
        <v>2752</v>
      </c>
      <c r="E118" s="347"/>
      <c r="F118" s="334">
        <f>COUNTIF(Sheele!$G$20:$J$29,C118)</f>
        <v>0</v>
      </c>
      <c r="G118" s="318">
        <v>1</v>
      </c>
      <c r="H118" s="318">
        <f>IF(OR($F118=0,$G118=0),0,MAX($H$111:H117)+1)</f>
        <v>0</v>
      </c>
      <c r="I118" s="725" t="s">
        <v>1464</v>
      </c>
      <c r="J118" s="318" t="s">
        <v>1464</v>
      </c>
      <c r="K118" s="727" t="s">
        <v>1464</v>
      </c>
      <c r="L118" s="5918" t="str">
        <f>"+2 FUE al alcance y +"&amp;Sheele!H15&amp;" al daño de proyectiles de quien esté en contacto con ella."</f>
        <v>+2 FUE al alcance y +10 al daño de proyectiles de quien esté en contacto con ella.</v>
      </c>
      <c r="M118" s="5901"/>
      <c r="N118" s="5901"/>
      <c r="O118" s="5901"/>
      <c r="P118" s="5901"/>
      <c r="Q118" s="5901"/>
      <c r="R118" s="738" t="s">
        <v>1389</v>
      </c>
    </row>
    <row r="119" spans="2:18" x14ac:dyDescent="0.2">
      <c r="B119" s="335">
        <f t="shared" si="0"/>
        <v>0</v>
      </c>
      <c r="C119" s="347" t="s">
        <v>2753</v>
      </c>
      <c r="D119" s="347" t="s">
        <v>2753</v>
      </c>
      <c r="E119" s="347"/>
      <c r="F119" s="334">
        <f>COUNTIF(Sheele!$G$20:$J$29,C119)</f>
        <v>0</v>
      </c>
      <c r="G119" s="318"/>
      <c r="H119" s="318">
        <f>IF(OR($F119=0,$G119=0),0,MAX($H$111:H118)+1)</f>
        <v>0</v>
      </c>
      <c r="I119" s="725" t="s">
        <v>1464</v>
      </c>
      <c r="J119" s="318" t="s">
        <v>1464</v>
      </c>
      <c r="K119" s="727" t="s">
        <v>1464</v>
      </c>
      <c r="L119" s="5918" t="s">
        <v>2754</v>
      </c>
      <c r="M119" s="5901"/>
      <c r="N119" s="5901"/>
      <c r="O119" s="5901"/>
      <c r="P119" s="5901"/>
      <c r="Q119" s="5901"/>
      <c r="R119" s="738" t="s">
        <v>1464</v>
      </c>
    </row>
    <row r="120" spans="2:18" x14ac:dyDescent="0.2">
      <c r="B120" s="335">
        <f t="shared" si="0"/>
        <v>0</v>
      </c>
      <c r="C120" s="347" t="s">
        <v>2755</v>
      </c>
      <c r="D120" s="347" t="s">
        <v>2755</v>
      </c>
      <c r="E120" s="347"/>
      <c r="F120" s="334">
        <f>COUNTIF(Sheele!$G$20:$J$29,C120)</f>
        <v>0</v>
      </c>
      <c r="G120" s="318">
        <v>1</v>
      </c>
      <c r="H120" s="318">
        <f>IF(OR($F120=0,$G120=0),0,MAX($H$111:H119)+1)</f>
        <v>0</v>
      </c>
      <c r="I120" s="2715" t="s">
        <v>9951</v>
      </c>
      <c r="J120" s="318" t="s">
        <v>1464</v>
      </c>
      <c r="K120" s="727" t="s">
        <v>1464</v>
      </c>
      <c r="L120" s="5901" t="str">
        <f>"Inmune a ataques físicos. Aquel en contacto RF "&amp;Sheele!N21*2+Sheele!H15&amp;" o sufre [Nv de fracaso] daño."</f>
        <v>Inmune a ataques físicos. Aquel en contacto RF 70 o sufre [Nv de fracaso] daño.</v>
      </c>
      <c r="M120" s="5901"/>
      <c r="N120" s="5901"/>
      <c r="O120" s="5901"/>
      <c r="P120" s="5901"/>
      <c r="Q120" s="5901"/>
      <c r="R120" s="738" t="s">
        <v>1464</v>
      </c>
    </row>
    <row r="121" spans="2:18" x14ac:dyDescent="0.2">
      <c r="B121" s="335">
        <f t="shared" si="0"/>
        <v>0</v>
      </c>
      <c r="C121" s="347" t="s">
        <v>2756</v>
      </c>
      <c r="D121" s="347" t="s">
        <v>2756</v>
      </c>
      <c r="E121" s="347"/>
      <c r="F121" s="334">
        <f>COUNTIF(Sheele!$G$20:$J$29,C121)</f>
        <v>0</v>
      </c>
      <c r="G121" s="318"/>
      <c r="H121" s="318">
        <f>IF(OR($F121=0,$G121=0),0,MAX($H$111:H120)+1)</f>
        <v>0</v>
      </c>
      <c r="I121" s="725" t="s">
        <v>1464</v>
      </c>
      <c r="J121" s="318" t="s">
        <v>1464</v>
      </c>
      <c r="K121" s="727" t="s">
        <v>1464</v>
      </c>
      <c r="L121" s="5919" t="s">
        <v>2757</v>
      </c>
      <c r="M121" s="5917"/>
      <c r="N121" s="5917"/>
      <c r="O121" s="5917"/>
      <c r="P121" s="5917"/>
      <c r="Q121" s="5917"/>
      <c r="R121" s="738" t="s">
        <v>1464</v>
      </c>
    </row>
    <row r="122" spans="2:18" x14ac:dyDescent="0.2">
      <c r="B122" s="335">
        <f t="shared" si="0"/>
        <v>0</v>
      </c>
      <c r="C122" s="730" t="s">
        <v>2657</v>
      </c>
      <c r="D122" s="349"/>
      <c r="E122" s="349"/>
      <c r="F122" s="341"/>
      <c r="G122" s="346"/>
      <c r="H122" s="345"/>
      <c r="I122" s="350" t="s">
        <v>2740</v>
      </c>
      <c r="J122" s="343" t="s">
        <v>2741</v>
      </c>
      <c r="K122" s="342" t="s">
        <v>1575</v>
      </c>
      <c r="L122" s="5914" t="s">
        <v>1558</v>
      </c>
      <c r="M122" s="5914"/>
      <c r="N122" s="5914"/>
      <c r="O122" s="5914"/>
      <c r="P122" s="5914"/>
      <c r="Q122" s="5914"/>
      <c r="R122" s="741"/>
    </row>
    <row r="123" spans="2:18" x14ac:dyDescent="0.2">
      <c r="B123" s="335">
        <f t="shared" si="0"/>
        <v>0</v>
      </c>
      <c r="C123" s="347" t="s">
        <v>2758</v>
      </c>
      <c r="D123" s="347" t="s">
        <v>2758</v>
      </c>
      <c r="E123" s="347"/>
      <c r="F123" s="334">
        <f>COUNTIF(Sheele!$G$20:$J$29,C123)</f>
        <v>0</v>
      </c>
      <c r="G123" s="318">
        <v>1</v>
      </c>
      <c r="H123" s="318">
        <f>IF(OR($F123=0,$G123=0),0,MAX($H$111:H122)+1)</f>
        <v>0</v>
      </c>
      <c r="I123" s="2714" t="s">
        <v>9947</v>
      </c>
      <c r="J123" s="318">
        <f>Sheele!N10</f>
        <v>60</v>
      </c>
      <c r="K123" s="727">
        <v>50</v>
      </c>
      <c r="L123" s="5911" t="s">
        <v>9948</v>
      </c>
      <c r="M123" s="5901"/>
      <c r="N123" s="5901"/>
      <c r="O123" s="5901"/>
      <c r="P123" s="5901"/>
      <c r="Q123" s="5901"/>
      <c r="R123" s="738" t="s">
        <v>1464</v>
      </c>
    </row>
    <row r="124" spans="2:18" x14ac:dyDescent="0.2">
      <c r="B124" s="335">
        <f t="shared" si="0"/>
        <v>0</v>
      </c>
      <c r="C124" s="347" t="s">
        <v>2759</v>
      </c>
      <c r="D124" s="347" t="s">
        <v>2759</v>
      </c>
      <c r="E124" s="347"/>
      <c r="F124" s="334">
        <f>COUNTIF(Sheele!$G$20:$J$29,C124)</f>
        <v>0</v>
      </c>
      <c r="G124" s="318">
        <v>1</v>
      </c>
      <c r="H124" s="318">
        <f>IF(OR($F124=0,$G124=0),0,MAX($H$111:H123)+1)</f>
        <v>0</v>
      </c>
      <c r="I124" s="2714" t="s">
        <v>9947</v>
      </c>
      <c r="J124" s="318">
        <f>Sheele!N10</f>
        <v>60</v>
      </c>
      <c r="K124" s="727">
        <f>Sheele!N21</f>
        <v>30</v>
      </c>
      <c r="L124" s="5901" t="str">
        <f>"CON. Área "&amp;Sheele!N21&amp;"m. Impacto FUE "&amp;Sheele!G15&amp;". Aquellos en contacto son inmunes."</f>
        <v>CON. Área 30m. Impacto FUE 8. Aquellos en contacto son inmunes.</v>
      </c>
      <c r="M124" s="5901"/>
      <c r="N124" s="5901"/>
      <c r="O124" s="5901"/>
      <c r="P124" s="5901"/>
      <c r="Q124" s="5901"/>
      <c r="R124" s="738" t="s">
        <v>1464</v>
      </c>
    </row>
    <row r="125" spans="2:18" x14ac:dyDescent="0.2">
      <c r="B125" s="335">
        <f t="shared" si="0"/>
        <v>0</v>
      </c>
      <c r="C125" s="347" t="s">
        <v>2760</v>
      </c>
      <c r="D125" s="347" t="s">
        <v>2760</v>
      </c>
      <c r="E125" s="347"/>
      <c r="F125" s="334">
        <f>COUNTIF(Sheele!$G$20:$J$29,C125)</f>
        <v>0</v>
      </c>
      <c r="G125" s="318">
        <v>1</v>
      </c>
      <c r="H125" s="318">
        <f>IF(OR($F125=0,$G125=0),0,MAX($H$111:H124)+1)</f>
        <v>0</v>
      </c>
      <c r="I125" s="725">
        <v>30</v>
      </c>
      <c r="J125" s="318" t="s">
        <v>1464</v>
      </c>
      <c r="K125" s="727" t="s">
        <v>1464</v>
      </c>
      <c r="L125" s="5911" t="s">
        <v>9952</v>
      </c>
      <c r="M125" s="5901"/>
      <c r="N125" s="5901"/>
      <c r="O125" s="5901"/>
      <c r="P125" s="5901"/>
      <c r="Q125" s="5901"/>
      <c r="R125" s="738" t="s">
        <v>1464</v>
      </c>
    </row>
    <row r="126" spans="2:18" x14ac:dyDescent="0.2">
      <c r="B126" s="335">
        <f t="shared" si="0"/>
        <v>0</v>
      </c>
      <c r="C126" s="347" t="s">
        <v>2761</v>
      </c>
      <c r="D126" s="347" t="s">
        <v>2761</v>
      </c>
      <c r="E126" s="347"/>
      <c r="F126" s="334">
        <f>COUNTIF(Sheele!$G$20:$J$29,C126)</f>
        <v>0</v>
      </c>
      <c r="G126" s="318">
        <v>1</v>
      </c>
      <c r="H126" s="318">
        <f>IF(OR($F126=0,$G126=0),0,MAX($H$111:H125)+1)</f>
        <v>0</v>
      </c>
      <c r="I126" s="725">
        <v>100</v>
      </c>
      <c r="J126" s="2713" t="s">
        <v>3298</v>
      </c>
      <c r="K126" s="727" t="s">
        <v>1464</v>
      </c>
      <c r="L126" s="5901" t="str">
        <f>"50m. RM o RF "&amp;Sheele!N21*2+Sheele!H15&amp;"- 5*[TA FRI]. Parálisis parcial (completa si se falla por 40+)"</f>
        <v>50m. RM o RF 70- 5*[TA FRI]. Parálisis parcial (completa si se falla por 40+)</v>
      </c>
      <c r="M126" s="5901"/>
      <c r="N126" s="5901"/>
      <c r="O126" s="5901"/>
      <c r="P126" s="5901"/>
      <c r="Q126" s="5901"/>
      <c r="R126" s="738" t="s">
        <v>1464</v>
      </c>
    </row>
    <row r="127" spans="2:18" x14ac:dyDescent="0.2">
      <c r="B127" s="335">
        <f t="shared" si="0"/>
        <v>0</v>
      </c>
      <c r="C127" s="347" t="s">
        <v>2762</v>
      </c>
      <c r="D127" s="347" t="s">
        <v>2762</v>
      </c>
      <c r="E127" s="347"/>
      <c r="F127" s="334">
        <f>COUNTIF(Sheele!$G$20:$J$29,C127)</f>
        <v>0</v>
      </c>
      <c r="G127" s="318">
        <v>1</v>
      </c>
      <c r="H127" s="318">
        <f>IF(OR($F127=0,$G127=0),0,MAX($H$111:H126)+1)</f>
        <v>0</v>
      </c>
      <c r="I127" s="725">
        <v>150</v>
      </c>
      <c r="J127" s="318">
        <f>Sheele!N10+50</f>
        <v>110</v>
      </c>
      <c r="K127" s="727" t="s">
        <v>1464</v>
      </c>
      <c r="L127" s="5901" t="s">
        <v>2763</v>
      </c>
      <c r="M127" s="5901"/>
      <c r="N127" s="5901"/>
      <c r="O127" s="5901"/>
      <c r="P127" s="5901"/>
      <c r="Q127" s="5901"/>
      <c r="R127" s="738" t="s">
        <v>1464</v>
      </c>
    </row>
    <row r="128" spans="2:18" x14ac:dyDescent="0.2">
      <c r="B128" s="335">
        <f t="shared" si="0"/>
        <v>0</v>
      </c>
      <c r="C128" s="347" t="s">
        <v>2764</v>
      </c>
      <c r="D128" s="347" t="s">
        <v>2764</v>
      </c>
      <c r="E128" s="347"/>
      <c r="F128" s="334">
        <f>COUNTIF(Sheele!$G$20:$J$29,C128)</f>
        <v>0</v>
      </c>
      <c r="G128" s="318"/>
      <c r="H128" s="318">
        <f>IF(OR($F128=0,$G128=0),0,MAX($H$111:H127)+1)</f>
        <v>0</v>
      </c>
      <c r="I128" s="725" t="s">
        <v>1464</v>
      </c>
      <c r="J128" s="318" t="s">
        <v>1464</v>
      </c>
      <c r="K128" s="727" t="s">
        <v>1464</v>
      </c>
      <c r="L128" s="5911" t="s">
        <v>9953</v>
      </c>
      <c r="M128" s="5901"/>
      <c r="N128" s="5901"/>
      <c r="O128" s="5901"/>
      <c r="P128" s="5901"/>
      <c r="Q128" s="5901"/>
      <c r="R128" s="738" t="s">
        <v>1464</v>
      </c>
    </row>
    <row r="129" spans="2:18" x14ac:dyDescent="0.2">
      <c r="B129" s="335">
        <f t="shared" si="0"/>
        <v>0</v>
      </c>
      <c r="C129" s="347" t="s">
        <v>2765</v>
      </c>
      <c r="D129" s="347" t="s">
        <v>2765</v>
      </c>
      <c r="E129" s="347"/>
      <c r="F129" s="334">
        <f>COUNTIF(Sheele!$G$20:$J$29,C129)</f>
        <v>0</v>
      </c>
      <c r="G129" s="318">
        <v>1</v>
      </c>
      <c r="H129" s="318">
        <f>IF(OR($F129=0,$G129=0),0,MAX($H$111:H128)+1)</f>
        <v>0</v>
      </c>
      <c r="I129" s="725"/>
      <c r="J129" s="318" t="s">
        <v>1464</v>
      </c>
      <c r="K129" s="727" t="s">
        <v>1464</v>
      </c>
      <c r="L129" s="5901" t="s">
        <v>2766</v>
      </c>
      <c r="M129" s="5901"/>
      <c r="N129" s="5901"/>
      <c r="O129" s="5901"/>
      <c r="P129" s="5901"/>
      <c r="Q129" s="5901"/>
      <c r="R129" s="738" t="s">
        <v>1389</v>
      </c>
    </row>
    <row r="130" spans="2:18" x14ac:dyDescent="0.2">
      <c r="B130" s="335">
        <f t="shared" si="0"/>
        <v>0</v>
      </c>
      <c r="C130" s="347" t="s">
        <v>2753</v>
      </c>
      <c r="D130" s="347" t="s">
        <v>2753</v>
      </c>
      <c r="E130" s="347"/>
      <c r="F130" s="334">
        <f>COUNTIF(Sheele!$G$20:$J$29,C130)</f>
        <v>0</v>
      </c>
      <c r="G130" s="318"/>
      <c r="H130" s="318">
        <f>IF(OR($F130=0,$G130=0),0,MAX($H$111:H129)+1)</f>
        <v>0</v>
      </c>
      <c r="I130" s="725" t="s">
        <v>1464</v>
      </c>
      <c r="J130" s="318" t="s">
        <v>1464</v>
      </c>
      <c r="K130" s="727" t="s">
        <v>1464</v>
      </c>
      <c r="L130" s="5918" t="s">
        <v>2754</v>
      </c>
      <c r="M130" s="5901"/>
      <c r="N130" s="5901"/>
      <c r="O130" s="5901"/>
      <c r="P130" s="5901"/>
      <c r="Q130" s="5901"/>
      <c r="R130" s="738" t="s">
        <v>1464</v>
      </c>
    </row>
    <row r="131" spans="2:18" x14ac:dyDescent="0.2">
      <c r="B131" s="335">
        <f t="shared" si="0"/>
        <v>0</v>
      </c>
      <c r="C131" s="347" t="s">
        <v>2767</v>
      </c>
      <c r="D131" s="347" t="s">
        <v>2767</v>
      </c>
      <c r="E131" s="347"/>
      <c r="F131" s="334">
        <f>COUNTIF(Sheele!$G$20:$J$29,C131)</f>
        <v>0</v>
      </c>
      <c r="G131" s="318">
        <v>1</v>
      </c>
      <c r="H131" s="318">
        <f>IF(OR($F131=0,$G131=0),0,MAX($H$111:H130)+1)</f>
        <v>0</v>
      </c>
      <c r="I131" s="725">
        <v>10</v>
      </c>
      <c r="J131" s="318" t="s">
        <v>1464</v>
      </c>
      <c r="K131" s="727" t="s">
        <v>1464</v>
      </c>
      <c r="L131" s="5901" t="s">
        <v>2768</v>
      </c>
      <c r="M131" s="5901"/>
      <c r="N131" s="5901"/>
      <c r="O131" s="5901"/>
      <c r="P131" s="5901"/>
      <c r="Q131" s="5901"/>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920" t="s">
        <v>9954</v>
      </c>
      <c r="M132" s="5917"/>
      <c r="N132" s="5917"/>
      <c r="O132" s="5917"/>
      <c r="P132" s="5917"/>
      <c r="Q132" s="5917"/>
      <c r="R132" s="738" t="s">
        <v>1464</v>
      </c>
    </row>
    <row r="133" spans="2:18" x14ac:dyDescent="0.2">
      <c r="B133" s="335">
        <f t="shared" si="0"/>
        <v>0</v>
      </c>
      <c r="C133" s="730" t="s">
        <v>2661</v>
      </c>
      <c r="D133" s="349"/>
      <c r="E133" s="349"/>
      <c r="F133" s="341"/>
      <c r="G133" s="346"/>
      <c r="H133" s="345"/>
      <c r="I133" s="350" t="s">
        <v>2740</v>
      </c>
      <c r="J133" s="343" t="s">
        <v>2741</v>
      </c>
      <c r="K133" s="342" t="s">
        <v>1575</v>
      </c>
      <c r="L133" s="5914" t="s">
        <v>1558</v>
      </c>
      <c r="M133" s="5914"/>
      <c r="N133" s="5914"/>
      <c r="O133" s="5914"/>
      <c r="P133" s="5914"/>
      <c r="Q133" s="5914"/>
      <c r="R133" s="741"/>
    </row>
    <row r="134" spans="2:18" x14ac:dyDescent="0.2">
      <c r="B134" s="335">
        <f t="shared" si="0"/>
        <v>0</v>
      </c>
      <c r="C134" s="347" t="s">
        <v>2769</v>
      </c>
      <c r="D134" s="347" t="s">
        <v>2769</v>
      </c>
      <c r="E134" s="347"/>
      <c r="F134" s="334">
        <f>COUNTIF(Sheele!$G$20:$J$29,C134)</f>
        <v>0</v>
      </c>
      <c r="G134" s="318">
        <v>1</v>
      </c>
      <c r="H134" s="318">
        <f>IF(OR($F134=0,$G134=0),0,MAX($H$111:H133)+1)</f>
        <v>0</v>
      </c>
      <c r="I134" s="725">
        <v>100</v>
      </c>
      <c r="J134" s="318">
        <f>Sheele!N10+50</f>
        <v>110</v>
      </c>
      <c r="K134" s="727">
        <f>Sheele!N21*2</f>
        <v>60</v>
      </c>
      <c r="L134" s="5911" t="s">
        <v>9955</v>
      </c>
      <c r="M134" s="5901"/>
      <c r="N134" s="5901"/>
      <c r="O134" s="5901"/>
      <c r="P134" s="5901"/>
      <c r="Q134" s="5901"/>
      <c r="R134" s="738" t="s">
        <v>1464</v>
      </c>
    </row>
    <row r="135" spans="2:18" x14ac:dyDescent="0.2">
      <c r="B135" s="335">
        <f t="shared" si="0"/>
        <v>0</v>
      </c>
      <c r="C135" s="347" t="s">
        <v>2770</v>
      </c>
      <c r="D135" s="347" t="s">
        <v>2770</v>
      </c>
      <c r="E135" s="347"/>
      <c r="F135" s="334">
        <f>COUNTIF(Sheele!$G$20:$J$29,C135)</f>
        <v>0</v>
      </c>
      <c r="G135" s="318">
        <v>1</v>
      </c>
      <c r="H135" s="318">
        <f>IF(OR($F135=0,$G135=0),0,MAX($H$111:H134)+1)</f>
        <v>0</v>
      </c>
      <c r="I135" s="725">
        <v>100</v>
      </c>
      <c r="J135" s="2713" t="s">
        <v>3298</v>
      </c>
      <c r="K135" s="727" t="s">
        <v>1464</v>
      </c>
      <c r="L135" s="5901" t="str">
        <f>"50m. Tira 1d100+ "&amp;Sheele!N21*2+Sheele!H15&amp;" en 'Tabla 76: En llamas' (Core p.234)"</f>
        <v>50m. Tira 1d100+ 70 en 'Tabla 76: En llamas' (Core p.234)</v>
      </c>
      <c r="M135" s="5901"/>
      <c r="N135" s="5901"/>
      <c r="O135" s="5901"/>
      <c r="P135" s="5901"/>
      <c r="Q135" s="5901"/>
      <c r="R135" s="738" t="s">
        <v>1464</v>
      </c>
    </row>
    <row r="136" spans="2:18" x14ac:dyDescent="0.2">
      <c r="B136" s="335">
        <f t="shared" si="0"/>
        <v>0</v>
      </c>
      <c r="C136" s="347" t="s">
        <v>2771</v>
      </c>
      <c r="D136" s="347" t="s">
        <v>2771</v>
      </c>
      <c r="E136" s="347"/>
      <c r="F136" s="334">
        <f>COUNTIF(Sheele!$G$20:$J$29,C136)</f>
        <v>0</v>
      </c>
      <c r="G136" s="318">
        <v>1</v>
      </c>
      <c r="H136" s="318">
        <f>IF(OR($F136=0,$G136=0),0,MAX($H$111:H135)+1)</f>
        <v>0</v>
      </c>
      <c r="I136" s="725">
        <v>50</v>
      </c>
      <c r="J136" s="318" t="s">
        <v>1464</v>
      </c>
      <c r="K136" s="727" t="s">
        <v>1464</v>
      </c>
      <c r="L136" s="5911" t="s">
        <v>9956</v>
      </c>
      <c r="M136" s="5901"/>
      <c r="N136" s="5901"/>
      <c r="O136" s="5901"/>
      <c r="P136" s="5901"/>
      <c r="Q136" s="5901"/>
      <c r="R136" s="738" t="s">
        <v>1464</v>
      </c>
    </row>
    <row r="137" spans="2:18" x14ac:dyDescent="0.2">
      <c r="B137" s="335">
        <f t="shared" si="0"/>
        <v>0</v>
      </c>
      <c r="C137" s="347" t="s">
        <v>2772</v>
      </c>
      <c r="D137" s="347" t="s">
        <v>2772</v>
      </c>
      <c r="E137" s="347"/>
      <c r="F137" s="334">
        <f>COUNTIF(Sheele!$G$20:$J$29,C137)</f>
        <v>0</v>
      </c>
      <c r="G137" s="318">
        <v>1</v>
      </c>
      <c r="H137" s="318">
        <f>IF(OR($F137=0,$G137=0),0,MAX($H$111:H136)+1)</f>
        <v>0</v>
      </c>
      <c r="I137" s="725">
        <v>50</v>
      </c>
      <c r="J137" s="318">
        <f>Sheele!N10</f>
        <v>60</v>
      </c>
      <c r="K137" s="727" t="str">
        <f>Sheele!N21&amp;"+10*"</f>
        <v>30+10*</v>
      </c>
      <c r="L137" s="5901" t="str">
        <f>"CAL. Área "&amp;Sheele!G16&amp;"*[# ataques sucesivos] m. Daño "&amp;Sheele!N21&amp;"+10*[# ataques sucesivos] "</f>
        <v xml:space="preserve">CAL. Área 6*[# ataques sucesivos] m. Daño 30+10*[# ataques sucesivos] </v>
      </c>
      <c r="M137" s="5901"/>
      <c r="N137" s="5901"/>
      <c r="O137" s="5901"/>
      <c r="P137" s="5901"/>
      <c r="Q137" s="5901"/>
      <c r="R137" s="738" t="s">
        <v>1464</v>
      </c>
    </row>
    <row r="138" spans="2:18" x14ac:dyDescent="0.2">
      <c r="B138" s="335">
        <f t="shared" si="0"/>
        <v>0</v>
      </c>
      <c r="C138" s="347" t="s">
        <v>2773</v>
      </c>
      <c r="D138" s="347" t="s">
        <v>2773</v>
      </c>
      <c r="E138" s="347"/>
      <c r="F138" s="334">
        <f>COUNTIF(Sheele!$G$20:$J$29,C138)</f>
        <v>0</v>
      </c>
      <c r="G138" s="318">
        <v>1</v>
      </c>
      <c r="H138" s="318">
        <f>IF(OR($F138=0,$G138=0),0,MAX($H$111:H137)+1)</f>
        <v>0</v>
      </c>
      <c r="I138" s="725" t="s">
        <v>1464</v>
      </c>
      <c r="J138" s="318">
        <f>Sheele!N10</f>
        <v>60</v>
      </c>
      <c r="K138" s="2716" t="s">
        <v>9957</v>
      </c>
      <c r="L138" s="5901" t="str">
        <f>"La Sheele controla el fuego de hasta "&amp;Sheele!G15&amp;" intensidades. Puede atacar con él."</f>
        <v>La Sheele controla el fuego de hasta 8 intensidades. Puede atacar con él.</v>
      </c>
      <c r="M138" s="5901"/>
      <c r="N138" s="5901"/>
      <c r="O138" s="5901"/>
      <c r="P138" s="5901"/>
      <c r="Q138" s="5901"/>
      <c r="R138" s="738" t="s">
        <v>1464</v>
      </c>
    </row>
    <row r="139" spans="2:18" x14ac:dyDescent="0.2">
      <c r="B139" s="335">
        <f t="shared" si="0"/>
        <v>0</v>
      </c>
      <c r="C139" s="347" t="s">
        <v>2753</v>
      </c>
      <c r="D139" s="347" t="s">
        <v>2753</v>
      </c>
      <c r="E139" s="347"/>
      <c r="F139" s="334">
        <f>COUNTIF(Sheele!$G$20:$J$29,C139)</f>
        <v>0</v>
      </c>
      <c r="G139" s="318"/>
      <c r="H139" s="318">
        <f>IF(OR($F139=0,$G139=0),0,MAX($H$111:H138)+1)</f>
        <v>0</v>
      </c>
      <c r="I139" s="725" t="s">
        <v>1464</v>
      </c>
      <c r="J139" s="318" t="s">
        <v>1464</v>
      </c>
      <c r="K139" s="727" t="s">
        <v>1464</v>
      </c>
      <c r="L139" s="5918" t="s">
        <v>2754</v>
      </c>
      <c r="M139" s="5901"/>
      <c r="N139" s="5901"/>
      <c r="O139" s="5901"/>
      <c r="P139" s="5901"/>
      <c r="Q139" s="5901"/>
      <c r="R139" s="738" t="s">
        <v>1464</v>
      </c>
    </row>
    <row r="140" spans="2:18" x14ac:dyDescent="0.2">
      <c r="B140" s="335">
        <f t="shared" si="0"/>
        <v>0</v>
      </c>
      <c r="C140" s="347" t="s">
        <v>2774</v>
      </c>
      <c r="D140" s="347" t="s">
        <v>2774</v>
      </c>
      <c r="E140" s="347"/>
      <c r="F140" s="334">
        <f>COUNTIF(Sheele!$G$20:$J$29,C140)</f>
        <v>0</v>
      </c>
      <c r="G140" s="318">
        <v>1</v>
      </c>
      <c r="H140" s="318">
        <f>IF(OR($F140=0,$G140=0),0,MAX($H$111:H139)+1)</f>
        <v>0</v>
      </c>
      <c r="I140" s="725" t="s">
        <v>1464</v>
      </c>
      <c r="J140" s="726" t="s">
        <v>1464</v>
      </c>
      <c r="K140" s="727" t="s">
        <v>1464</v>
      </c>
      <c r="L140" s="5901" t="str">
        <f>"En contacto: Obtiene crítico secundario CAL, y +"&amp;Sheele!H15&amp;" daño."</f>
        <v>En contacto: Obtiene crítico secundario CAL, y +10 daño.</v>
      </c>
      <c r="M140" s="5901"/>
      <c r="N140" s="5901"/>
      <c r="O140" s="5901"/>
      <c r="P140" s="5901"/>
      <c r="Q140" s="5901"/>
      <c r="R140" s="738" t="s">
        <v>1389</v>
      </c>
    </row>
    <row r="141" spans="2:18" x14ac:dyDescent="0.2">
      <c r="B141" s="335">
        <f t="shared" si="0"/>
        <v>0</v>
      </c>
      <c r="C141" s="347" t="s">
        <v>2775</v>
      </c>
      <c r="D141" s="347" t="s">
        <v>2775</v>
      </c>
      <c r="E141" s="347"/>
      <c r="F141" s="334">
        <f>COUNTIF(Sheele!$G$20:$J$29,C141)</f>
        <v>0</v>
      </c>
      <c r="G141" s="318">
        <v>1</v>
      </c>
      <c r="H141" s="318">
        <f>IF(OR($F141=0,$G141=0),0,MAX($H$111:H140)+1)</f>
        <v>0</v>
      </c>
      <c r="I141" s="2715" t="s">
        <v>9951</v>
      </c>
      <c r="J141" s="726" t="s">
        <v>1464</v>
      </c>
      <c r="K141" s="727" t="s">
        <v>1464</v>
      </c>
      <c r="L141" s="5901" t="str">
        <f>"A voluntad, solo vulnerable a energía o frío. En contacto: RF "&amp;Sheele!N21*2+Sheele!H15&amp;" o [Nv de fracaso] daño."</f>
        <v>A voluntad, solo vulnerable a energía o frío. En contacto: RF 70 o [Nv de fracaso] daño.</v>
      </c>
      <c r="M141" s="5901"/>
      <c r="N141" s="5901"/>
      <c r="O141" s="5901"/>
      <c r="P141" s="5901"/>
      <c r="Q141" s="5901"/>
      <c r="R141" s="738" t="s">
        <v>1464</v>
      </c>
    </row>
    <row r="142" spans="2:18" x14ac:dyDescent="0.2">
      <c r="B142" s="335">
        <f t="shared" si="0"/>
        <v>0</v>
      </c>
      <c r="C142" s="347" t="s">
        <v>2776</v>
      </c>
      <c r="D142" s="347" t="s">
        <v>2776</v>
      </c>
      <c r="E142" s="347"/>
      <c r="F142" s="334">
        <f>COUNTIF(Sheele!$G$20:$J$29,C142)</f>
        <v>0</v>
      </c>
      <c r="G142" s="318">
        <v>1</v>
      </c>
      <c r="H142" s="318">
        <f>IF(OR($F142=0,$G142=0),0,MAX($H$111:H141)+1)</f>
        <v>0</v>
      </c>
      <c r="I142" s="725" t="s">
        <v>1464</v>
      </c>
      <c r="J142" s="318" t="s">
        <v>1464</v>
      </c>
      <c r="K142" s="727" t="s">
        <v>1464</v>
      </c>
      <c r="L142" s="5918" t="s">
        <v>2778</v>
      </c>
      <c r="M142" s="5901"/>
      <c r="N142" s="5901"/>
      <c r="O142" s="5901"/>
      <c r="P142" s="5901"/>
      <c r="Q142" s="5901"/>
      <c r="R142" s="738" t="s">
        <v>1389</v>
      </c>
    </row>
    <row r="143" spans="2:18" x14ac:dyDescent="0.2">
      <c r="B143" s="335">
        <f t="shared" si="0"/>
        <v>0</v>
      </c>
      <c r="C143" s="347" t="s">
        <v>2779</v>
      </c>
      <c r="D143" s="347" t="s">
        <v>2779</v>
      </c>
      <c r="E143" s="347"/>
      <c r="F143" s="334">
        <f>COUNTIF(Sheele!$G$20:$J$29,C143)</f>
        <v>0</v>
      </c>
      <c r="G143" s="318"/>
      <c r="H143" s="318">
        <f>IF(OR($F143=0,$G143=0),0,MAX($H$111:H142)+1)</f>
        <v>0</v>
      </c>
      <c r="I143" s="725" t="s">
        <v>1464</v>
      </c>
      <c r="J143" s="726" t="s">
        <v>1464</v>
      </c>
      <c r="K143" s="727" t="s">
        <v>1464</v>
      </c>
      <c r="L143" s="5919" t="s">
        <v>2780</v>
      </c>
      <c r="M143" s="5917"/>
      <c r="N143" s="5917"/>
      <c r="O143" s="5917"/>
      <c r="P143" s="5917"/>
      <c r="Q143" s="5917"/>
      <c r="R143" s="738" t="s">
        <v>1464</v>
      </c>
    </row>
    <row r="144" spans="2:18" x14ac:dyDescent="0.2">
      <c r="B144" s="335">
        <f t="shared" si="0"/>
        <v>0</v>
      </c>
      <c r="C144" s="730" t="s">
        <v>2665</v>
      </c>
      <c r="D144" s="349"/>
      <c r="E144" s="349"/>
      <c r="F144" s="341"/>
      <c r="G144" s="346"/>
      <c r="H144" s="345"/>
      <c r="I144" s="350" t="s">
        <v>2740</v>
      </c>
      <c r="J144" s="343" t="s">
        <v>2741</v>
      </c>
      <c r="K144" s="342" t="s">
        <v>1575</v>
      </c>
      <c r="L144" s="5914" t="s">
        <v>1558</v>
      </c>
      <c r="M144" s="5914"/>
      <c r="N144" s="5914"/>
      <c r="O144" s="5914"/>
      <c r="P144" s="5914"/>
      <c r="Q144" s="5914"/>
      <c r="R144" s="741"/>
    </row>
    <row r="145" spans="2:18" x14ac:dyDescent="0.2">
      <c r="B145" s="335">
        <f t="shared" si="0"/>
        <v>0</v>
      </c>
      <c r="C145" s="347" t="s">
        <v>2781</v>
      </c>
      <c r="D145" s="347" t="s">
        <v>2781</v>
      </c>
      <c r="E145" s="347"/>
      <c r="F145" s="334">
        <f>COUNTIF(Sheele!$G$20:$J$29,C145)</f>
        <v>0</v>
      </c>
      <c r="G145" s="318">
        <v>1</v>
      </c>
      <c r="H145" s="318">
        <f>IF(OR($F145=0,$G145=0),0,MAX($H$111:H144)+1)</f>
        <v>0</v>
      </c>
      <c r="I145" s="725">
        <v>150</v>
      </c>
      <c r="J145" s="318" t="s">
        <v>1464</v>
      </c>
      <c r="K145" s="727">
        <f>MROUND(Sheele!N21*3,10)</f>
        <v>90</v>
      </c>
      <c r="L145" s="5911" t="s">
        <v>9972</v>
      </c>
      <c r="M145" s="5901"/>
      <c r="N145" s="5901"/>
      <c r="O145" s="5901"/>
      <c r="P145" s="5901"/>
      <c r="Q145" s="5901"/>
      <c r="R145" s="738" t="s">
        <v>1464</v>
      </c>
    </row>
    <row r="146" spans="2:18" x14ac:dyDescent="0.2">
      <c r="B146" s="335">
        <f t="shared" si="0"/>
        <v>0</v>
      </c>
      <c r="C146" s="347" t="s">
        <v>2782</v>
      </c>
      <c r="D146" s="347" t="s">
        <v>2782</v>
      </c>
      <c r="E146" s="347"/>
      <c r="F146" s="334">
        <f>COUNTIF(Sheele!$G$20:$J$29,C146)</f>
        <v>0</v>
      </c>
      <c r="G146" s="318">
        <v>1</v>
      </c>
      <c r="H146" s="318">
        <f>IF(OR($F146=0,$G146=0),0,MAX($H$111:H145)+1)</f>
        <v>0</v>
      </c>
      <c r="I146" s="725">
        <v>150</v>
      </c>
      <c r="J146" s="2713" t="s">
        <v>3298</v>
      </c>
      <c r="K146" s="727" t="s">
        <v>1464</v>
      </c>
      <c r="L146" s="5901" t="str">
        <f>"Área 25m. RM "&amp;Sheele!N21*2+Sheele!H15&amp;": -50 turno y x0.5 movimiento. En contacto: Inmune."</f>
        <v>Área 25m. RM 70: -50 turno y x0.5 movimiento. En contacto: Inmune.</v>
      </c>
      <c r="M146" s="5901"/>
      <c r="N146" s="5901"/>
      <c r="O146" s="5901"/>
      <c r="P146" s="5901"/>
      <c r="Q146" s="5901"/>
      <c r="R146" s="738" t="s">
        <v>1464</v>
      </c>
    </row>
    <row r="147" spans="2:18" x14ac:dyDescent="0.2">
      <c r="B147" s="335">
        <f t="shared" si="0"/>
        <v>0</v>
      </c>
      <c r="C147" s="347" t="s">
        <v>2783</v>
      </c>
      <c r="D147" s="347" t="s">
        <v>2783</v>
      </c>
      <c r="E147" s="347"/>
      <c r="F147" s="334">
        <f>COUNTIF(Sheele!$G$20:$J$29,C147)</f>
        <v>0</v>
      </c>
      <c r="G147" s="318">
        <v>1</v>
      </c>
      <c r="H147" s="318">
        <f>IF(OR($F147=0,$G147=0),0,MAX($H$111:H146)+1)</f>
        <v>0</v>
      </c>
      <c r="I147" s="725">
        <v>150</v>
      </c>
      <c r="J147" s="318" t="s">
        <v>1464</v>
      </c>
      <c r="K147" s="352" t="s">
        <v>1464</v>
      </c>
      <c r="L147" s="5911" t="s">
        <v>9958</v>
      </c>
      <c r="M147" s="5901"/>
      <c r="N147" s="5901"/>
      <c r="O147" s="5901"/>
      <c r="P147" s="5901"/>
      <c r="Q147" s="5901"/>
      <c r="R147" s="738" t="s">
        <v>1464</v>
      </c>
    </row>
    <row r="148" spans="2:18" x14ac:dyDescent="0.2">
      <c r="B148" s="335">
        <f t="shared" si="0"/>
        <v>0</v>
      </c>
      <c r="C148" s="347" t="s">
        <v>2784</v>
      </c>
      <c r="D148" s="347" t="s">
        <v>2784</v>
      </c>
      <c r="E148" s="347"/>
      <c r="F148" s="334">
        <f>COUNTIF(Sheele!$G$20:$J$29,C148)</f>
        <v>0</v>
      </c>
      <c r="G148" s="318">
        <v>1</v>
      </c>
      <c r="H148" s="318">
        <f>IF(OR($F148=0,$G148=0),0,MAX($H$111:H147)+1)</f>
        <v>0</v>
      </c>
      <c r="I148" s="725">
        <v>80</v>
      </c>
      <c r="J148" s="318" t="s">
        <v>1464</v>
      </c>
      <c r="K148" s="727" t="s">
        <v>1464</v>
      </c>
      <c r="L148" s="5901" t="str">
        <f>"Area "&amp;Sheele!N21*2&amp;"m. Construcciones e individuos sobre el suelo control de AGI "&amp;Sheele!E12*2&amp;" o derribados"</f>
        <v>Area 60m. Construcciones e individuos sobre el suelo control de AGI 4 o derribados</v>
      </c>
      <c r="M148" s="5901"/>
      <c r="N148" s="5901"/>
      <c r="O148" s="5901"/>
      <c r="P148" s="5901"/>
      <c r="Q148" s="5901"/>
      <c r="R148" s="738" t="s">
        <v>1464</v>
      </c>
    </row>
    <row r="149" spans="2:18" x14ac:dyDescent="0.2">
      <c r="B149" s="335">
        <f t="shared" si="0"/>
        <v>0</v>
      </c>
      <c r="C149" s="347" t="s">
        <v>2785</v>
      </c>
      <c r="D149" s="347" t="s">
        <v>2785</v>
      </c>
      <c r="E149" s="347"/>
      <c r="F149" s="334">
        <f>COUNTIF(Sheele!$G$20:$J$29,C149)</f>
        <v>0</v>
      </c>
      <c r="G149" s="318"/>
      <c r="H149" s="318">
        <f>IF(OR($F149=0,$G149=0),0,MAX($H$111:H148)+1)</f>
        <v>0</v>
      </c>
      <c r="I149" s="725" t="s">
        <v>1464</v>
      </c>
      <c r="J149" s="318" t="s">
        <v>1464</v>
      </c>
      <c r="K149" s="352" t="s">
        <v>1464</v>
      </c>
      <c r="L149" s="5918" t="s">
        <v>2786</v>
      </c>
      <c r="M149" s="5901"/>
      <c r="N149" s="5901"/>
      <c r="O149" s="5901"/>
      <c r="P149" s="5901"/>
      <c r="Q149" s="5901"/>
      <c r="R149" s="738" t="s">
        <v>1464</v>
      </c>
    </row>
    <row r="150" spans="2:18" x14ac:dyDescent="0.2">
      <c r="B150" s="335">
        <f t="shared" si="0"/>
        <v>0</v>
      </c>
      <c r="C150" s="347" t="s">
        <v>2787</v>
      </c>
      <c r="D150" s="347" t="s">
        <v>2787</v>
      </c>
      <c r="E150" s="347"/>
      <c r="F150" s="334">
        <f>COUNTIF(Sheele!$G$20:$J$29,C150)</f>
        <v>0</v>
      </c>
      <c r="G150" s="318">
        <v>1</v>
      </c>
      <c r="H150" s="318">
        <f>IF(OR($F150=0,$G150=0),0,MAX($H$111:H149)+1)</f>
        <v>0</v>
      </c>
      <c r="I150" s="725" t="s">
        <v>1464</v>
      </c>
      <c r="J150" s="318" t="s">
        <v>1464</v>
      </c>
      <c r="K150" s="727" t="s">
        <v>1464</v>
      </c>
      <c r="L150" s="5911" t="s">
        <v>9959</v>
      </c>
      <c r="M150" s="5901"/>
      <c r="N150" s="5901"/>
      <c r="O150" s="5901"/>
      <c r="P150" s="5901"/>
      <c r="Q150" s="5901"/>
      <c r="R150" s="738" t="s">
        <v>1389</v>
      </c>
    </row>
    <row r="151" spans="2:18" x14ac:dyDescent="0.2">
      <c r="B151" s="335">
        <f t="shared" si="0"/>
        <v>0</v>
      </c>
      <c r="C151" s="347" t="s">
        <v>2788</v>
      </c>
      <c r="D151" s="347" t="s">
        <v>2788</v>
      </c>
      <c r="E151" s="347"/>
      <c r="F151" s="334">
        <f>COUNTIF(Sheele!$G$20:$J$29,C151)</f>
        <v>0</v>
      </c>
      <c r="G151" s="318">
        <v>1</v>
      </c>
      <c r="H151" s="318">
        <f>IF(OR($F151=0,$G151=0),0,MAX($H$111:H150)+1)</f>
        <v>0</v>
      </c>
      <c r="I151" s="725">
        <v>150</v>
      </c>
      <c r="J151" s="726">
        <f>Sheele!N10+50</f>
        <v>110</v>
      </c>
      <c r="K151" s="727"/>
      <c r="L151" s="5901" t="str">
        <f>"100m. Si &gt;0%, Control FUE "&amp;Sheele!E12+Sheele!E15+Sheele!E16&amp;"-[TA CON]: 10*[Nv de fracaso] daño (*5 si Acumulación)"</f>
        <v>100m. Si &gt;0%, Control FUE 16-[TA CON]: 10*[Nv de fracaso] daño (*5 si Acumulación)</v>
      </c>
      <c r="M151" s="5901"/>
      <c r="N151" s="5901"/>
      <c r="O151" s="5901"/>
      <c r="P151" s="5901"/>
      <c r="Q151" s="5901"/>
      <c r="R151" s="738" t="s">
        <v>1464</v>
      </c>
    </row>
    <row r="152" spans="2:18" x14ac:dyDescent="0.2">
      <c r="B152" s="335">
        <f t="shared" si="0"/>
        <v>0</v>
      </c>
      <c r="C152" s="347" t="s">
        <v>2753</v>
      </c>
      <c r="D152" s="347" t="s">
        <v>2753</v>
      </c>
      <c r="E152" s="347"/>
      <c r="F152" s="334">
        <f>COUNTIF(Sheele!$G$20:$J$29,C152)</f>
        <v>0</v>
      </c>
      <c r="G152" s="318"/>
      <c r="H152" s="318">
        <f>IF(OR($F152=0,$G152=0),0,MAX($H$111:H151)+1)</f>
        <v>0</v>
      </c>
      <c r="I152" s="725" t="s">
        <v>1464</v>
      </c>
      <c r="J152" s="726" t="s">
        <v>1464</v>
      </c>
      <c r="K152" s="727" t="s">
        <v>1464</v>
      </c>
      <c r="L152" s="5918" t="s">
        <v>2754</v>
      </c>
      <c r="M152" s="5901"/>
      <c r="N152" s="5901"/>
      <c r="O152" s="5901"/>
      <c r="P152" s="5901"/>
      <c r="Q152" s="5901"/>
      <c r="R152" s="738" t="s">
        <v>1464</v>
      </c>
    </row>
    <row r="153" spans="2:18" x14ac:dyDescent="0.2">
      <c r="B153" s="335">
        <f t="shared" si="0"/>
        <v>0</v>
      </c>
      <c r="C153" s="347" t="s">
        <v>2789</v>
      </c>
      <c r="D153" s="347" t="s">
        <v>2789</v>
      </c>
      <c r="E153" s="347"/>
      <c r="F153" s="334">
        <f>COUNTIF(Sheele!$G$20:$J$29,C153)</f>
        <v>0</v>
      </c>
      <c r="G153" s="318">
        <v>1</v>
      </c>
      <c r="H153" s="318">
        <f>IF(OR($F153=0,$G153=0),0,MAX($H$111:H152)+1)</f>
        <v>0</v>
      </c>
      <c r="I153" s="725" t="s">
        <v>1464</v>
      </c>
      <c r="J153" s="318" t="s">
        <v>1464</v>
      </c>
      <c r="K153" s="727" t="s">
        <v>1464</v>
      </c>
      <c r="L153" s="5901" t="str">
        <f>"Movimiento subterráneo de Tipo "&amp;Sheele!L31</f>
        <v>Movimiento subterráneo de Tipo 8</v>
      </c>
      <c r="M153" s="5901"/>
      <c r="N153" s="5901"/>
      <c r="O153" s="5901"/>
      <c r="P153" s="5901"/>
      <c r="Q153" s="5901"/>
      <c r="R153" s="738" t="s">
        <v>1464</v>
      </c>
    </row>
    <row r="154" spans="2:18" x14ac:dyDescent="0.2">
      <c r="B154" s="335">
        <f t="shared" si="0"/>
        <v>0</v>
      </c>
      <c r="C154" s="347" t="s">
        <v>2790</v>
      </c>
      <c r="D154" s="347" t="s">
        <v>2790</v>
      </c>
      <c r="E154" s="347"/>
      <c r="F154" s="334">
        <f>COUNTIF(Sheele!$G$20:$J$29,C154)</f>
        <v>0</v>
      </c>
      <c r="G154" s="318">
        <v>1</v>
      </c>
      <c r="H154" s="318">
        <f>IF(OR($F154=0,$G154=0),0,MAX($H$111:H153)+1)</f>
        <v>0</v>
      </c>
      <c r="I154" s="725" t="s">
        <v>1464</v>
      </c>
      <c r="J154" s="318" t="s">
        <v>1464</v>
      </c>
      <c r="K154" s="727" t="s">
        <v>1464</v>
      </c>
      <c r="L154" s="5917" t="s">
        <v>2791</v>
      </c>
      <c r="M154" s="5917"/>
      <c r="N154" s="5917"/>
      <c r="O154" s="5917"/>
      <c r="P154" s="5917"/>
      <c r="Q154" s="5917"/>
      <c r="R154" s="738" t="s">
        <v>1389</v>
      </c>
    </row>
    <row r="155" spans="2:18" x14ac:dyDescent="0.2">
      <c r="B155" s="335">
        <f t="shared" si="0"/>
        <v>0</v>
      </c>
      <c r="C155" s="730" t="s">
        <v>2669</v>
      </c>
      <c r="D155" s="349"/>
      <c r="E155" s="349"/>
      <c r="F155" s="341"/>
      <c r="G155" s="346"/>
      <c r="H155" s="345"/>
      <c r="I155" s="350" t="s">
        <v>2740</v>
      </c>
      <c r="J155" s="343" t="s">
        <v>2741</v>
      </c>
      <c r="K155" s="342" t="s">
        <v>1575</v>
      </c>
      <c r="L155" s="5914" t="s">
        <v>1558</v>
      </c>
      <c r="M155" s="5914"/>
      <c r="N155" s="5914"/>
      <c r="O155" s="5914"/>
      <c r="P155" s="5914"/>
      <c r="Q155" s="5914"/>
      <c r="R155" s="741"/>
    </row>
    <row r="156" spans="2:18" ht="15.75" customHeight="1" x14ac:dyDescent="0.2">
      <c r="B156" s="335">
        <f t="shared" ref="B156:B199" si="1">H156</f>
        <v>0</v>
      </c>
      <c r="C156" s="347" t="s">
        <v>2792</v>
      </c>
      <c r="D156" s="347" t="s">
        <v>2792</v>
      </c>
      <c r="E156" s="347"/>
      <c r="F156" s="334">
        <f>COUNTIF(Sheele!$G$20:$J$29,C156)</f>
        <v>0</v>
      </c>
      <c r="G156" s="318">
        <v>1</v>
      </c>
      <c r="H156" s="318">
        <f>IF(OR($F156=0,$G156=0),0,MAX($H$111:H155)+1)</f>
        <v>0</v>
      </c>
      <c r="I156" s="725">
        <v>250</v>
      </c>
      <c r="J156" s="318">
        <f>Sheele!N10</f>
        <v>60</v>
      </c>
      <c r="K156" s="727">
        <v>40</v>
      </c>
      <c r="L156" s="5901" t="str">
        <f>"Crea "&amp;Sheele!G15&amp;" proyectiles durante "&amp;Sheele!G16&amp;" asaltos. Máximo "&amp;ROUNDDOWN(Sheele!G11/2,0)&amp;" ataques/ turno. Ataca en ENE."</f>
        <v>Crea 8 proyectiles durante 6 asaltos. Máximo 4 ataques/ turno. Ataca en ENE.</v>
      </c>
      <c r="M156" s="5901"/>
      <c r="N156" s="5901"/>
      <c r="O156" s="5901"/>
      <c r="P156" s="5901"/>
      <c r="Q156" s="5901"/>
      <c r="R156" s="738" t="s">
        <v>1464</v>
      </c>
    </row>
    <row r="157" spans="2:18" ht="12.75" customHeight="1" x14ac:dyDescent="0.2">
      <c r="B157" s="335">
        <f t="shared" si="1"/>
        <v>0</v>
      </c>
      <c r="C157" s="347" t="s">
        <v>2793</v>
      </c>
      <c r="D157" s="347" t="s">
        <v>2793</v>
      </c>
      <c r="E157" s="347"/>
      <c r="F157" s="334">
        <f>COUNTIF(Sheele!$G$20:$J$29,C157)</f>
        <v>0</v>
      </c>
      <c r="G157" s="318">
        <v>1</v>
      </c>
      <c r="H157" s="318">
        <f>IF(OR($F157=0,$G157=0),0,MAX($H$111:H156)+1)</f>
        <v>0</v>
      </c>
      <c r="I157" s="725">
        <v>250</v>
      </c>
      <c r="J157" s="318" t="str">
        <f>Sheele!N10&amp;"+"</f>
        <v>60+</v>
      </c>
      <c r="K157" s="727">
        <f>Sheele!N21*2</f>
        <v>60</v>
      </c>
      <c r="L157" s="5901" t="str">
        <f>"ENE. +15 Proy. cada asalto que lo prepare, máximo "&amp;Sheele!G15&amp;"."</f>
        <v>ENE. +15 Proy. cada asalto que lo prepare, máximo 8.</v>
      </c>
      <c r="M157" s="5901"/>
      <c r="N157" s="5901"/>
      <c r="O157" s="5901"/>
      <c r="P157" s="5901"/>
      <c r="Q157" s="5901"/>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901" t="str">
        <f>"5 asaltos. +"&amp;Sheele!H15*2&amp;" a toda acción y al ACT transferible. Después, -50 ata (10/ asalto)"</f>
        <v>5 asaltos. +20 a toda acción y al ACT transferible. Después, -50 ata (10/ asalto)</v>
      </c>
      <c r="M158" s="5901"/>
      <c r="N158" s="5901"/>
      <c r="O158" s="5901"/>
      <c r="P158" s="5901"/>
      <c r="Q158" s="5901"/>
      <c r="R158" s="738" t="s">
        <v>1464</v>
      </c>
    </row>
    <row r="159" spans="2:18" x14ac:dyDescent="0.2">
      <c r="B159" s="335">
        <f t="shared" si="1"/>
        <v>0</v>
      </c>
      <c r="C159" s="347" t="s">
        <v>2794</v>
      </c>
      <c r="D159" s="347" t="s">
        <v>2794</v>
      </c>
      <c r="E159" s="347"/>
      <c r="F159" s="334">
        <f>COUNTIF(Sheele!$G$20:$J$29,C159)</f>
        <v>0</v>
      </c>
      <c r="G159" s="318">
        <v>1</v>
      </c>
      <c r="H159" s="318">
        <f>IF(OR($F159=0,$G159=0),0,MAX($H$111:H158)+1)</f>
        <v>0</v>
      </c>
      <c r="I159" s="725">
        <v>10</v>
      </c>
      <c r="J159" s="318" t="s">
        <v>1464</v>
      </c>
      <c r="K159" s="727" t="s">
        <v>1464</v>
      </c>
      <c r="L159" s="5901" t="str">
        <f>"Cura "&amp;Sheele!N21&amp;" PV o elimina penalizadores por el mismo valor. 1 uso/ persona/ día."</f>
        <v>Cura 30 PV o elimina penalizadores por el mismo valor. 1 uso/ persona/ día.</v>
      </c>
      <c r="M159" s="5901"/>
      <c r="N159" s="5901"/>
      <c r="O159" s="5901"/>
      <c r="P159" s="5901"/>
      <c r="Q159" s="5901"/>
      <c r="R159" s="738" t="s">
        <v>1464</v>
      </c>
    </row>
    <row r="160" spans="2:18" x14ac:dyDescent="0.2">
      <c r="B160" s="335">
        <f t="shared" si="1"/>
        <v>0</v>
      </c>
      <c r="C160" s="347" t="s">
        <v>2795</v>
      </c>
      <c r="D160" s="347" t="s">
        <v>2795</v>
      </c>
      <c r="E160" s="347"/>
      <c r="F160" s="334">
        <f>COUNTIF(Sheele!$G$20:$J$29,C160)</f>
        <v>0</v>
      </c>
      <c r="G160" s="318">
        <v>1</v>
      </c>
      <c r="H160" s="318">
        <f>IF(OR($F160=0,$G160=0),0,MAX($H$111:H159)+1)</f>
        <v>0</v>
      </c>
      <c r="I160" s="725" t="s">
        <v>1464</v>
      </c>
      <c r="J160" s="726" t="s">
        <v>1464</v>
      </c>
      <c r="K160" s="727" t="s">
        <v>1464</v>
      </c>
      <c r="L160" s="5901" t="s">
        <v>2796</v>
      </c>
      <c r="M160" s="5901"/>
      <c r="N160" s="5901"/>
      <c r="O160" s="5901"/>
      <c r="P160" s="5901"/>
      <c r="Q160" s="5901"/>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918" t="s">
        <v>2797</v>
      </c>
      <c r="M161" s="5901"/>
      <c r="N161" s="5901"/>
      <c r="O161" s="5901"/>
      <c r="P161" s="5901"/>
      <c r="Q161" s="5901"/>
      <c r="R161" s="738" t="s">
        <v>1464</v>
      </c>
    </row>
    <row r="162" spans="2:18" x14ac:dyDescent="0.2">
      <c r="B162" s="335">
        <f t="shared" si="1"/>
        <v>0</v>
      </c>
      <c r="C162" s="347" t="s">
        <v>2798</v>
      </c>
      <c r="D162" s="347" t="s">
        <v>2798</v>
      </c>
      <c r="E162" s="347"/>
      <c r="F162" s="334">
        <f>COUNTIF(Sheele!$G$20:$J$29,C162)</f>
        <v>0</v>
      </c>
      <c r="G162" s="318">
        <v>1</v>
      </c>
      <c r="H162" s="318">
        <f>IF(OR($F162=0,$G162=0),0,MAX($H$111:H161)+1)</f>
        <v>0</v>
      </c>
      <c r="I162" s="725" t="s">
        <v>1464</v>
      </c>
      <c r="J162" s="726" t="s">
        <v>1464</v>
      </c>
      <c r="K162" s="727" t="s">
        <v>1464</v>
      </c>
      <c r="L162" s="5921" t="s">
        <v>9960</v>
      </c>
      <c r="M162" s="5901"/>
      <c r="N162" s="5901"/>
      <c r="O162" s="5901"/>
      <c r="P162" s="5901"/>
      <c r="Q162" s="5901"/>
      <c r="R162" s="738" t="s">
        <v>1389</v>
      </c>
    </row>
    <row r="163" spans="2:18" x14ac:dyDescent="0.2">
      <c r="B163" s="335">
        <f t="shared" si="1"/>
        <v>0</v>
      </c>
      <c r="C163" s="347" t="s">
        <v>2753</v>
      </c>
      <c r="D163" s="347" t="s">
        <v>2753</v>
      </c>
      <c r="E163" s="347"/>
      <c r="F163" s="334">
        <f>COUNTIF(Sheele!$G$20:$J$29,C163)</f>
        <v>0</v>
      </c>
      <c r="G163" s="318"/>
      <c r="H163" s="318">
        <f>IF(OR($F163=0,$G163=0),0,MAX($H$111:H162)+1)</f>
        <v>0</v>
      </c>
      <c r="I163" s="725" t="s">
        <v>1464</v>
      </c>
      <c r="J163" s="318" t="s">
        <v>1464</v>
      </c>
      <c r="K163" s="727" t="s">
        <v>1464</v>
      </c>
      <c r="L163" s="5918" t="s">
        <v>2754</v>
      </c>
      <c r="M163" s="5901"/>
      <c r="N163" s="5901"/>
      <c r="O163" s="5901"/>
      <c r="P163" s="5901"/>
      <c r="Q163" s="5901"/>
      <c r="R163" s="738" t="s">
        <v>1464</v>
      </c>
    </row>
    <row r="164" spans="2:18" x14ac:dyDescent="0.2">
      <c r="B164" s="335">
        <f t="shared" si="1"/>
        <v>0</v>
      </c>
      <c r="C164" s="347" t="s">
        <v>2799</v>
      </c>
      <c r="D164" s="347" t="s">
        <v>2799</v>
      </c>
      <c r="E164" s="347"/>
      <c r="F164" s="334">
        <f>COUNTIF(Sheele!$G$20:$J$29,C164)</f>
        <v>0</v>
      </c>
      <c r="G164" s="318">
        <v>1</v>
      </c>
      <c r="H164" s="318">
        <f>IF(OR($F164=0,$G164=0),0,MAX($H$111:H163)+1)</f>
        <v>0</v>
      </c>
      <c r="I164" s="725" t="s">
        <v>1464</v>
      </c>
      <c r="J164" s="726" t="s">
        <v>1464</v>
      </c>
      <c r="K164" s="727" t="s">
        <v>1464</v>
      </c>
      <c r="L164" s="5901" t="str">
        <f>"A voluntad. Inmune a ataques físicos. Puede cegar a quien la mire, RM "&amp;Sheele!N21*2+Sheele!H15&amp;". Ver"</f>
        <v>A voluntad. Inmune a ataques físicos. Puede cegar a quien la mire, RM 70. Ver</v>
      </c>
      <c r="M164" s="5901"/>
      <c r="N164" s="5901"/>
      <c r="O164" s="5901"/>
      <c r="P164" s="5901"/>
      <c r="Q164" s="5901"/>
      <c r="R164" s="738" t="s">
        <v>1464</v>
      </c>
    </row>
    <row r="165" spans="2:18" x14ac:dyDescent="0.2">
      <c r="B165" s="335">
        <f t="shared" si="1"/>
        <v>0</v>
      </c>
      <c r="C165" s="347" t="s">
        <v>2800</v>
      </c>
      <c r="D165" s="347" t="s">
        <v>2800</v>
      </c>
      <c r="E165" s="347"/>
      <c r="F165" s="334">
        <f>COUNTIF(Sheele!$G$20:$J$29,C165)</f>
        <v>0</v>
      </c>
      <c r="G165" s="318"/>
      <c r="H165" s="318">
        <f>IF(OR($F165=0,$G165=0),0,MAX($H$111:H164)+1)</f>
        <v>0</v>
      </c>
      <c r="I165" s="725" t="s">
        <v>1464</v>
      </c>
      <c r="J165" s="318" t="s">
        <v>1464</v>
      </c>
      <c r="K165" s="727" t="s">
        <v>1464</v>
      </c>
      <c r="L165" s="5922" t="s">
        <v>9961</v>
      </c>
      <c r="M165" s="5917"/>
      <c r="N165" s="5917"/>
      <c r="O165" s="5917"/>
      <c r="P165" s="5917"/>
      <c r="Q165" s="5917"/>
      <c r="R165" s="738" t="s">
        <v>1464</v>
      </c>
    </row>
    <row r="166" spans="2:18" x14ac:dyDescent="0.2">
      <c r="B166" s="729">
        <f t="shared" si="1"/>
        <v>0</v>
      </c>
      <c r="C166" s="730" t="s">
        <v>2673</v>
      </c>
      <c r="D166" s="349"/>
      <c r="E166" s="349"/>
      <c r="F166" s="341"/>
      <c r="G166" s="346"/>
      <c r="H166" s="345"/>
      <c r="I166" s="350" t="s">
        <v>2740</v>
      </c>
      <c r="J166" s="343" t="s">
        <v>2741</v>
      </c>
      <c r="K166" s="342" t="s">
        <v>1575</v>
      </c>
      <c r="L166" s="5914" t="s">
        <v>1558</v>
      </c>
      <c r="M166" s="5914"/>
      <c r="N166" s="5914"/>
      <c r="O166" s="5914"/>
      <c r="P166" s="5914"/>
      <c r="Q166" s="5914"/>
      <c r="R166" s="741"/>
    </row>
    <row r="167" spans="2:18" x14ac:dyDescent="0.2">
      <c r="B167" s="729">
        <f t="shared" si="1"/>
        <v>0</v>
      </c>
      <c r="C167" s="347" t="s">
        <v>2801</v>
      </c>
      <c r="D167" s="347" t="s">
        <v>2801</v>
      </c>
      <c r="E167" s="347"/>
      <c r="F167" s="334">
        <f>COUNTIF(Sheele!$G$20:$J$29,C167)</f>
        <v>0</v>
      </c>
      <c r="G167" s="318"/>
      <c r="H167" s="318">
        <f>IF(OR($F167=0,$G167=0),0,MAX($H$111:H166)+1)</f>
        <v>0</v>
      </c>
      <c r="I167" s="725"/>
      <c r="J167" s="318"/>
      <c r="K167" s="727"/>
      <c r="L167" s="5923" t="s">
        <v>2802</v>
      </c>
      <c r="M167" s="5924"/>
      <c r="N167" s="5924"/>
      <c r="O167" s="5924"/>
      <c r="P167" s="5924"/>
      <c r="Q167" s="5924"/>
      <c r="R167" s="738" t="s">
        <v>1464</v>
      </c>
    </row>
    <row r="168" spans="2:18" x14ac:dyDescent="0.2">
      <c r="B168" s="729">
        <f t="shared" si="1"/>
        <v>0</v>
      </c>
      <c r="C168" s="347" t="s">
        <v>2803</v>
      </c>
      <c r="D168" s="347" t="s">
        <v>2803</v>
      </c>
      <c r="E168" s="347"/>
      <c r="F168" s="334">
        <f>COUNTIF(Sheele!$G$20:$J$29,C168)</f>
        <v>0</v>
      </c>
      <c r="G168" s="318">
        <v>1</v>
      </c>
      <c r="H168" s="318">
        <f>IF(OR($F168=0,$G168=0),0,MAX($H$111:H167)+1)</f>
        <v>0</v>
      </c>
      <c r="I168" s="725">
        <v>300</v>
      </c>
      <c r="J168" s="318">
        <f>Sheele!$N$10+100</f>
        <v>160</v>
      </c>
      <c r="K168" s="727">
        <f>Sheele!N21*2</f>
        <v>60</v>
      </c>
      <c r="L168" s="5911" t="s">
        <v>9962</v>
      </c>
      <c r="M168" s="5901"/>
      <c r="N168" s="5901"/>
      <c r="O168" s="5901"/>
      <c r="P168" s="5901"/>
      <c r="Q168" s="5901"/>
      <c r="R168" s="738" t="s">
        <v>1464</v>
      </c>
    </row>
    <row r="169" spans="2:18" x14ac:dyDescent="0.2">
      <c r="B169" s="729">
        <f t="shared" si="1"/>
        <v>0</v>
      </c>
      <c r="C169" s="347" t="s">
        <v>2804</v>
      </c>
      <c r="D169" s="347" t="s">
        <v>2804</v>
      </c>
      <c r="E169" s="347"/>
      <c r="F169" s="334">
        <f>COUNTIF(Sheele!$G$20:$J$29,C169)</f>
        <v>0</v>
      </c>
      <c r="G169" s="318">
        <v>1</v>
      </c>
      <c r="H169" s="318">
        <f>IF(OR($F169=0,$G169=0),0,MAX($H$111:H168)+1)</f>
        <v>0</v>
      </c>
      <c r="I169" s="725">
        <v>250</v>
      </c>
      <c r="J169" s="318">
        <f>Sheele!$N$12</f>
        <v>60</v>
      </c>
      <c r="K169" s="727" t="s">
        <v>1464</v>
      </c>
      <c r="L169" s="5901" t="str">
        <f>"Defensa. RM "&amp;Sheele!N21*2+Sheele!H15&amp;": -50 a toda acción que se recupera a 10/asalto"</f>
        <v>Defensa. RM 70: -50 a toda acción que se recupera a 10/asalto</v>
      </c>
      <c r="M169" s="5901"/>
      <c r="N169" s="5901"/>
      <c r="O169" s="5901"/>
      <c r="P169" s="5901"/>
      <c r="Q169" s="5901"/>
      <c r="R169" s="738" t="s">
        <v>1464</v>
      </c>
    </row>
    <row r="170" spans="2:18" x14ac:dyDescent="0.2">
      <c r="B170" s="729">
        <f t="shared" si="1"/>
        <v>0</v>
      </c>
      <c r="C170" s="347" t="s">
        <v>2805</v>
      </c>
      <c r="D170" s="347" t="s">
        <v>2805</v>
      </c>
      <c r="E170" s="347"/>
      <c r="F170" s="334">
        <f>COUNTIF(Sheele!$G$20:$J$29,C170)</f>
        <v>0</v>
      </c>
      <c r="G170" s="318">
        <v>1</v>
      </c>
      <c r="H170" s="318">
        <f>IF(OR($F170=0,$G170=0),0,MAX($H$111:H169)+1)</f>
        <v>0</v>
      </c>
      <c r="I170" s="725">
        <v>20</v>
      </c>
      <c r="J170" s="318" t="s">
        <v>1464</v>
      </c>
      <c r="K170" s="727" t="s">
        <v>1464</v>
      </c>
      <c r="L170" s="5901" t="s">
        <v>2806</v>
      </c>
      <c r="M170" s="5901"/>
      <c r="N170" s="5901"/>
      <c r="O170" s="5901"/>
      <c r="P170" s="5901"/>
      <c r="Q170" s="5901"/>
      <c r="R170" s="738" t="s">
        <v>1464</v>
      </c>
    </row>
    <row r="171" spans="2:18" x14ac:dyDescent="0.2">
      <c r="B171" s="729">
        <f t="shared" si="1"/>
        <v>0</v>
      </c>
      <c r="C171" s="347" t="s">
        <v>2807</v>
      </c>
      <c r="D171" s="347" t="s">
        <v>2807</v>
      </c>
      <c r="E171" s="347"/>
      <c r="F171" s="334">
        <f>COUNTIF(Sheele!$G$20:$J$29,C171)</f>
        <v>0</v>
      </c>
      <c r="G171" s="318">
        <v>1</v>
      </c>
      <c r="H171" s="318">
        <f>IF(OR($F171=0,$G171=0),0,MAX($H$111:H170)+1)</f>
        <v>0</v>
      </c>
      <c r="I171" s="725">
        <v>200</v>
      </c>
      <c r="J171" s="318" t="s">
        <v>1464</v>
      </c>
      <c r="K171" s="727" t="s">
        <v>1464</v>
      </c>
      <c r="L171" s="5901" t="str">
        <f>"Automático 50m. RM "&amp;Sheele!N21*2&amp;": -"&amp;Sheele!H15*2&amp;" a toda acción."</f>
        <v>Automático 50m. RM 60: -20 a toda acción.</v>
      </c>
      <c r="M171" s="5901"/>
      <c r="N171" s="5901"/>
      <c r="O171" s="5901"/>
      <c r="P171" s="5901"/>
      <c r="Q171" s="5901"/>
      <c r="R171" s="738" t="s">
        <v>1464</v>
      </c>
    </row>
    <row r="172" spans="2:18" x14ac:dyDescent="0.2">
      <c r="B172" s="729">
        <f t="shared" si="1"/>
        <v>0</v>
      </c>
      <c r="C172" s="347" t="s">
        <v>2808</v>
      </c>
      <c r="D172" s="347" t="s">
        <v>2808</v>
      </c>
      <c r="E172" s="347"/>
      <c r="F172" s="334">
        <f>COUNTIF(Sheele!$G$20:$J$29,C172)</f>
        <v>0</v>
      </c>
      <c r="G172" s="318">
        <v>1</v>
      </c>
      <c r="H172" s="318">
        <f>IF(OR($F172=0,$G172=0),0,MAX($H$111:H171)+1)</f>
        <v>0</v>
      </c>
      <c r="I172" s="725">
        <v>250</v>
      </c>
      <c r="J172" s="318" t="s">
        <v>1464</v>
      </c>
      <c r="K172" s="727" t="s">
        <v>1464</v>
      </c>
      <c r="L172" s="5901" t="str">
        <f>"5 asaltos. +"&amp;Sheele!H15*2&amp;" ATA y al ACT trasferible. Al finalizar, -50 ATA (-10/asalto)"</f>
        <v>5 asaltos. +20 ATA y al ACT trasferible. Al finalizar, -50 ATA (-10/asalto)</v>
      </c>
      <c r="M172" s="5901"/>
      <c r="N172" s="5901"/>
      <c r="O172" s="5901"/>
      <c r="P172" s="5901"/>
      <c r="Q172" s="5901"/>
      <c r="R172" s="738" t="s">
        <v>1464</v>
      </c>
    </row>
    <row r="173" spans="2:18" x14ac:dyDescent="0.2">
      <c r="B173" s="729">
        <f t="shared" si="1"/>
        <v>0</v>
      </c>
      <c r="C173" s="347" t="s">
        <v>2809</v>
      </c>
      <c r="D173" s="347" t="s">
        <v>2809</v>
      </c>
      <c r="E173" s="347"/>
      <c r="F173" s="334">
        <f>COUNTIF(Sheele!$G$20:$J$29,C173)</f>
        <v>0</v>
      </c>
      <c r="G173" s="318">
        <v>1</v>
      </c>
      <c r="H173" s="318">
        <f>IF(OR($F173=0,$G173=0),0,MAX($H$111:H172)+1)</f>
        <v>0</v>
      </c>
      <c r="I173" s="725" t="s">
        <v>1464</v>
      </c>
      <c r="J173" s="726" t="s">
        <v>1464</v>
      </c>
      <c r="K173" s="727" t="s">
        <v>1464</v>
      </c>
      <c r="L173" s="5901" t="str">
        <f>"Objetivo durmiendo. RM "&amp;Sheele!N21*2+Sheele!H15&amp;" o malos sueños. En la Vigilia es más potente. Ver"</f>
        <v>Objetivo durmiendo. RM 70 o malos sueños. En la Vigilia es más potente. Ver</v>
      </c>
      <c r="M173" s="5901"/>
      <c r="N173" s="5901"/>
      <c r="O173" s="5901"/>
      <c r="P173" s="5901"/>
      <c r="Q173" s="5901"/>
      <c r="R173" s="738" t="s">
        <v>1464</v>
      </c>
    </row>
    <row r="174" spans="2:18" x14ac:dyDescent="0.2">
      <c r="B174" s="729">
        <f t="shared" si="1"/>
        <v>0</v>
      </c>
      <c r="C174" s="347" t="s">
        <v>2810</v>
      </c>
      <c r="D174" s="347" t="s">
        <v>2810</v>
      </c>
      <c r="E174" s="347"/>
      <c r="F174" s="334">
        <f>COUNTIF(Sheele!$G$20:$J$29,C174)</f>
        <v>0</v>
      </c>
      <c r="G174" s="318">
        <v>1</v>
      </c>
      <c r="H174" s="318">
        <f>IF(OR($F174=0,$G174=0),0,MAX($H$111:H173)+1)</f>
        <v>0</v>
      </c>
      <c r="I174" s="725" t="s">
        <v>1464</v>
      </c>
      <c r="J174" s="318" t="s">
        <v>1464</v>
      </c>
      <c r="K174" s="727" t="s">
        <v>1464</v>
      </c>
      <c r="L174" s="5911" t="s">
        <v>9963</v>
      </c>
      <c r="M174" s="5901"/>
      <c r="N174" s="5901"/>
      <c r="O174" s="5901"/>
      <c r="P174" s="5901"/>
      <c r="Q174" s="5901"/>
      <c r="R174" s="738" t="s">
        <v>1389</v>
      </c>
    </row>
    <row r="175" spans="2:18" x14ac:dyDescent="0.2">
      <c r="B175" s="729">
        <f t="shared" si="1"/>
        <v>0</v>
      </c>
      <c r="C175" s="347" t="s">
        <v>2753</v>
      </c>
      <c r="D175" s="347" t="s">
        <v>2753</v>
      </c>
      <c r="E175" s="347"/>
      <c r="F175" s="334">
        <f>COUNTIF(Sheele!$G$20:$J$29,C175)</f>
        <v>0</v>
      </c>
      <c r="G175" s="318"/>
      <c r="H175" s="318">
        <f>IF(OR($F175=0,$G175=0),0,MAX($H$111:H174)+1)</f>
        <v>0</v>
      </c>
      <c r="I175" s="725" t="s">
        <v>1464</v>
      </c>
      <c r="J175" s="726" t="s">
        <v>1464</v>
      </c>
      <c r="K175" s="727" t="s">
        <v>1464</v>
      </c>
      <c r="L175" s="5918" t="s">
        <v>2754</v>
      </c>
      <c r="M175" s="5901"/>
      <c r="N175" s="5901"/>
      <c r="O175" s="5901"/>
      <c r="P175" s="5901"/>
      <c r="Q175" s="5901"/>
      <c r="R175" s="738" t="s">
        <v>1464</v>
      </c>
    </row>
    <row r="176" spans="2:18" x14ac:dyDescent="0.2">
      <c r="B176" s="729">
        <f t="shared" si="1"/>
        <v>0</v>
      </c>
      <c r="C176" s="347" t="s">
        <v>2811</v>
      </c>
      <c r="D176" s="347" t="s">
        <v>2811</v>
      </c>
      <c r="E176" s="347"/>
      <c r="F176" s="334">
        <f>COUNTIF(Sheele!$G$20:$J$29,C176)</f>
        <v>0</v>
      </c>
      <c r="G176" s="318">
        <v>1</v>
      </c>
      <c r="H176" s="318">
        <f>IF(OR($F176=0,$G176=0),0,MAX($H$111:H175)+1)</f>
        <v>0</v>
      </c>
      <c r="I176" s="725" t="s">
        <v>1464</v>
      </c>
      <c r="J176" s="318" t="s">
        <v>1464</v>
      </c>
      <c r="K176" s="727">
        <f>Sheele!N21+Sheele!H12</f>
        <v>10</v>
      </c>
      <c r="L176" s="5917" t="str">
        <f>"Puede atacar y defender usando su proyección. Daño base [Presencia]+[Bono Fue]"</f>
        <v>Puede atacar y defender usando su proyección. Daño base [Presencia]+[Bono Fue]</v>
      </c>
      <c r="M176" s="5917"/>
      <c r="N176" s="5917"/>
      <c r="O176" s="5917"/>
      <c r="P176" s="5917"/>
      <c r="Q176" s="5917"/>
      <c r="R176" s="738"/>
    </row>
    <row r="177" spans="2:18" x14ac:dyDescent="0.2">
      <c r="B177" s="335">
        <f t="shared" si="1"/>
        <v>0</v>
      </c>
      <c r="C177" s="730" t="s">
        <v>2678</v>
      </c>
      <c r="D177" s="349"/>
      <c r="E177" s="349"/>
      <c r="F177" s="341"/>
      <c r="G177" s="346"/>
      <c r="H177" s="345"/>
      <c r="I177" s="350" t="s">
        <v>2740</v>
      </c>
      <c r="J177" s="343" t="s">
        <v>2741</v>
      </c>
      <c r="K177" s="342" t="s">
        <v>1575</v>
      </c>
      <c r="L177" s="5914" t="s">
        <v>1558</v>
      </c>
      <c r="M177" s="5914"/>
      <c r="N177" s="5914"/>
      <c r="O177" s="5914"/>
      <c r="P177" s="5914"/>
      <c r="Q177" s="5914"/>
      <c r="R177" s="741"/>
    </row>
    <row r="178" spans="2:18" x14ac:dyDescent="0.2">
      <c r="B178" s="335">
        <f t="shared" si="1"/>
        <v>0</v>
      </c>
      <c r="C178" s="347" t="s">
        <v>2812</v>
      </c>
      <c r="D178" s="347" t="s">
        <v>2812</v>
      </c>
      <c r="E178" s="347"/>
      <c r="F178" s="334">
        <f>COUNTIF(Sheele!$G$20:$J$29,C178)</f>
        <v>0</v>
      </c>
      <c r="G178" s="318">
        <v>1</v>
      </c>
      <c r="H178" s="318">
        <f>IF(OR($F178=0,$G178=0),0,MAX($H$111:H177)+1)</f>
        <v>0</v>
      </c>
      <c r="I178" s="2714" t="s">
        <v>9964</v>
      </c>
      <c r="J178" s="318">
        <f>50+Sheele!N10</f>
        <v>110</v>
      </c>
      <c r="K178" s="352" t="s">
        <v>1464</v>
      </c>
      <c r="L178" s="5901" t="str">
        <f>"Presa de FUE "&amp;Sheele!G15&amp;". Se puede mantener pagando el coste de zeon."</f>
        <v>Presa de FUE 8. Se puede mantener pagando el coste de zeon.</v>
      </c>
      <c r="M178" s="5901"/>
      <c r="N178" s="5901"/>
      <c r="O178" s="5901"/>
      <c r="P178" s="5901"/>
      <c r="Q178" s="5901"/>
      <c r="R178" s="738" t="s">
        <v>1464</v>
      </c>
    </row>
    <row r="179" spans="2:18" x14ac:dyDescent="0.2">
      <c r="B179" s="335">
        <f t="shared" si="1"/>
        <v>0</v>
      </c>
      <c r="C179" s="347" t="s">
        <v>2813</v>
      </c>
      <c r="D179" s="347" t="s">
        <v>2813</v>
      </c>
      <c r="E179" s="347"/>
      <c r="F179" s="334">
        <f>COUNTIF(Sheele!$G$20:$J$29,C179)</f>
        <v>0</v>
      </c>
      <c r="G179" s="318">
        <v>1</v>
      </c>
      <c r="H179" s="318">
        <f>IF(OR($F179=0,$G179=0),0,MAX($H$111:H178)+1)</f>
        <v>0</v>
      </c>
      <c r="I179" s="725">
        <v>150</v>
      </c>
      <c r="J179" s="726">
        <f>Sheele!$N$12+50</f>
        <v>110</v>
      </c>
      <c r="K179" s="727" t="s">
        <v>1464</v>
      </c>
      <c r="L179" s="5901" t="str">
        <f>"Escudo sobrenatural "&amp;10*Sheele!N21&amp;" PV, que dura máximo "&amp;Sheele!G16&amp;" asaltos."</f>
        <v>Escudo sobrenatural 300 PV, que dura máximo 6 asaltos.</v>
      </c>
      <c r="M179" s="5901"/>
      <c r="N179" s="5901"/>
      <c r="O179" s="5901"/>
      <c r="P179" s="5901"/>
      <c r="Q179" s="5901"/>
      <c r="R179" s="738" t="s">
        <v>1464</v>
      </c>
    </row>
    <row r="180" spans="2:18" x14ac:dyDescent="0.2">
      <c r="B180" s="335">
        <f t="shared" si="1"/>
        <v>0</v>
      </c>
      <c r="C180" s="347" t="s">
        <v>2814</v>
      </c>
      <c r="D180" s="347" t="s">
        <v>2814</v>
      </c>
      <c r="E180" s="347"/>
      <c r="F180" s="334">
        <f>COUNTIF(Sheele!$G$20:$J$29,C180)</f>
        <v>0</v>
      </c>
      <c r="G180" s="318">
        <v>1</v>
      </c>
      <c r="H180" s="318">
        <f>IF(OR($F180=0,$G180=0),0,MAX($H$111:H179)+1)</f>
        <v>0</v>
      </c>
      <c r="I180" s="725">
        <v>50</v>
      </c>
      <c r="J180" s="726" t="s">
        <v>1464</v>
      </c>
      <c r="K180" s="727" t="s">
        <v>1464</v>
      </c>
      <c r="L180" s="5901" t="s">
        <v>2815</v>
      </c>
      <c r="M180" s="5901"/>
      <c r="N180" s="5901"/>
      <c r="O180" s="5901"/>
      <c r="P180" s="5901"/>
      <c r="Q180" s="5901"/>
      <c r="R180" s="738" t="s">
        <v>1464</v>
      </c>
    </row>
    <row r="181" spans="2:18" ht="12.75" customHeight="1" x14ac:dyDescent="0.2">
      <c r="B181" s="335">
        <f t="shared" si="1"/>
        <v>0</v>
      </c>
      <c r="C181" s="347" t="s">
        <v>2816</v>
      </c>
      <c r="D181" s="347" t="s">
        <v>2816</v>
      </c>
      <c r="E181" s="347"/>
      <c r="F181" s="334">
        <f>COUNTIF(Sheele!$G$20:$J$29,C181)</f>
        <v>0</v>
      </c>
      <c r="G181" s="318">
        <v>1</v>
      </c>
      <c r="H181" s="318">
        <f>IF(OR($F181=0,$G181=0),0,MAX($H$111:H180)+1)</f>
        <v>0</v>
      </c>
      <c r="I181" s="725">
        <v>10</v>
      </c>
      <c r="J181" s="318" t="s">
        <v>1464</v>
      </c>
      <c r="K181" s="727" t="s">
        <v>1464</v>
      </c>
      <c r="L181" s="5901" t="str">
        <f>"Cura "&amp;Sheele!N21*2&amp;" PV. 1 uso/ persona/ día."</f>
        <v>Cura 60 PV. 1 uso/ persona/ día.</v>
      </c>
      <c r="M181" s="5901"/>
      <c r="N181" s="5901"/>
      <c r="O181" s="5901"/>
      <c r="P181" s="5901"/>
      <c r="Q181" s="5901"/>
      <c r="R181" s="738" t="s">
        <v>1464</v>
      </c>
    </row>
    <row r="182" spans="2:18" ht="13.5" customHeight="1" x14ac:dyDescent="0.2">
      <c r="B182" s="335">
        <f t="shared" si="1"/>
        <v>0</v>
      </c>
      <c r="C182" s="347" t="s">
        <v>2759</v>
      </c>
      <c r="D182" s="347" t="s">
        <v>2759</v>
      </c>
      <c r="E182" s="347"/>
      <c r="F182" s="334">
        <f>COUNTIF(Sheele!$G$20:$J$29,C182)</f>
        <v>0</v>
      </c>
      <c r="G182" s="318">
        <v>1</v>
      </c>
      <c r="H182" s="318">
        <f>IF(OR($F182=0,$G182=0),0,MAX($H$111:H181)+1)</f>
        <v>0</v>
      </c>
      <c r="I182" s="725">
        <v>150</v>
      </c>
      <c r="J182" s="318">
        <f>Sheele!N10</f>
        <v>60</v>
      </c>
      <c r="K182" s="727">
        <f>Sheele!N21</f>
        <v>30</v>
      </c>
      <c r="L182" s="5911" t="s">
        <v>9965</v>
      </c>
      <c r="M182" s="5901"/>
      <c r="N182" s="5901"/>
      <c r="O182" s="5901"/>
      <c r="P182" s="5901"/>
      <c r="Q182" s="5901"/>
      <c r="R182" s="738" t="s">
        <v>1464</v>
      </c>
    </row>
    <row r="183" spans="2:18" x14ac:dyDescent="0.2">
      <c r="B183" s="335">
        <f t="shared" si="1"/>
        <v>0</v>
      </c>
      <c r="C183" s="347" t="s">
        <v>2817</v>
      </c>
      <c r="D183" s="347" t="s">
        <v>2817</v>
      </c>
      <c r="E183" s="347"/>
      <c r="F183" s="334">
        <f>COUNTIF(Sheele!$G$20:$J$29,C183)</f>
        <v>0</v>
      </c>
      <c r="G183" s="318">
        <v>1</v>
      </c>
      <c r="H183" s="318">
        <f>IF(OR($F183=0,$G183=0),0,MAX($H$111:H182)+1)</f>
        <v>0</v>
      </c>
      <c r="I183" s="348" t="s">
        <v>1464</v>
      </c>
      <c r="J183" s="318" t="s">
        <v>1464</v>
      </c>
      <c r="K183" s="727" t="s">
        <v>1464</v>
      </c>
      <c r="L183" s="5918" t="s">
        <v>2818</v>
      </c>
      <c r="M183" s="5901"/>
      <c r="N183" s="5901"/>
      <c r="O183" s="5901"/>
      <c r="P183" s="5901"/>
      <c r="Q183" s="5901"/>
      <c r="R183" s="738" t="s">
        <v>1389</v>
      </c>
    </row>
    <row r="184" spans="2:18" x14ac:dyDescent="0.2">
      <c r="B184" s="335">
        <f t="shared" si="1"/>
        <v>0</v>
      </c>
      <c r="C184" s="347" t="s">
        <v>2819</v>
      </c>
      <c r="D184" s="347" t="s">
        <v>2819</v>
      </c>
      <c r="E184" s="347"/>
      <c r="F184" s="334">
        <f>COUNTIF(Sheele!$G$20:$J$29,C184)</f>
        <v>0</v>
      </c>
      <c r="G184" s="318">
        <v>1</v>
      </c>
      <c r="H184" s="318">
        <f>IF(OR($F184=0,$G184=0),0,MAX($H$111:H183)+1)</f>
        <v>0</v>
      </c>
      <c r="I184" s="348" t="s">
        <v>1464</v>
      </c>
      <c r="J184" s="726" t="s">
        <v>1464</v>
      </c>
      <c r="K184" s="727" t="s">
        <v>1464</v>
      </c>
      <c r="L184" s="5911" t="s">
        <v>9966</v>
      </c>
      <c r="M184" s="5901"/>
      <c r="N184" s="5901"/>
      <c r="O184" s="5901"/>
      <c r="P184" s="5901"/>
      <c r="Q184" s="5901"/>
      <c r="R184" s="738" t="s">
        <v>1389</v>
      </c>
    </row>
    <row r="185" spans="2:18" x14ac:dyDescent="0.2">
      <c r="B185" s="335">
        <f t="shared" si="1"/>
        <v>0</v>
      </c>
      <c r="C185" s="347" t="s">
        <v>2753</v>
      </c>
      <c r="D185" s="347" t="s">
        <v>2753</v>
      </c>
      <c r="E185" s="347"/>
      <c r="F185" s="334">
        <f>COUNTIF(Sheele!$G$20:$J$29,C185)</f>
        <v>0</v>
      </c>
      <c r="G185" s="318"/>
      <c r="H185" s="318">
        <f>IF(OR($F185=0,$G185=0),0,MAX($H$111:H184)+1)</f>
        <v>0</v>
      </c>
      <c r="I185" s="725" t="s">
        <v>1464</v>
      </c>
      <c r="J185" s="726" t="s">
        <v>1464</v>
      </c>
      <c r="K185" s="727" t="s">
        <v>1464</v>
      </c>
      <c r="L185" s="5918" t="s">
        <v>2754</v>
      </c>
      <c r="M185" s="5901"/>
      <c r="N185" s="5901"/>
      <c r="O185" s="5901"/>
      <c r="P185" s="5901"/>
      <c r="Q185" s="5901"/>
      <c r="R185" s="738" t="s">
        <v>1464</v>
      </c>
    </row>
    <row r="186" spans="2:18" x14ac:dyDescent="0.2">
      <c r="B186" s="335">
        <f t="shared" si="1"/>
        <v>0</v>
      </c>
      <c r="C186" s="347" t="s">
        <v>2820</v>
      </c>
      <c r="D186" s="347" t="s">
        <v>2820</v>
      </c>
      <c r="E186" s="347"/>
      <c r="F186" s="334">
        <f>COUNTIF(Sheele!$G$20:$J$29,C186)</f>
        <v>0</v>
      </c>
      <c r="G186" s="318">
        <v>1</v>
      </c>
      <c r="H186" s="318">
        <f>IF(OR($F186=0,$G186=0),0,MAX($H$111:H185)+1)</f>
        <v>0</v>
      </c>
      <c r="I186" s="2714" t="s">
        <v>9968</v>
      </c>
      <c r="J186" s="726" t="s">
        <v>1464</v>
      </c>
      <c r="K186" s="727" t="s">
        <v>1464</v>
      </c>
      <c r="L186" s="5911" t="s">
        <v>9967</v>
      </c>
      <c r="M186" s="5901"/>
      <c r="N186" s="5901"/>
      <c r="O186" s="5901"/>
      <c r="P186" s="5901"/>
      <c r="Q186" s="5901"/>
      <c r="R186" s="738" t="s">
        <v>1464</v>
      </c>
    </row>
    <row r="187" spans="2:18" x14ac:dyDescent="0.2">
      <c r="B187" s="335">
        <f t="shared" si="1"/>
        <v>0</v>
      </c>
      <c r="C187" s="347" t="s">
        <v>2821</v>
      </c>
      <c r="D187" s="347" t="s">
        <v>2821</v>
      </c>
      <c r="E187" s="347"/>
      <c r="F187" s="334">
        <f>COUNTIF(Sheele!$G$20:$J$29,C187)</f>
        <v>0</v>
      </c>
      <c r="G187" s="318"/>
      <c r="H187" s="318">
        <f>IF(OR($F187=0,$G187=0),0,MAX($H$111:H186)+1)</f>
        <v>0</v>
      </c>
      <c r="I187" s="725" t="s">
        <v>1464</v>
      </c>
      <c r="J187" s="726" t="s">
        <v>1464</v>
      </c>
      <c r="K187" s="727" t="s">
        <v>1464</v>
      </c>
      <c r="L187" s="5919" t="s">
        <v>2822</v>
      </c>
      <c r="M187" s="5917"/>
      <c r="N187" s="5917"/>
      <c r="O187" s="5917"/>
      <c r="P187" s="5917"/>
      <c r="Q187" s="5917"/>
      <c r="R187" s="738" t="s">
        <v>1464</v>
      </c>
    </row>
    <row r="188" spans="2:18" x14ac:dyDescent="0.2">
      <c r="B188" s="335">
        <f t="shared" si="1"/>
        <v>0</v>
      </c>
      <c r="C188" s="730" t="s">
        <v>2682</v>
      </c>
      <c r="D188" s="349"/>
      <c r="E188" s="349"/>
      <c r="F188" s="341"/>
      <c r="G188" s="346"/>
      <c r="H188" s="345"/>
      <c r="I188" s="350" t="s">
        <v>2740</v>
      </c>
      <c r="J188" s="343" t="s">
        <v>2741</v>
      </c>
      <c r="K188" s="342" t="s">
        <v>1575</v>
      </c>
      <c r="L188" s="5914" t="s">
        <v>1558</v>
      </c>
      <c r="M188" s="5914"/>
      <c r="N188" s="5914"/>
      <c r="O188" s="5914"/>
      <c r="P188" s="5914"/>
      <c r="Q188" s="5914"/>
      <c r="R188" s="741"/>
    </row>
    <row r="189" spans="2:18" x14ac:dyDescent="0.2">
      <c r="B189" s="335">
        <f t="shared" si="1"/>
        <v>0</v>
      </c>
      <c r="C189" s="347" t="s">
        <v>2823</v>
      </c>
      <c r="D189" s="347" t="s">
        <v>2823</v>
      </c>
      <c r="E189" s="347"/>
      <c r="F189" s="334">
        <f>COUNTIF(Sheele!$G$20:$J$29,C189)</f>
        <v>0</v>
      </c>
      <c r="G189" s="318">
        <v>1</v>
      </c>
      <c r="H189" s="318">
        <f>IF(OR($F189=0,$G189=0),0,MAX($H$111:H188)+1)</f>
        <v>0</v>
      </c>
      <c r="I189" s="725">
        <v>100</v>
      </c>
      <c r="J189" s="318">
        <f>Sheele!N10+50</f>
        <v>110</v>
      </c>
      <c r="K189" s="727">
        <f>Sheele!N21*2</f>
        <v>60</v>
      </c>
      <c r="L189" s="5911" t="s">
        <v>2824</v>
      </c>
      <c r="M189" s="5901"/>
      <c r="N189" s="5901"/>
      <c r="O189" s="5901"/>
      <c r="P189" s="5901"/>
      <c r="Q189" s="5901"/>
      <c r="R189" s="738" t="s">
        <v>1464</v>
      </c>
    </row>
    <row r="190" spans="2:18" x14ac:dyDescent="0.2">
      <c r="B190" s="335">
        <f t="shared" si="1"/>
        <v>0</v>
      </c>
      <c r="C190" s="347" t="s">
        <v>2825</v>
      </c>
      <c r="D190" s="347" t="s">
        <v>2825</v>
      </c>
      <c r="E190" s="347"/>
      <c r="F190" s="334">
        <f>COUNTIF(Sheele!$G$20:$J$29,C190)</f>
        <v>0</v>
      </c>
      <c r="G190" s="318">
        <v>1</v>
      </c>
      <c r="H190" s="318">
        <f>IF(OR($F190=0,$G190=0),0,MAX($H$111:H189)+1)</f>
        <v>0</v>
      </c>
      <c r="I190" s="725">
        <v>200</v>
      </c>
      <c r="J190" s="726" t="s">
        <v>1464</v>
      </c>
      <c r="K190" s="727" t="s">
        <v>1464</v>
      </c>
      <c r="L190" s="5911" t="s">
        <v>9969</v>
      </c>
      <c r="M190" s="5901"/>
      <c r="N190" s="5901"/>
      <c r="O190" s="5901"/>
      <c r="P190" s="5901"/>
      <c r="Q190" s="5901"/>
      <c r="R190" s="738" t="s">
        <v>1464</v>
      </c>
    </row>
    <row r="191" spans="2:18" x14ac:dyDescent="0.2">
      <c r="B191" s="335">
        <f t="shared" si="1"/>
        <v>0</v>
      </c>
      <c r="C191" s="347" t="s">
        <v>2826</v>
      </c>
      <c r="D191" s="347" t="s">
        <v>2826</v>
      </c>
      <c r="E191" s="347"/>
      <c r="F191" s="334">
        <f>COUNTIF(Sheele!$G$20:$J$29,C191)</f>
        <v>0</v>
      </c>
      <c r="G191" s="318">
        <v>1</v>
      </c>
      <c r="H191" s="318">
        <f>IF(OR($F191=0,$G191=0),0,MAX($H$111:H190)+1)</f>
        <v>0</v>
      </c>
      <c r="I191" s="725" t="s">
        <v>1464</v>
      </c>
      <c r="J191" s="726" t="s">
        <v>1464</v>
      </c>
      <c r="K191" s="727" t="s">
        <v>1464</v>
      </c>
      <c r="L191" s="5901" t="s">
        <v>2827</v>
      </c>
      <c r="M191" s="5901"/>
      <c r="N191" s="5901"/>
      <c r="O191" s="5901"/>
      <c r="P191" s="5901"/>
      <c r="Q191" s="5901"/>
      <c r="R191" s="738" t="s">
        <v>1464</v>
      </c>
    </row>
    <row r="192" spans="2:18" x14ac:dyDescent="0.2">
      <c r="B192" s="335">
        <f t="shared" si="1"/>
        <v>0</v>
      </c>
      <c r="C192" s="347" t="s">
        <v>2828</v>
      </c>
      <c r="D192" s="347" t="s">
        <v>2828</v>
      </c>
      <c r="E192" s="347"/>
      <c r="F192" s="334">
        <f>COUNTIF(Sheele!$G$20:$J$29,C192)</f>
        <v>0</v>
      </c>
      <c r="G192" s="318">
        <v>1</v>
      </c>
      <c r="H192" s="318">
        <f>IF(OR($F192=0,$G192=0),0,MAX($H$111:H191)+1)</f>
        <v>0</v>
      </c>
      <c r="I192" s="725">
        <v>100</v>
      </c>
      <c r="J192" s="2718" t="s">
        <v>3298</v>
      </c>
      <c r="K192" s="727" t="s">
        <v>1464</v>
      </c>
      <c r="L192" s="5901" t="str">
        <f>"Área 25m. RM "&amp;Sheele!N21*2+Sheele!H15&amp;": -[fracaso] Hab. PER y -0.5*[fracaso] ata. En contacto: Inmune"</f>
        <v>Área 25m. RM 70: -[fracaso] Hab. PER y -0.5*[fracaso] ata. En contacto: Inmune</v>
      </c>
      <c r="M192" s="5901"/>
      <c r="N192" s="5901"/>
      <c r="O192" s="5901"/>
      <c r="P192" s="5901"/>
      <c r="Q192" s="5901"/>
      <c r="R192" s="738" t="s">
        <v>1464</v>
      </c>
    </row>
    <row r="193" spans="2:18" x14ac:dyDescent="0.2">
      <c r="B193" s="335">
        <f t="shared" si="1"/>
        <v>0</v>
      </c>
      <c r="C193" s="347" t="s">
        <v>2829</v>
      </c>
      <c r="D193" s="347" t="s">
        <v>2829</v>
      </c>
      <c r="E193" s="347"/>
      <c r="F193" s="334">
        <f>COUNTIF(Sheele!$G$20:$J$29,C193)</f>
        <v>0</v>
      </c>
      <c r="G193" s="318">
        <v>1</v>
      </c>
      <c r="H193" s="318">
        <f>IF(OR($F193=0,$G193=0),0,MAX($H$111:H192)+1)</f>
        <v>0</v>
      </c>
      <c r="I193" s="725" t="s">
        <v>1464</v>
      </c>
      <c r="J193" s="726" t="s">
        <v>1464</v>
      </c>
      <c r="K193" s="727" t="s">
        <v>1464</v>
      </c>
      <c r="L193" s="5901" t="s">
        <v>2830</v>
      </c>
      <c r="M193" s="5901"/>
      <c r="N193" s="5901"/>
      <c r="O193" s="5901"/>
      <c r="P193" s="5901"/>
      <c r="Q193" s="5901"/>
      <c r="R193" s="738" t="s">
        <v>1464</v>
      </c>
    </row>
    <row r="194" spans="2:18" x14ac:dyDescent="0.2">
      <c r="B194" s="335">
        <f t="shared" si="1"/>
        <v>0</v>
      </c>
      <c r="C194" s="347" t="s">
        <v>2831</v>
      </c>
      <c r="D194" s="347" t="s">
        <v>2831</v>
      </c>
      <c r="E194" s="347"/>
      <c r="F194" s="334">
        <f>COUNTIF(Sheele!$G$20:$J$29,C194)</f>
        <v>0</v>
      </c>
      <c r="G194" s="318">
        <v>1</v>
      </c>
      <c r="H194" s="318">
        <f>IF(OR($F194=0,$G194=0),0,MAX($H$111:H193)+1)</f>
        <v>0</v>
      </c>
      <c r="I194" s="725" t="s">
        <v>1464</v>
      </c>
      <c r="J194" s="726" t="s">
        <v>1464</v>
      </c>
      <c r="K194" s="727" t="s">
        <v>1464</v>
      </c>
      <c r="L194" s="5918" t="s">
        <v>2832</v>
      </c>
      <c r="M194" s="5901"/>
      <c r="N194" s="5901"/>
      <c r="O194" s="5901"/>
      <c r="P194" s="5901"/>
      <c r="Q194" s="5901"/>
      <c r="R194" s="738" t="s">
        <v>1389</v>
      </c>
    </row>
    <row r="195" spans="2:18" x14ac:dyDescent="0.2">
      <c r="B195" s="335">
        <f t="shared" si="1"/>
        <v>0</v>
      </c>
      <c r="C195" s="347" t="s">
        <v>2833</v>
      </c>
      <c r="D195" s="347" t="s">
        <v>2833</v>
      </c>
      <c r="E195" s="347"/>
      <c r="F195" s="334">
        <f>COUNTIF(Sheele!$G$20:$J$29,C195)</f>
        <v>0</v>
      </c>
      <c r="G195" s="318">
        <v>1</v>
      </c>
      <c r="H195" s="318">
        <f>IF(OR($F195=0,$G195=0),0,MAX($H$111:H194)+1)</f>
        <v>0</v>
      </c>
      <c r="I195" s="725">
        <v>200</v>
      </c>
      <c r="J195" s="726" t="str">
        <f>"+10/c"</f>
        <v>+10/c</v>
      </c>
      <c r="K195" s="727" t="s">
        <v>1464</v>
      </c>
      <c r="L195" s="5901" t="str">
        <f>"Defensa. Crea "&amp;Sheele!G15&amp;" copias. Se desvanece 1/ turno y 1/ defensa. Ver."</f>
        <v>Defensa. Crea 8 copias. Se desvanece 1/ turno y 1/ defensa. Ver.</v>
      </c>
      <c r="M195" s="5901"/>
      <c r="N195" s="5901"/>
      <c r="O195" s="5901"/>
      <c r="P195" s="5901"/>
      <c r="Q195" s="5901"/>
      <c r="R195" s="738" t="s">
        <v>1464</v>
      </c>
    </row>
    <row r="196" spans="2:18" x14ac:dyDescent="0.2">
      <c r="B196" s="335">
        <f t="shared" si="1"/>
        <v>0</v>
      </c>
      <c r="C196" s="347" t="s">
        <v>2834</v>
      </c>
      <c r="D196" s="347" t="s">
        <v>2834</v>
      </c>
      <c r="E196" s="347"/>
      <c r="F196" s="334">
        <f>COUNTIF(Sheele!$G$20:$J$29,C196)</f>
        <v>0</v>
      </c>
      <c r="G196" s="318">
        <v>1</v>
      </c>
      <c r="H196" s="318">
        <f>IF(OR($F196=0,$G196=0),0,MAX($H$111:H195)+1)</f>
        <v>0</v>
      </c>
      <c r="I196" s="725" t="s">
        <v>1464</v>
      </c>
      <c r="J196" s="726" t="s">
        <v>1464</v>
      </c>
      <c r="K196" s="727" t="s">
        <v>1464</v>
      </c>
      <c r="L196" s="5911" t="s">
        <v>9970</v>
      </c>
      <c r="M196" s="5901"/>
      <c r="N196" s="5901"/>
      <c r="O196" s="5901"/>
      <c r="P196" s="5901"/>
      <c r="Q196" s="5901"/>
      <c r="R196" s="738"/>
    </row>
    <row r="197" spans="2:18" x14ac:dyDescent="0.2">
      <c r="B197" s="335">
        <f t="shared" si="1"/>
        <v>0</v>
      </c>
      <c r="C197" s="347" t="s">
        <v>2753</v>
      </c>
      <c r="D197" s="347" t="s">
        <v>2753</v>
      </c>
      <c r="E197" s="347"/>
      <c r="F197" s="334">
        <f>COUNTIF(Sheele!$G$20:$J$29,C197)</f>
        <v>0</v>
      </c>
      <c r="G197" s="318"/>
      <c r="H197" s="318">
        <f>IF(OR($F197=0,$G197=0),0,MAX($H$111:H196)+1)</f>
        <v>0</v>
      </c>
      <c r="I197" s="725" t="s">
        <v>1464</v>
      </c>
      <c r="J197" s="726" t="s">
        <v>1464</v>
      </c>
      <c r="K197" s="727" t="s">
        <v>1464</v>
      </c>
      <c r="L197" s="5918" t="s">
        <v>2754</v>
      </c>
      <c r="M197" s="5901"/>
      <c r="N197" s="5901"/>
      <c r="O197" s="5901"/>
      <c r="P197" s="5901"/>
      <c r="Q197" s="5901"/>
      <c r="R197" s="738" t="s">
        <v>1464</v>
      </c>
    </row>
    <row r="198" spans="2:18" ht="13.5" thickBot="1" x14ac:dyDescent="0.25">
      <c r="B198" s="353">
        <f t="shared" si="1"/>
        <v>0</v>
      </c>
      <c r="C198" s="354" t="s">
        <v>2835</v>
      </c>
      <c r="D198" s="354" t="s">
        <v>2835</v>
      </c>
      <c r="E198" s="354"/>
      <c r="F198" s="509">
        <f>COUNTIF(Sheele!$G$20:$J$29,C198)</f>
        <v>0</v>
      </c>
      <c r="G198" s="322">
        <v>1</v>
      </c>
      <c r="H198" s="322">
        <f>IF(OR($F198=0,$G198=0),0,MAX($H$111:H197)+1)</f>
        <v>0</v>
      </c>
      <c r="I198" s="2717" t="s">
        <v>9971</v>
      </c>
      <c r="J198" s="743" t="s">
        <v>1464</v>
      </c>
      <c r="K198" s="728" t="s">
        <v>1464</v>
      </c>
      <c r="L198" s="5935" t="str">
        <f>"A voluntad. Solo vulnerable a destrucción de sortilegios (Base, valor zeonico "&amp;Sheele!P29&amp;")"</f>
        <v>A voluntad. Solo vulnerable a destrucción de sortilegios (Base, valor zeonico 60)</v>
      </c>
      <c r="M198" s="5935"/>
      <c r="N198" s="5935"/>
      <c r="O198" s="5935"/>
      <c r="P198" s="5935"/>
      <c r="Q198" s="5935"/>
      <c r="R198" s="744"/>
    </row>
    <row r="199" spans="2:18" ht="13.5" thickBot="1" x14ac:dyDescent="0.25">
      <c r="B199" s="355">
        <f t="shared" si="1"/>
        <v>0</v>
      </c>
      <c r="F199" s="731" t="s">
        <v>2836</v>
      </c>
      <c r="G199" s="732"/>
      <c r="H199" s="320">
        <f>COUNTIF(H112:H198,"&gt;0")</f>
        <v>0</v>
      </c>
    </row>
    <row r="200" spans="2:18" ht="13.5" thickBot="1" x14ac:dyDescent="0.25"/>
    <row r="201" spans="2:18" x14ac:dyDescent="0.2">
      <c r="B201" s="5947" t="s">
        <v>2837</v>
      </c>
      <c r="C201" s="5948"/>
      <c r="D201" s="5948"/>
      <c r="E201" s="5948"/>
      <c r="F201" s="5948"/>
      <c r="G201" s="5948"/>
      <c r="H201" s="5948"/>
      <c r="I201" s="5948"/>
      <c r="J201" s="5948"/>
      <c r="K201" s="5948"/>
      <c r="L201" s="5948"/>
      <c r="M201" s="5949"/>
    </row>
    <row r="202" spans="2:18" x14ac:dyDescent="0.2">
      <c r="B202" s="5950"/>
      <c r="C202" s="5951"/>
      <c r="D202" s="5951"/>
      <c r="E202" s="5951"/>
      <c r="F202" s="5951"/>
      <c r="G202" s="5951"/>
      <c r="H202" s="5951"/>
      <c r="I202" s="5951"/>
      <c r="J202" s="5951"/>
      <c r="K202" s="5951"/>
      <c r="L202" s="5951"/>
      <c r="M202" s="5952"/>
    </row>
    <row r="203" spans="2:18" x14ac:dyDescent="0.2">
      <c r="B203" s="517"/>
      <c r="C203" s="503">
        <v>1</v>
      </c>
      <c r="D203" s="503">
        <v>2</v>
      </c>
      <c r="E203" s="503">
        <v>3</v>
      </c>
      <c r="F203" s="503">
        <v>4</v>
      </c>
      <c r="G203" s="503">
        <v>5</v>
      </c>
      <c r="H203" s="503">
        <v>6</v>
      </c>
      <c r="I203" s="503">
        <v>7</v>
      </c>
      <c r="J203" s="503">
        <v>8</v>
      </c>
      <c r="K203" s="514" t="s">
        <v>6398</v>
      </c>
      <c r="L203" s="5929" t="s">
        <v>2838</v>
      </c>
      <c r="M203" s="5930"/>
    </row>
    <row r="204" spans="2:18" x14ac:dyDescent="0.2">
      <c r="B204" s="513"/>
      <c r="C204" s="5927" t="s">
        <v>1612</v>
      </c>
      <c r="D204" s="5928"/>
      <c r="E204" s="516" t="str">
        <f t="array" ref="E204:H204">TRANSPOSE(C205:D208)</f>
        <v>Vuelo Místico 10</v>
      </c>
      <c r="F204" s="516" t="str">
        <v>Movimiento Defensivo</v>
      </c>
      <c r="G204" s="516" t="str">
        <v xml:space="preserve"> </v>
      </c>
      <c r="H204" s="516" t="str">
        <v xml:space="preserve"> </v>
      </c>
      <c r="I204" s="515"/>
      <c r="J204" s="512"/>
      <c r="K204" s="507"/>
      <c r="L204" s="5931"/>
      <c r="M204" s="5932"/>
    </row>
    <row r="205" spans="2:18" x14ac:dyDescent="0.2">
      <c r="B205" s="351"/>
      <c r="C205" s="5925" t="s">
        <v>2839</v>
      </c>
      <c r="D205" s="5926"/>
      <c r="E205" s="5937" t="s">
        <v>2840</v>
      </c>
      <c r="F205" s="5937"/>
      <c r="G205" s="5937"/>
      <c r="H205" s="5937"/>
      <c r="I205" s="5937"/>
      <c r="J205" s="5937"/>
      <c r="K205" s="334" t="s">
        <v>1464</v>
      </c>
      <c r="L205" s="5933">
        <v>10</v>
      </c>
      <c r="M205" s="5934"/>
    </row>
    <row r="206" spans="2:18" x14ac:dyDescent="0.2">
      <c r="B206" s="351"/>
      <c r="C206" s="5925" t="s">
        <v>2841</v>
      </c>
      <c r="D206" s="5926"/>
      <c r="E206" s="5937" t="s">
        <v>2842</v>
      </c>
      <c r="F206" s="5938"/>
      <c r="G206" s="5938"/>
      <c r="H206" s="5938"/>
      <c r="I206" s="5938"/>
      <c r="J206" s="5938"/>
      <c r="K206" s="334" t="s">
        <v>1464</v>
      </c>
      <c r="L206" s="5933"/>
      <c r="M206" s="5934"/>
    </row>
    <row r="207" spans="2:18" x14ac:dyDescent="0.2">
      <c r="B207" s="302"/>
      <c r="C207" s="5900" t="s">
        <v>2843</v>
      </c>
      <c r="D207" s="5936"/>
      <c r="E207" s="5937"/>
      <c r="F207" s="5938"/>
      <c r="G207" s="5938"/>
      <c r="H207" s="5938"/>
      <c r="I207" s="5938"/>
      <c r="J207" s="5938"/>
      <c r="K207" s="334"/>
      <c r="L207" s="5900"/>
      <c r="M207" s="5941"/>
    </row>
    <row r="208" spans="2:18" x14ac:dyDescent="0.2">
      <c r="B208" s="302"/>
      <c r="C208" s="5900" t="s">
        <v>2843</v>
      </c>
      <c r="D208" s="5936"/>
      <c r="E208" s="5937"/>
      <c r="F208" s="5938"/>
      <c r="G208" s="5938"/>
      <c r="H208" s="5938"/>
      <c r="I208" s="5938"/>
      <c r="J208" s="5938"/>
      <c r="K208" s="334"/>
      <c r="L208" s="5900"/>
      <c r="M208" s="5941"/>
    </row>
    <row r="209" spans="2:13" x14ac:dyDescent="0.2">
      <c r="B209" s="513"/>
      <c r="C209" s="5927" t="s">
        <v>1615</v>
      </c>
      <c r="D209" s="5928"/>
      <c r="E209" s="516" t="str">
        <f t="array" ref="E209:H209">TRANSPOSE(C210:D213)</f>
        <v>Vuelo Místico 4</v>
      </c>
      <c r="F209" s="516" t="str">
        <v>Movimiento Acuático</v>
      </c>
      <c r="G209" s="516" t="str">
        <v>Respiración Acuática</v>
      </c>
      <c r="H209" s="516" t="str">
        <v>Resistencia Física</v>
      </c>
      <c r="I209" s="511"/>
      <c r="J209" s="512"/>
      <c r="K209" s="510"/>
      <c r="L209" s="5939"/>
      <c r="M209" s="5940"/>
    </row>
    <row r="210" spans="2:13" x14ac:dyDescent="0.2">
      <c r="B210" s="351"/>
      <c r="C210" s="5925" t="s">
        <v>2844</v>
      </c>
      <c r="D210" s="5926"/>
      <c r="E210" s="5937" t="s">
        <v>2845</v>
      </c>
      <c r="F210" s="5937"/>
      <c r="G210" s="5937"/>
      <c r="H210" s="5937"/>
      <c r="I210" s="5937"/>
      <c r="J210" s="5937"/>
      <c r="K210" s="334" t="s">
        <v>1464</v>
      </c>
      <c r="L210" s="5933">
        <v>4</v>
      </c>
      <c r="M210" s="5934"/>
    </row>
    <row r="211" spans="2:13" x14ac:dyDescent="0.2">
      <c r="B211" s="351"/>
      <c r="C211" s="5925" t="s">
        <v>2846</v>
      </c>
      <c r="D211" s="5926"/>
      <c r="E211" s="5937" t="s">
        <v>2847</v>
      </c>
      <c r="F211" s="5938"/>
      <c r="G211" s="5938"/>
      <c r="H211" s="5938"/>
      <c r="I211" s="5938"/>
      <c r="J211" s="5938"/>
      <c r="K211" s="334" t="s">
        <v>1464</v>
      </c>
      <c r="L211" s="5933"/>
      <c r="M211" s="5934"/>
    </row>
    <row r="212" spans="2:13" x14ac:dyDescent="0.2">
      <c r="B212" s="302"/>
      <c r="C212" s="5900" t="s">
        <v>2848</v>
      </c>
      <c r="D212" s="5936"/>
      <c r="E212" s="5937" t="s">
        <v>2849</v>
      </c>
      <c r="F212" s="5938"/>
      <c r="G212" s="5938"/>
      <c r="H212" s="5938"/>
      <c r="I212" s="5938"/>
      <c r="J212" s="5938"/>
      <c r="K212" s="334" t="s">
        <v>1464</v>
      </c>
      <c r="L212" s="5933"/>
      <c r="M212" s="5934"/>
    </row>
    <row r="213" spans="2:13" x14ac:dyDescent="0.2">
      <c r="B213" s="302"/>
      <c r="C213" s="5900" t="s">
        <v>2850</v>
      </c>
      <c r="D213" s="5936"/>
      <c r="E213" s="5937" t="s">
        <v>2851</v>
      </c>
      <c r="F213" s="5938"/>
      <c r="G213" s="5938"/>
      <c r="H213" s="5938"/>
      <c r="I213" s="5938"/>
      <c r="J213" s="5938"/>
      <c r="K213" s="334" t="s">
        <v>1464</v>
      </c>
      <c r="L213" s="5933"/>
      <c r="M213" s="5934"/>
    </row>
    <row r="214" spans="2:13" x14ac:dyDescent="0.2">
      <c r="B214" s="513"/>
      <c r="C214" s="5927" t="s">
        <v>1619</v>
      </c>
      <c r="D214" s="5928"/>
      <c r="E214" s="516" t="str">
        <f t="array" ref="E214:H214">TRANSPOSE(C215:D218)</f>
        <v>Vuelo Místico 6</v>
      </c>
      <c r="F214" s="516" t="str">
        <v>Control de Llamas</v>
      </c>
      <c r="G214" s="516" t="str">
        <v xml:space="preserve"> </v>
      </c>
      <c r="H214" s="516" t="str">
        <v xml:space="preserve"> </v>
      </c>
      <c r="I214" s="511"/>
      <c r="J214" s="512"/>
      <c r="K214" s="510"/>
      <c r="L214" s="5939"/>
      <c r="M214" s="5940"/>
    </row>
    <row r="215" spans="2:13" x14ac:dyDescent="0.2">
      <c r="B215" s="351"/>
      <c r="C215" s="5925" t="s">
        <v>2852</v>
      </c>
      <c r="D215" s="5926"/>
      <c r="E215" s="5937" t="s">
        <v>2853</v>
      </c>
      <c r="F215" s="5937"/>
      <c r="G215" s="5937"/>
      <c r="H215" s="5937"/>
      <c r="I215" s="5937"/>
      <c r="J215" s="5937"/>
      <c r="K215" s="334" t="s">
        <v>1464</v>
      </c>
      <c r="L215" s="5933">
        <v>6</v>
      </c>
      <c r="M215" s="5934"/>
    </row>
    <row r="216" spans="2:13" x14ac:dyDescent="0.2">
      <c r="B216" s="351"/>
      <c r="C216" s="5925" t="s">
        <v>2854</v>
      </c>
      <c r="D216" s="5926"/>
      <c r="E216" s="5937" t="str">
        <f>"Controlar llamas de intensidades no superiores a "&amp;Sheele!G15/2&amp;". Puede atacar con ellas."</f>
        <v>Controlar llamas de intensidades no superiores a 4. Puede atacar con ellas.</v>
      </c>
      <c r="F216" s="5938"/>
      <c r="G216" s="5938"/>
      <c r="H216" s="5938"/>
      <c r="I216" s="5938"/>
      <c r="J216" s="5938"/>
      <c r="K216" s="334" t="s">
        <v>1464</v>
      </c>
      <c r="L216" s="5933"/>
      <c r="M216" s="5934"/>
    </row>
    <row r="217" spans="2:13" x14ac:dyDescent="0.2">
      <c r="B217" s="302"/>
      <c r="C217" s="5900" t="s">
        <v>2843</v>
      </c>
      <c r="D217" s="5936"/>
      <c r="E217" s="5937"/>
      <c r="F217" s="5938"/>
      <c r="G217" s="5938"/>
      <c r="H217" s="5938"/>
      <c r="I217" s="5938"/>
      <c r="J217" s="5938"/>
      <c r="K217" s="334"/>
      <c r="L217" s="5900"/>
      <c r="M217" s="5941"/>
    </row>
    <row r="218" spans="2:13" x14ac:dyDescent="0.2">
      <c r="B218" s="302"/>
      <c r="C218" s="5900" t="s">
        <v>2843</v>
      </c>
      <c r="D218" s="5936"/>
      <c r="E218" s="5937"/>
      <c r="F218" s="5938"/>
      <c r="G218" s="5938"/>
      <c r="H218" s="5938"/>
      <c r="I218" s="5938"/>
      <c r="J218" s="5938"/>
      <c r="K218" s="334"/>
      <c r="L218" s="5900"/>
      <c r="M218" s="5941"/>
    </row>
    <row r="219" spans="2:13" x14ac:dyDescent="0.2">
      <c r="B219" s="513"/>
      <c r="C219" s="5927" t="s">
        <v>1713</v>
      </c>
      <c r="D219" s="5928"/>
      <c r="E219" s="516" t="str">
        <f t="array" ref="E219:H219">TRANSPOSE(C220:D223)</f>
        <v>Vuelo Místico 4</v>
      </c>
      <c r="F219" s="516" t="str">
        <v>Resistencia</v>
      </c>
      <c r="G219" s="516" t="str">
        <v xml:space="preserve"> </v>
      </c>
      <c r="H219" s="516" t="str">
        <v xml:space="preserve"> </v>
      </c>
      <c r="I219" s="511"/>
      <c r="J219" s="512"/>
      <c r="K219" s="510"/>
      <c r="L219" s="5939"/>
      <c r="M219" s="5940"/>
    </row>
    <row r="220" spans="2:13" x14ac:dyDescent="0.2">
      <c r="B220" s="351"/>
      <c r="C220" s="5925" t="s">
        <v>2844</v>
      </c>
      <c r="D220" s="5926"/>
      <c r="E220" s="5937" t="s">
        <v>2845</v>
      </c>
      <c r="F220" s="5937"/>
      <c r="G220" s="5937"/>
      <c r="H220" s="5937"/>
      <c r="I220" s="5937"/>
      <c r="J220" s="5937"/>
      <c r="K220" s="334" t="s">
        <v>1464</v>
      </c>
      <c r="L220" s="5933">
        <v>4</v>
      </c>
      <c r="M220" s="5934"/>
    </row>
    <row r="221" spans="2:13" x14ac:dyDescent="0.2">
      <c r="B221" s="351"/>
      <c r="C221" s="5925" t="s">
        <v>2800</v>
      </c>
      <c r="D221" s="5926"/>
      <c r="E221" s="5937" t="s">
        <v>2855</v>
      </c>
      <c r="F221" s="5938"/>
      <c r="G221" s="5938"/>
      <c r="H221" s="5938"/>
      <c r="I221" s="5938"/>
      <c r="J221" s="5938"/>
      <c r="K221" s="334" t="s">
        <v>1464</v>
      </c>
      <c r="L221" s="5933"/>
      <c r="M221" s="5934"/>
    </row>
    <row r="222" spans="2:13" x14ac:dyDescent="0.2">
      <c r="B222" s="302"/>
      <c r="C222" s="5900" t="s">
        <v>2843</v>
      </c>
      <c r="D222" s="5936"/>
      <c r="E222" s="5937"/>
      <c r="F222" s="5938"/>
      <c r="G222" s="5938"/>
      <c r="H222" s="5938"/>
      <c r="I222" s="5938"/>
      <c r="J222" s="5938"/>
      <c r="K222" s="334"/>
      <c r="L222" s="5900"/>
      <c r="M222" s="5941"/>
    </row>
    <row r="223" spans="2:13" x14ac:dyDescent="0.2">
      <c r="B223" s="302"/>
      <c r="C223" s="5900" t="s">
        <v>2843</v>
      </c>
      <c r="D223" s="5936"/>
      <c r="E223" s="5937"/>
      <c r="F223" s="5938"/>
      <c r="G223" s="5938"/>
      <c r="H223" s="5938"/>
      <c r="I223" s="5938"/>
      <c r="J223" s="5938"/>
      <c r="K223" s="334"/>
      <c r="L223" s="5900"/>
      <c r="M223" s="5941"/>
    </row>
    <row r="224" spans="2:13" x14ac:dyDescent="0.2">
      <c r="B224" s="513"/>
      <c r="C224" s="5927" t="s">
        <v>1708</v>
      </c>
      <c r="D224" s="5928"/>
      <c r="E224" s="516" t="str">
        <f t="array" ref="E224:H224">TRANSPOSE(C225:D228)</f>
        <v>Vuelo  Místico 6</v>
      </c>
      <c r="F224" s="516" t="str">
        <v>Visión de Luz</v>
      </c>
      <c r="G224" s="516" t="str">
        <v>Luminosa</v>
      </c>
      <c r="H224" s="516" t="str">
        <v xml:space="preserve"> </v>
      </c>
      <c r="I224" s="511"/>
      <c r="J224" s="512"/>
      <c r="K224" s="510"/>
      <c r="L224" s="5939"/>
      <c r="M224" s="5940"/>
    </row>
    <row r="225" spans="2:13" x14ac:dyDescent="0.2">
      <c r="B225" s="351"/>
      <c r="C225" s="5925" t="s">
        <v>2856</v>
      </c>
      <c r="D225" s="5926"/>
      <c r="E225" s="5937" t="s">
        <v>2853</v>
      </c>
      <c r="F225" s="5937"/>
      <c r="G225" s="5937"/>
      <c r="H225" s="5937"/>
      <c r="I225" s="5937"/>
      <c r="J225" s="5937"/>
      <c r="K225" s="334" t="s">
        <v>1464</v>
      </c>
      <c r="L225" s="5933">
        <v>6</v>
      </c>
      <c r="M225" s="5934"/>
    </row>
    <row r="226" spans="2:13" x14ac:dyDescent="0.2">
      <c r="B226" s="351"/>
      <c r="C226" s="5925" t="s">
        <v>2857</v>
      </c>
      <c r="D226" s="5926"/>
      <c r="E226" s="5937" t="s">
        <v>2858</v>
      </c>
      <c r="F226" s="5938"/>
      <c r="G226" s="5938"/>
      <c r="H226" s="5938"/>
      <c r="I226" s="5938"/>
      <c r="J226" s="5938"/>
      <c r="K226" s="334" t="s">
        <v>1464</v>
      </c>
      <c r="L226" s="5933"/>
      <c r="M226" s="5934"/>
    </row>
    <row r="227" spans="2:13" x14ac:dyDescent="0.2">
      <c r="B227" s="302"/>
      <c r="C227" s="5900" t="s">
        <v>2859</v>
      </c>
      <c r="D227" s="5936"/>
      <c r="E227" s="5937" t="s">
        <v>2860</v>
      </c>
      <c r="F227" s="5938"/>
      <c r="G227" s="5938"/>
      <c r="H227" s="5938"/>
      <c r="I227" s="5938"/>
      <c r="J227" s="5938"/>
      <c r="K227" s="334" t="s">
        <v>1464</v>
      </c>
      <c r="L227" s="5933"/>
      <c r="M227" s="5934"/>
    </row>
    <row r="228" spans="2:13" x14ac:dyDescent="0.2">
      <c r="B228" s="302"/>
      <c r="C228" s="5900" t="s">
        <v>2843</v>
      </c>
      <c r="D228" s="5936"/>
      <c r="E228" s="5937"/>
      <c r="F228" s="5938"/>
      <c r="G228" s="5938"/>
      <c r="H228" s="5938"/>
      <c r="I228" s="5938"/>
      <c r="J228" s="5938"/>
      <c r="K228" s="334"/>
      <c r="L228" s="5900"/>
      <c r="M228" s="5941"/>
    </row>
    <row r="229" spans="2:13" x14ac:dyDescent="0.2">
      <c r="B229" s="513"/>
      <c r="C229" s="5927" t="s">
        <v>1709</v>
      </c>
      <c r="D229" s="5928"/>
      <c r="E229" s="516" t="str">
        <f t="array" ref="E229:H229">TRANSPOSE(C230:D233)</f>
        <v>Vuelo Místico 8</v>
      </c>
      <c r="F229" s="516" t="str">
        <v>Visión oscura</v>
      </c>
      <c r="G229" s="516" t="str">
        <v>Invisible en la Sombra</v>
      </c>
      <c r="H229" s="516" t="str">
        <v xml:space="preserve"> </v>
      </c>
      <c r="I229" s="511"/>
      <c r="J229" s="512"/>
      <c r="K229" s="510"/>
      <c r="L229" s="5939"/>
      <c r="M229" s="5940"/>
    </row>
    <row r="230" spans="2:13" x14ac:dyDescent="0.2">
      <c r="B230" s="351"/>
      <c r="C230" s="5925" t="s">
        <v>2861</v>
      </c>
      <c r="D230" s="5926"/>
      <c r="E230" s="5937" t="s">
        <v>2862</v>
      </c>
      <c r="F230" s="5937"/>
      <c r="G230" s="5937"/>
      <c r="H230" s="5937"/>
      <c r="I230" s="5937"/>
      <c r="J230" s="5937"/>
      <c r="K230" s="334" t="s">
        <v>1464</v>
      </c>
      <c r="L230" s="5933">
        <v>8</v>
      </c>
      <c r="M230" s="5934"/>
    </row>
    <row r="231" spans="2:13" x14ac:dyDescent="0.2">
      <c r="B231" s="351"/>
      <c r="C231" s="5925" t="s">
        <v>2863</v>
      </c>
      <c r="D231" s="5926"/>
      <c r="E231" s="5937" t="s">
        <v>2864</v>
      </c>
      <c r="F231" s="5938"/>
      <c r="G231" s="5938"/>
      <c r="H231" s="5938"/>
      <c r="I231" s="5938"/>
      <c r="J231" s="5938"/>
      <c r="K231" s="334" t="s">
        <v>1464</v>
      </c>
      <c r="L231" s="5933"/>
      <c r="M231" s="5934"/>
    </row>
    <row r="232" spans="2:13" x14ac:dyDescent="0.2">
      <c r="B232" s="302"/>
      <c r="C232" s="5900" t="s">
        <v>2865</v>
      </c>
      <c r="D232" s="5936"/>
      <c r="E232" s="5937" t="s">
        <v>2866</v>
      </c>
      <c r="F232" s="5938"/>
      <c r="G232" s="5938"/>
      <c r="H232" s="5938"/>
      <c r="I232" s="5938"/>
      <c r="J232" s="5938"/>
      <c r="K232" s="334" t="s">
        <v>1464</v>
      </c>
      <c r="L232" s="5933"/>
      <c r="M232" s="5934"/>
    </row>
    <row r="233" spans="2:13" x14ac:dyDescent="0.2">
      <c r="B233" s="302"/>
      <c r="C233" s="5900" t="s">
        <v>2843</v>
      </c>
      <c r="D233" s="5936"/>
      <c r="E233" s="5937"/>
      <c r="F233" s="5938"/>
      <c r="G233" s="5938"/>
      <c r="H233" s="5938"/>
      <c r="I233" s="5938"/>
      <c r="J233" s="5938"/>
      <c r="K233" s="334"/>
      <c r="L233" s="5900"/>
      <c r="M233" s="5941"/>
    </row>
    <row r="234" spans="2:13" x14ac:dyDescent="0.2">
      <c r="B234" s="513"/>
      <c r="C234" s="5927" t="s">
        <v>2677</v>
      </c>
      <c r="D234" s="5928"/>
      <c r="E234" s="516" t="str">
        <f t="array" ref="E234:H234">TRANSPOSE(C235:D238)</f>
        <v>Vuelo Místico 6</v>
      </c>
      <c r="F234" s="516" t="str">
        <v>Naturaleza Sanadora</v>
      </c>
      <c r="G234" s="516" t="str">
        <v xml:space="preserve"> </v>
      </c>
      <c r="H234" s="516" t="str">
        <v xml:space="preserve"> </v>
      </c>
      <c r="I234" s="511"/>
      <c r="J234" s="512"/>
      <c r="K234" s="510"/>
      <c r="L234" s="5939"/>
      <c r="M234" s="5940"/>
    </row>
    <row r="235" spans="2:13" x14ac:dyDescent="0.2">
      <c r="B235" s="351"/>
      <c r="C235" s="5925" t="s">
        <v>2852</v>
      </c>
      <c r="D235" s="5926"/>
      <c r="E235" s="5937" t="s">
        <v>2853</v>
      </c>
      <c r="F235" s="5937"/>
      <c r="G235" s="5937"/>
      <c r="H235" s="5937"/>
      <c r="I235" s="5937"/>
      <c r="J235" s="5937"/>
      <c r="K235" s="334" t="s">
        <v>1464</v>
      </c>
      <c r="L235" s="5933">
        <v>6</v>
      </c>
      <c r="M235" s="5934"/>
    </row>
    <row r="236" spans="2:13" x14ac:dyDescent="0.2">
      <c r="B236" s="351"/>
      <c r="C236" s="5925" t="s">
        <v>2867</v>
      </c>
      <c r="D236" s="5926"/>
      <c r="E236" s="5937" t="s">
        <v>2868</v>
      </c>
      <c r="F236" s="5938"/>
      <c r="G236" s="5938"/>
      <c r="H236" s="5938"/>
      <c r="I236" s="5938"/>
      <c r="J236" s="5938"/>
      <c r="K236" s="334" t="s">
        <v>1464</v>
      </c>
      <c r="L236" s="5933"/>
      <c r="M236" s="5934"/>
    </row>
    <row r="237" spans="2:13" x14ac:dyDescent="0.2">
      <c r="B237" s="302"/>
      <c r="C237" s="5900" t="s">
        <v>2843</v>
      </c>
      <c r="D237" s="5936"/>
      <c r="E237" s="5937"/>
      <c r="F237" s="5938"/>
      <c r="G237" s="5938"/>
      <c r="H237" s="5938"/>
      <c r="I237" s="5938"/>
      <c r="J237" s="5938"/>
      <c r="K237" s="334"/>
      <c r="L237" s="5900"/>
      <c r="M237" s="5941"/>
    </row>
    <row r="238" spans="2:13" x14ac:dyDescent="0.2">
      <c r="B238" s="302"/>
      <c r="C238" s="5900" t="s">
        <v>2843</v>
      </c>
      <c r="D238" s="5936"/>
      <c r="E238" s="5937"/>
      <c r="F238" s="5938"/>
      <c r="G238" s="5938"/>
      <c r="H238" s="5938"/>
      <c r="I238" s="5938"/>
      <c r="J238" s="5938"/>
      <c r="K238" s="334"/>
      <c r="L238" s="5900"/>
      <c r="M238" s="5941"/>
    </row>
    <row r="239" spans="2:13" x14ac:dyDescent="0.2">
      <c r="B239" s="513"/>
      <c r="C239" s="5927" t="s">
        <v>1720</v>
      </c>
      <c r="D239" s="5928"/>
      <c r="E239" s="516" t="str">
        <f t="array" ref="E239:H239">TRANSPOSE(C240:D243)</f>
        <v>Vuelo Místico 6</v>
      </c>
      <c r="F239" s="516" t="str">
        <v>La que Todo lo Ve</v>
      </c>
      <c r="G239" s="516" t="str">
        <v>Destellos de Ilusión</v>
      </c>
      <c r="H239" s="516" t="str">
        <v xml:space="preserve"> </v>
      </c>
      <c r="I239" s="511"/>
      <c r="J239" s="512"/>
      <c r="K239" s="510"/>
      <c r="L239" s="5939"/>
      <c r="M239" s="5940"/>
    </row>
    <row r="240" spans="2:13" x14ac:dyDescent="0.2">
      <c r="B240" s="351"/>
      <c r="C240" s="5925" t="s">
        <v>2852</v>
      </c>
      <c r="D240" s="5926"/>
      <c r="E240" s="5937" t="s">
        <v>2853</v>
      </c>
      <c r="F240" s="5937"/>
      <c r="G240" s="5937"/>
      <c r="H240" s="5937"/>
      <c r="I240" s="5937"/>
      <c r="J240" s="5937"/>
      <c r="K240" s="334" t="s">
        <v>1464</v>
      </c>
      <c r="L240" s="5933">
        <v>6</v>
      </c>
      <c r="M240" s="5934"/>
    </row>
    <row r="241" spans="2:13" x14ac:dyDescent="0.2">
      <c r="B241" s="351"/>
      <c r="C241" s="5925" t="s">
        <v>2869</v>
      </c>
      <c r="D241" s="5926"/>
      <c r="E241" s="5937" t="s">
        <v>2870</v>
      </c>
      <c r="F241" s="5938"/>
      <c r="G241" s="5938"/>
      <c r="H241" s="5938"/>
      <c r="I241" s="5938"/>
      <c r="J241" s="5938"/>
      <c r="K241" s="334" t="s">
        <v>1464</v>
      </c>
      <c r="L241" s="5933"/>
      <c r="M241" s="5934"/>
    </row>
    <row r="242" spans="2:13" x14ac:dyDescent="0.2">
      <c r="B242" s="302"/>
      <c r="C242" s="5900" t="s">
        <v>2871</v>
      </c>
      <c r="D242" s="5936"/>
      <c r="E242" s="5937" t="s">
        <v>2872</v>
      </c>
      <c r="F242" s="5938"/>
      <c r="G242" s="5938"/>
      <c r="H242" s="5938"/>
      <c r="I242" s="5938"/>
      <c r="J242" s="5938"/>
      <c r="K242" s="334" t="s">
        <v>1464</v>
      </c>
      <c r="L242" s="5933"/>
      <c r="M242" s="5934"/>
    </row>
    <row r="243" spans="2:13" ht="13.5" thickBot="1" x14ac:dyDescent="0.25">
      <c r="B243" s="508"/>
      <c r="C243" s="5944" t="s">
        <v>2843</v>
      </c>
      <c r="D243" s="5945"/>
      <c r="E243" s="5942"/>
      <c r="F243" s="5943"/>
      <c r="G243" s="5943"/>
      <c r="H243" s="5943"/>
      <c r="I243" s="5943"/>
      <c r="J243" s="5943"/>
      <c r="K243" s="509"/>
      <c r="L243" s="5944"/>
      <c r="M243" s="594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5839</v>
      </c>
      <c r="D3" s="994"/>
      <c r="E3" s="994"/>
      <c r="F3" s="994"/>
      <c r="G3" s="994"/>
      <c r="H3" s="994"/>
      <c r="I3" s="994"/>
      <c r="J3" s="994"/>
      <c r="K3" s="994"/>
      <c r="L3" s="994"/>
      <c r="M3" s="994"/>
      <c r="N3" s="994"/>
      <c r="O3" s="994"/>
      <c r="P3" s="994"/>
      <c r="Q3" s="994"/>
      <c r="R3" s="995"/>
      <c r="S3" s="404"/>
      <c r="T3" s="404"/>
      <c r="U3" s="5953" t="s">
        <v>9589</v>
      </c>
      <c r="V3" s="5954"/>
      <c r="W3" s="5954"/>
      <c r="X3" s="5954"/>
      <c r="Y3" s="5954"/>
      <c r="Z3" s="5954"/>
      <c r="AA3" s="5954"/>
      <c r="AB3" s="5954"/>
      <c r="AC3" s="5954"/>
      <c r="AD3" s="5954"/>
      <c r="AE3" s="5954"/>
      <c r="AF3" s="5954"/>
      <c r="AG3" s="5954"/>
      <c r="AH3" s="5955"/>
      <c r="AJ3" s="5963" t="s">
        <v>9075</v>
      </c>
      <c r="AK3" s="5964"/>
      <c r="AL3" s="5965"/>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956"/>
      <c r="V4" s="5957"/>
      <c r="W4" s="5957"/>
      <c r="X4" s="5957"/>
      <c r="Y4" s="5957"/>
      <c r="Z4" s="5957"/>
      <c r="AA4" s="5957"/>
      <c r="AB4" s="5957"/>
      <c r="AC4" s="5957"/>
      <c r="AD4" s="5957"/>
      <c r="AE4" s="5957"/>
      <c r="AF4" s="5957"/>
      <c r="AG4" s="5957"/>
      <c r="AH4" s="5958"/>
      <c r="AJ4" s="5966"/>
      <c r="AK4" s="5967"/>
      <c r="AL4" s="5968"/>
    </row>
    <row r="5" spans="1:38" ht="12.75" customHeight="1" x14ac:dyDescent="0.2">
      <c r="A5" s="865">
        <v>5</v>
      </c>
      <c r="B5" s="5881" t="s">
        <v>7222</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81" t="s">
        <v>7221</v>
      </c>
      <c r="T5" s="411"/>
      <c r="U5" s="2286">
        <v>1</v>
      </c>
      <c r="V5" s="2287">
        <v>2</v>
      </c>
      <c r="W5" s="2287">
        <v>3</v>
      </c>
      <c r="X5" s="2287">
        <v>4</v>
      </c>
      <c r="Y5" s="2287">
        <v>5</v>
      </c>
      <c r="Z5" s="2287">
        <v>6</v>
      </c>
      <c r="AA5" s="2287">
        <v>7</v>
      </c>
      <c r="AB5" s="2287">
        <v>8</v>
      </c>
      <c r="AC5" s="2287">
        <v>9</v>
      </c>
      <c r="AD5" s="2287">
        <v>10</v>
      </c>
      <c r="AE5" s="2287">
        <v>11</v>
      </c>
      <c r="AF5" s="2287">
        <v>12</v>
      </c>
      <c r="AG5" s="2287">
        <v>13</v>
      </c>
      <c r="AH5" s="2288">
        <v>14</v>
      </c>
      <c r="AJ5" s="2644"/>
      <c r="AK5" s="2645" t="s">
        <v>9916</v>
      </c>
      <c r="AL5" s="2655" t="s">
        <v>2914</v>
      </c>
    </row>
    <row r="6" spans="1:38" ht="12.75" customHeight="1" thickBot="1" x14ac:dyDescent="0.25">
      <c r="A6" s="865">
        <v>6</v>
      </c>
      <c r="B6" s="5959"/>
      <c r="C6" s="409"/>
      <c r="D6" s="410" t="s">
        <v>1450</v>
      </c>
      <c r="E6" s="410" t="s">
        <v>118</v>
      </c>
      <c r="F6" s="410" t="s">
        <v>1411</v>
      </c>
      <c r="G6" s="410" t="s">
        <v>5840</v>
      </c>
      <c r="H6" s="410" t="s">
        <v>2906</v>
      </c>
      <c r="I6" s="410" t="s">
        <v>7431</v>
      </c>
      <c r="J6" s="410" t="s">
        <v>7432</v>
      </c>
      <c r="K6" s="410" t="s">
        <v>7433</v>
      </c>
      <c r="L6" s="410" t="s">
        <v>7442</v>
      </c>
      <c r="M6" s="410" t="s">
        <v>7434</v>
      </c>
      <c r="N6" s="410" t="s">
        <v>7435</v>
      </c>
      <c r="O6" s="410" t="s">
        <v>7436</v>
      </c>
      <c r="P6" s="410" t="s">
        <v>7437</v>
      </c>
      <c r="Q6" s="410" t="s">
        <v>7438</v>
      </c>
      <c r="R6" s="437" t="s">
        <v>7439</v>
      </c>
      <c r="S6" s="5959"/>
      <c r="U6" s="2289" t="s">
        <v>1450</v>
      </c>
      <c r="V6" s="2290" t="s">
        <v>9591</v>
      </c>
      <c r="W6" s="2290" t="s">
        <v>9592</v>
      </c>
      <c r="X6" s="2290" t="s">
        <v>7431</v>
      </c>
      <c r="Y6" s="2290" t="s">
        <v>7432</v>
      </c>
      <c r="Z6" s="2290" t="s">
        <v>7433</v>
      </c>
      <c r="AA6" s="2290" t="s">
        <v>7442</v>
      </c>
      <c r="AB6" s="2290" t="s">
        <v>7434</v>
      </c>
      <c r="AC6" s="2290" t="s">
        <v>7435</v>
      </c>
      <c r="AD6" s="2290" t="s">
        <v>7436</v>
      </c>
      <c r="AE6" s="2290" t="s">
        <v>7437</v>
      </c>
      <c r="AF6" s="2290" t="s">
        <v>7438</v>
      </c>
      <c r="AG6" s="2290" t="s">
        <v>7439</v>
      </c>
      <c r="AH6" s="2280" t="s">
        <v>9590</v>
      </c>
      <c r="AJ6" s="2656" t="s">
        <v>9917</v>
      </c>
      <c r="AK6" s="2646" t="str">
        <f>"'Tablas Psiquica'!"&amp;ADDRESS(ROW($AK$7),COLUMN($AK$7))&amp;":"&amp;ADDRESS(ROW($AK$7)+COUNTIF(AK7:AK145,"?*")-1,COLUMN($AK$7))</f>
        <v>'Tablas Psiquica'!$AK$7:$AK$11</v>
      </c>
      <c r="AL6" s="2657"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1" t="s">
        <v>119</v>
      </c>
      <c r="V7" s="414"/>
      <c r="W7" s="414"/>
      <c r="X7" s="999"/>
      <c r="Y7" s="999"/>
      <c r="Z7" s="999"/>
      <c r="AA7" s="999"/>
      <c r="AB7" s="999"/>
      <c r="AC7" s="999"/>
      <c r="AD7" s="999"/>
      <c r="AE7" s="999"/>
      <c r="AF7" s="999"/>
      <c r="AG7" s="999"/>
      <c r="AH7" s="2282" t="e">
        <f>IF(COUNTIF(Psíquicos!$AD$17:$AH$62,U7),VALUE(INDEX('Tablas psiquica'!$X7:$AG7,MATCH('Tablas psiquica'!$W7,'Tablas psiquica'!$X$6:$AG$6,0))),0)</f>
        <v>#N/A</v>
      </c>
      <c r="AJ7" s="2649">
        <f>IFERROR(IF(VLOOKUP(AK7,$D$7:$G$145,4,FALSE)&lt;&gt;"No",MAX(AJ$5:AJ5)+1,0),"")</f>
        <v>1</v>
      </c>
      <c r="AK7" s="2650" t="str">
        <f t="shared" ref="AK7:AK38" si="0">IF(ISNA(VLOOKUP(A1,$B$7:$D$145,3,FALSE)),"",VLOOKUP(A1,$B$7:$D$145,3,FALSE))</f>
        <v>&gt; PODERES MATRICIALES</v>
      </c>
      <c r="AL7" s="2658" t="str">
        <f>IFERROR(VLOOKUP(Tablas!$A1,$AJ$7:$AK$145,2,FALSE),"")</f>
        <v>&gt; PODERES MATRICIALES</v>
      </c>
    </row>
    <row r="8" spans="1:38" ht="12.75" customHeight="1" x14ac:dyDescent="0.2">
      <c r="A8" s="865">
        <v>8</v>
      </c>
      <c r="B8" s="860">
        <f>IF(OR(S8=0),0,SUM($S$6:S8))</f>
        <v>0</v>
      </c>
      <c r="C8" s="422"/>
      <c r="D8" s="287" t="s">
        <v>120</v>
      </c>
      <c r="E8" s="414" t="s">
        <v>99</v>
      </c>
      <c r="F8" s="415">
        <v>1</v>
      </c>
      <c r="G8" s="415" t="s">
        <v>2656</v>
      </c>
      <c r="H8" s="416" t="s">
        <v>1313</v>
      </c>
      <c r="I8" s="414" t="s">
        <v>5841</v>
      </c>
      <c r="J8" s="414" t="s">
        <v>5842</v>
      </c>
      <c r="K8" s="414" t="s">
        <v>5843</v>
      </c>
      <c r="L8" s="414" t="s">
        <v>5844</v>
      </c>
      <c r="M8" s="414" t="s">
        <v>5845</v>
      </c>
      <c r="N8" s="414" t="s">
        <v>5846</v>
      </c>
      <c r="O8" s="414" t="s">
        <v>5847</v>
      </c>
      <c r="P8" s="414" t="s">
        <v>5848</v>
      </c>
      <c r="Q8" s="414" t="s">
        <v>5849</v>
      </c>
      <c r="R8" s="438" t="s">
        <v>5850</v>
      </c>
      <c r="S8" s="862">
        <f>IF(COUNTIF(Psíquicos!$C$25:$E$36,E8)=0,0,1)</f>
        <v>0</v>
      </c>
      <c r="U8" s="2281"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2">
        <f>IF(COUNTIF(Psíquicos!$AD$17:$AH$62,U8),VALUE(INDEX('Tablas psiquica'!$X8:$AG8,MATCH('Tablas psiquica'!$W8,'Tablas psiquica'!$X$6:$AG$6,0))),0)</f>
        <v>0</v>
      </c>
      <c r="AJ8" s="2647">
        <f>IFERROR(IF(VLOOKUP(AK8,$D$7:$G$145,4,FALSE)&lt;&gt;"No",MAX(AJ$5:AJ7)+1,0),"")</f>
        <v>2</v>
      </c>
      <c r="AK8" s="2648" t="str">
        <f t="shared" si="0"/>
        <v>Destruir matrices</v>
      </c>
      <c r="AL8" s="2659" t="str">
        <f>IFERROR(VLOOKUP(Tablas!$A2,$AJ$7:$AK$145,2,FALSE),"")</f>
        <v>Destruir matrices</v>
      </c>
    </row>
    <row r="9" spans="1:38" ht="12.75" customHeight="1" x14ac:dyDescent="0.2">
      <c r="A9" s="865">
        <v>9</v>
      </c>
      <c r="B9" s="860">
        <f>IF(OR(S9=0),0,SUM($S$6:S9))</f>
        <v>0</v>
      </c>
      <c r="C9" s="422"/>
      <c r="D9" s="287" t="s">
        <v>121</v>
      </c>
      <c r="E9" s="414" t="s">
        <v>99</v>
      </c>
      <c r="F9" s="415">
        <v>1</v>
      </c>
      <c r="G9" s="415" t="s">
        <v>2656</v>
      </c>
      <c r="H9" s="416" t="s">
        <v>1312</v>
      </c>
      <c r="I9" s="414" t="s">
        <v>5841</v>
      </c>
      <c r="J9" s="414" t="s">
        <v>5842</v>
      </c>
      <c r="K9" s="414" t="s">
        <v>5851</v>
      </c>
      <c r="L9" s="414" t="s">
        <v>5852</v>
      </c>
      <c r="M9" s="414" t="s">
        <v>5853</v>
      </c>
      <c r="N9" s="414" t="s">
        <v>5854</v>
      </c>
      <c r="O9" s="414" t="s">
        <v>5855</v>
      </c>
      <c r="P9" s="414" t="s">
        <v>5856</v>
      </c>
      <c r="Q9" s="414" t="s">
        <v>5857</v>
      </c>
      <c r="R9" s="438" t="s">
        <v>5858</v>
      </c>
      <c r="S9" s="862">
        <f>IF(COUNTIF(Psíquicos!$C$25:$E$36,E9)=0,0,1)</f>
        <v>0</v>
      </c>
      <c r="U9" s="2281" t="s">
        <v>121</v>
      </c>
      <c r="V9" s="414" t="str">
        <f t="shared" si="1"/>
        <v>MED</v>
      </c>
      <c r="W9" s="414" t="str">
        <f>IFERROR(VLOOKUP(U9,Psíquicos!$AD$11:$AK$64,8,FALSE),V9)</f>
        <v>MED</v>
      </c>
      <c r="X9" s="999"/>
      <c r="Y9" s="999"/>
      <c r="Z9" s="999"/>
      <c r="AA9" s="999"/>
      <c r="AB9" s="999"/>
      <c r="AC9" s="999"/>
      <c r="AD9" s="999"/>
      <c r="AE9" s="999"/>
      <c r="AF9" s="999"/>
      <c r="AG9" s="999"/>
      <c r="AH9" s="2282">
        <f>IF(COUNTIF(Psíquicos!$AD$17:$AH$62,U9),VALUE(INDEX('Tablas psiquica'!$X9:$AG9,MATCH('Tablas psiquica'!$W9,'Tablas psiquica'!$X$6:$AG$6,0))),0)</f>
        <v>0</v>
      </c>
      <c r="AJ9" s="2647">
        <f>IFERROR(IF(VLOOKUP(AK9,$D$7:$G$145,4,FALSE)&lt;&gt;"No",MAX(AJ$5:AJ8)+1,0),"")</f>
        <v>3</v>
      </c>
      <c r="AK9" s="2648" t="str">
        <f t="shared" si="0"/>
        <v>Sentir matrices</v>
      </c>
      <c r="AL9" s="2659" t="str">
        <f>IFERROR(VLOOKUP(Tablas!$A3,$AJ$7:$AK$145,2,FALSE),"")</f>
        <v>Sentir matrices</v>
      </c>
    </row>
    <row r="10" spans="1:38" ht="12.75" customHeight="1" x14ac:dyDescent="0.2">
      <c r="A10" s="865">
        <v>10</v>
      </c>
      <c r="B10" s="860">
        <f>IF(OR(S10=0),0,SUM($S$6:S10))</f>
        <v>0</v>
      </c>
      <c r="C10" s="422"/>
      <c r="D10" s="287" t="s">
        <v>122</v>
      </c>
      <c r="E10" s="414" t="s">
        <v>99</v>
      </c>
      <c r="F10" s="415">
        <v>1</v>
      </c>
      <c r="G10" s="415" t="s">
        <v>2656</v>
      </c>
      <c r="H10" s="416" t="s">
        <v>1312</v>
      </c>
      <c r="I10" s="414" t="s">
        <v>5841</v>
      </c>
      <c r="J10" s="414" t="s">
        <v>5842</v>
      </c>
      <c r="K10" s="414" t="s">
        <v>5859</v>
      </c>
      <c r="L10" s="414" t="s">
        <v>5860</v>
      </c>
      <c r="M10" s="414" t="s">
        <v>5861</v>
      </c>
      <c r="N10" s="414" t="s">
        <v>5862</v>
      </c>
      <c r="O10" s="414" t="s">
        <v>5863</v>
      </c>
      <c r="P10" s="414" t="s">
        <v>5864</v>
      </c>
      <c r="Q10" s="414" t="s">
        <v>5865</v>
      </c>
      <c r="R10" s="438" t="s">
        <v>5866</v>
      </c>
      <c r="S10" s="862">
        <f>IF(COUNTIF(Psíquicos!$C$25:$E$36,E10)=0,0,1)</f>
        <v>0</v>
      </c>
      <c r="U10" s="2281" t="s">
        <v>122</v>
      </c>
      <c r="V10" s="414" t="str">
        <f t="shared" si="1"/>
        <v>MED</v>
      </c>
      <c r="W10" s="414" t="str">
        <f>IFERROR(VLOOKUP(U10,Psíquicos!$AD$11:$AK$64,8,FALSE),V10)</f>
        <v>MED</v>
      </c>
      <c r="X10" s="999"/>
      <c r="Y10" s="999"/>
      <c r="Z10" s="999"/>
      <c r="AA10" s="999"/>
      <c r="AB10" s="999"/>
      <c r="AC10" s="999"/>
      <c r="AD10" s="999"/>
      <c r="AE10" s="999"/>
      <c r="AF10" s="999"/>
      <c r="AG10" s="999"/>
      <c r="AH10" s="2282">
        <f>IF(COUNTIF(Psíquicos!$AD$17:$AH$62,U10),VALUE(INDEX('Tablas psiquica'!$X10:$AG10,MATCH('Tablas psiquica'!$W10,'Tablas psiquica'!$X$6:$AG$6,0))),0)</f>
        <v>0</v>
      </c>
      <c r="AJ10" s="2647">
        <f>IFERROR(IF(VLOOKUP(AK10,$D$7:$G$145,4,FALSE)&lt;&gt;"No",MAX(AJ$5:AJ9)+1,0),"")</f>
        <v>4</v>
      </c>
      <c r="AK10" s="2648" t="str">
        <f t="shared" si="0"/>
        <v>Ocultar matrices</v>
      </c>
      <c r="AL10" s="2651" t="str">
        <f>IFERROR(VLOOKUP(Tablas!$A4,$AJ$7:$AK$145,2,FALSE),"")</f>
        <v>Ocultar matrices</v>
      </c>
    </row>
    <row r="11" spans="1:38" ht="12.75" customHeight="1" x14ac:dyDescent="0.2">
      <c r="A11" s="865">
        <v>11</v>
      </c>
      <c r="B11" s="860">
        <f>IF(OR(S11=0),0,SUM($S$6:S11))</f>
        <v>0</v>
      </c>
      <c r="C11" s="422"/>
      <c r="D11" s="287" t="s">
        <v>123</v>
      </c>
      <c r="E11" s="414" t="s">
        <v>99</v>
      </c>
      <c r="F11" s="415">
        <v>1</v>
      </c>
      <c r="G11" s="415" t="s">
        <v>2656</v>
      </c>
      <c r="H11" s="416" t="s">
        <v>1312</v>
      </c>
      <c r="I11" s="414" t="s">
        <v>5867</v>
      </c>
      <c r="J11" s="414" t="s">
        <v>5842</v>
      </c>
      <c r="K11" s="414" t="s">
        <v>5868</v>
      </c>
      <c r="L11" s="414" t="s">
        <v>5869</v>
      </c>
      <c r="M11" s="414" t="s">
        <v>5870</v>
      </c>
      <c r="N11" s="414" t="s">
        <v>5871</v>
      </c>
      <c r="O11" s="414" t="s">
        <v>5872</v>
      </c>
      <c r="P11" s="414" t="s">
        <v>5873</v>
      </c>
      <c r="Q11" s="414" t="s">
        <v>5874</v>
      </c>
      <c r="R11" s="438" t="s">
        <v>5875</v>
      </c>
      <c r="S11" s="862">
        <f>IF(COUNTIF(Psíquicos!$C$25:$E$36,E11)=0,0,1)</f>
        <v>0</v>
      </c>
      <c r="U11" s="2281" t="s">
        <v>123</v>
      </c>
      <c r="V11" s="414" t="str">
        <f t="shared" si="1"/>
        <v>MED</v>
      </c>
      <c r="W11" s="414" t="str">
        <f>IFERROR(VLOOKUP(U11,Psíquicos!$AD$11:$AK$64,8,FALSE),V11)</f>
        <v>MED</v>
      </c>
      <c r="X11" s="999"/>
      <c r="Y11" s="999"/>
      <c r="Z11" s="999"/>
      <c r="AA11" s="999"/>
      <c r="AB11" s="999"/>
      <c r="AC11" s="999"/>
      <c r="AD11" s="999"/>
      <c r="AE11" s="999"/>
      <c r="AF11" s="999"/>
      <c r="AG11" s="999"/>
      <c r="AH11" s="2282">
        <f>IF(COUNTIF(Psíquicos!$AD$17:$AH$62,U11),VALUE(INDEX('Tablas psiquica'!$X11:$AG11,MATCH('Tablas psiquica'!$W11,'Tablas psiquica'!$X$6:$AG$6,0))),0)</f>
        <v>0</v>
      </c>
      <c r="AJ11" s="2647">
        <f>IFERROR(IF(VLOOKUP(AK11,$D$7:$G$145,4,FALSE)&lt;&gt;"No",MAX(AJ$5:AJ10)+1,0),"")</f>
        <v>5</v>
      </c>
      <c r="AK11" s="2648" t="str">
        <f t="shared" si="0"/>
        <v>Conectar matrices</v>
      </c>
      <c r="AL11" s="2651" t="str">
        <f>IFERROR(VLOOKUP(Tablas!$A5,$AJ$7:$AK$145,2,FALSE),"")</f>
        <v>Conectar matrices</v>
      </c>
    </row>
    <row r="12" spans="1:38" ht="12.75" customHeight="1" x14ac:dyDescent="0.2">
      <c r="A12" s="865">
        <v>12</v>
      </c>
      <c r="B12" s="860">
        <f>IF(OR(S12=0),0,SUM($S$6:S12))</f>
        <v>0</v>
      </c>
      <c r="C12" s="422"/>
      <c r="D12" s="287" t="s">
        <v>124</v>
      </c>
      <c r="E12" s="414" t="s">
        <v>99</v>
      </c>
      <c r="F12" s="415">
        <v>1</v>
      </c>
      <c r="G12" s="415" t="s">
        <v>2656</v>
      </c>
      <c r="H12" s="416" t="s">
        <v>1312</v>
      </c>
      <c r="I12" s="414" t="s">
        <v>5841</v>
      </c>
      <c r="J12" s="414" t="s">
        <v>5842</v>
      </c>
      <c r="K12" s="414" t="s">
        <v>5876</v>
      </c>
      <c r="L12" s="414" t="s">
        <v>5859</v>
      </c>
      <c r="M12" s="414" t="s">
        <v>5860</v>
      </c>
      <c r="N12" s="414" t="s">
        <v>5861</v>
      </c>
      <c r="O12" s="414" t="s">
        <v>5862</v>
      </c>
      <c r="P12" s="414" t="s">
        <v>5863</v>
      </c>
      <c r="Q12" s="414" t="s">
        <v>5864</v>
      </c>
      <c r="R12" s="438" t="s">
        <v>5865</v>
      </c>
      <c r="S12" s="862">
        <f>IF(COUNTIF(Psíquicos!$C$25:$E$36,E12)=0,0,1)</f>
        <v>0</v>
      </c>
      <c r="U12" s="2281" t="s">
        <v>124</v>
      </c>
      <c r="V12" s="414" t="str">
        <f t="shared" si="1"/>
        <v>MED</v>
      </c>
      <c r="W12" s="414" t="str">
        <f>IFERROR(VLOOKUP(U12,Psíquicos!$AD$11:$AK$64,8,FALSE),V12)</f>
        <v>MED</v>
      </c>
      <c r="X12" s="999"/>
      <c r="Y12" s="999"/>
      <c r="Z12" s="999"/>
      <c r="AA12" s="999"/>
      <c r="AB12" s="999"/>
      <c r="AC12" s="999"/>
      <c r="AD12" s="999"/>
      <c r="AE12" s="999"/>
      <c r="AF12" s="999"/>
      <c r="AG12" s="999"/>
      <c r="AH12" s="2282">
        <f>IF(COUNTIF(Psíquicos!$AD$17:$AH$62,U12),VALUE(INDEX('Tablas psiquica'!$X12:$AG12,MATCH('Tablas psiquica'!$W12,'Tablas psiquica'!$X$6:$AG$6,0))),0)</f>
        <v>0</v>
      </c>
      <c r="AJ12" s="2647" t="str">
        <f>IFERROR(IF(VLOOKUP(AK12,$D$7:$G$145,4,FALSE)&lt;&gt;"No",MAX(AJ$5:AJ11)+1,0),"")</f>
        <v/>
      </c>
      <c r="AK12" s="2648" t="str">
        <f t="shared" si="0"/>
        <v/>
      </c>
      <c r="AL12" s="2651" t="str">
        <f>IFERROR(VLOOKUP(Tablas!$A6,$AJ$7:$AK$145,2,FALSE),"")</f>
        <v/>
      </c>
    </row>
    <row r="13" spans="1:38" ht="12.75" customHeight="1" x14ac:dyDescent="0.2">
      <c r="A13" s="865">
        <v>13</v>
      </c>
      <c r="B13" s="860">
        <f>IF(OR(S13=0),0,SUM($S$6:S13))</f>
        <v>0</v>
      </c>
      <c r="C13" s="422"/>
      <c r="D13" s="287" t="s">
        <v>125</v>
      </c>
      <c r="E13" s="414" t="s">
        <v>99</v>
      </c>
      <c r="F13" s="415">
        <v>1</v>
      </c>
      <c r="G13" s="415" t="s">
        <v>2656</v>
      </c>
      <c r="H13" s="416" t="s">
        <v>1312</v>
      </c>
      <c r="I13" s="414" t="s">
        <v>5877</v>
      </c>
      <c r="J13" s="414" t="s">
        <v>5841</v>
      </c>
      <c r="K13" s="414" t="s">
        <v>5876</v>
      </c>
      <c r="L13" s="414" t="s">
        <v>5859</v>
      </c>
      <c r="M13" s="414" t="s">
        <v>5860</v>
      </c>
      <c r="N13" s="414" t="s">
        <v>5861</v>
      </c>
      <c r="O13" s="414" t="s">
        <v>5862</v>
      </c>
      <c r="P13" s="414" t="s">
        <v>5863</v>
      </c>
      <c r="Q13" s="414" t="s">
        <v>5864</v>
      </c>
      <c r="R13" s="438" t="s">
        <v>5865</v>
      </c>
      <c r="S13" s="862">
        <f>IF(COUNTIF(Psíquicos!$C$25:$E$36,E13)=0,0,1)</f>
        <v>0</v>
      </c>
      <c r="U13" s="2281" t="s">
        <v>125</v>
      </c>
      <c r="V13" s="414" t="str">
        <f t="shared" si="1"/>
        <v>MED</v>
      </c>
      <c r="W13" s="414" t="str">
        <f>IFERROR(VLOOKUP(U13,Psíquicos!$AD$11:$AK$64,8,FALSE),V13)</f>
        <v>MED</v>
      </c>
      <c r="X13" s="999"/>
      <c r="Y13" s="999"/>
      <c r="Z13" s="999"/>
      <c r="AA13" s="999"/>
      <c r="AB13" s="999"/>
      <c r="AC13" s="999"/>
      <c r="AD13" s="999"/>
      <c r="AE13" s="999"/>
      <c r="AF13" s="999"/>
      <c r="AG13" s="999"/>
      <c r="AH13" s="2282">
        <f>IF(COUNTIF(Psíquicos!$AD$17:$AH$62,U13),VALUE(INDEX('Tablas psiquica'!$X13:$AG13,MATCH('Tablas psiquica'!$W13,'Tablas psiquica'!$X$6:$AG$6,0))),0)</f>
        <v>0</v>
      </c>
      <c r="AJ13" s="2647" t="str">
        <f>IFERROR(IF(VLOOKUP(AK13,$D$7:$G$145,4,FALSE)&lt;&gt;"No",MAX(AJ$5:AJ12)+1,0),"")</f>
        <v/>
      </c>
      <c r="AK13" s="2648" t="str">
        <f t="shared" si="0"/>
        <v/>
      </c>
      <c r="AL13" s="2651" t="str">
        <f>IFERROR(VLOOKUP(Tablas!$A7,$AJ$7:$AK$145,2,FALSE),"")</f>
        <v/>
      </c>
    </row>
    <row r="14" spans="1:38" ht="12.75" customHeight="1" x14ac:dyDescent="0.2">
      <c r="A14" s="865">
        <v>14</v>
      </c>
      <c r="B14" s="860">
        <f>IF(OR(S14=0),0,SUM($S$6:S14))</f>
        <v>0</v>
      </c>
      <c r="C14" s="422"/>
      <c r="D14" s="287" t="s">
        <v>126</v>
      </c>
      <c r="E14" s="414" t="s">
        <v>99</v>
      </c>
      <c r="F14" s="415">
        <v>2</v>
      </c>
      <c r="G14" s="415" t="s">
        <v>2656</v>
      </c>
      <c r="H14" s="416" t="s">
        <v>1312</v>
      </c>
      <c r="I14" s="414" t="s">
        <v>5878</v>
      </c>
      <c r="J14" s="414" t="s">
        <v>5877</v>
      </c>
      <c r="K14" s="414" t="s">
        <v>5841</v>
      </c>
      <c r="L14" s="414" t="s">
        <v>5859</v>
      </c>
      <c r="M14" s="414" t="s">
        <v>5860</v>
      </c>
      <c r="N14" s="414" t="s">
        <v>5861</v>
      </c>
      <c r="O14" s="414" t="s">
        <v>5862</v>
      </c>
      <c r="P14" s="414" t="s">
        <v>5863</v>
      </c>
      <c r="Q14" s="414" t="s">
        <v>5864</v>
      </c>
      <c r="R14" s="438" t="s">
        <v>5866</v>
      </c>
      <c r="S14" s="862">
        <f>IF(COUNTIF(Psíquicos!$C$25:$E$36,E14)=0,0,1)</f>
        <v>0</v>
      </c>
      <c r="U14" s="2281" t="s">
        <v>126</v>
      </c>
      <c r="V14" s="414" t="str">
        <f t="shared" si="1"/>
        <v>DIF</v>
      </c>
      <c r="W14" s="414" t="str">
        <f>IFERROR(VLOOKUP(U14,Psíquicos!$AD$11:$AK$64,8,FALSE),V14)</f>
        <v>DIF</v>
      </c>
      <c r="X14" s="999"/>
      <c r="Y14" s="999"/>
      <c r="Z14" s="999"/>
      <c r="AA14" s="999"/>
      <c r="AB14" s="999"/>
      <c r="AC14" s="999"/>
      <c r="AD14" s="999"/>
      <c r="AE14" s="999"/>
      <c r="AF14" s="999"/>
      <c r="AG14" s="999"/>
      <c r="AH14" s="2282">
        <f>IF(COUNTIF(Psíquicos!$AD$17:$AH$62,U14),VALUE(INDEX('Tablas psiquica'!$X14:$AG14,MATCH('Tablas psiquica'!$W14,'Tablas psiquica'!$X$6:$AG$6,0))),0)</f>
        <v>0</v>
      </c>
      <c r="AJ14" s="2647" t="str">
        <f>IFERROR(IF(VLOOKUP(AK14,$D$7:$G$145,4,FALSE)&lt;&gt;"No",MAX(AJ$5:AJ13)+1,0),"")</f>
        <v/>
      </c>
      <c r="AK14" s="2648" t="str">
        <f t="shared" si="0"/>
        <v/>
      </c>
      <c r="AL14" s="2651"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5879</v>
      </c>
      <c r="J15" s="414" t="s">
        <v>5877</v>
      </c>
      <c r="K15" s="414" t="s">
        <v>5841</v>
      </c>
      <c r="L15" s="414" t="s">
        <v>5860</v>
      </c>
      <c r="M15" s="414" t="s">
        <v>5861</v>
      </c>
      <c r="N15" s="414" t="s">
        <v>5862</v>
      </c>
      <c r="O15" s="414" t="s">
        <v>5863</v>
      </c>
      <c r="P15" s="414" t="s">
        <v>5864</v>
      </c>
      <c r="Q15" s="414" t="s">
        <v>5865</v>
      </c>
      <c r="R15" s="438" t="s">
        <v>5880</v>
      </c>
      <c r="S15" s="862">
        <f>IF(COUNTIF(Psíquicos!$C$25:$E$36,E15)=0,0,1)</f>
        <v>0</v>
      </c>
      <c r="U15" s="2281"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2">
        <f>IF(COUNTIF(Psíquicos!$AD$17:$AH$62,U15),VALUE(INDEX('Tablas psiquica'!$X15:$AG15,MATCH('Tablas psiquica'!$W15,'Tablas psiquica'!$X$6:$AG$6,0))),0)</f>
        <v>0</v>
      </c>
      <c r="AJ15" s="2647" t="str">
        <f>IFERROR(IF(VLOOKUP(AK15,$D$7:$G$145,4,FALSE)&lt;&gt;"No",MAX(AJ$5:AJ14)+1,0),"")</f>
        <v/>
      </c>
      <c r="AK15" s="2648" t="str">
        <f t="shared" si="0"/>
        <v/>
      </c>
      <c r="AL15" s="2651" t="str">
        <f>IFERROR(VLOOKUP(Tablas!$A9,$AJ$7:$AK$145,2,FALSE),"")</f>
        <v/>
      </c>
    </row>
    <row r="16" spans="1:38" ht="12.75" customHeight="1" x14ac:dyDescent="0.2">
      <c r="A16" s="865">
        <v>16</v>
      </c>
      <c r="B16" s="860">
        <f>IF(OR(S16=0),0,SUM($S$6:S16))</f>
        <v>0</v>
      </c>
      <c r="C16" s="422"/>
      <c r="D16" s="287" t="s">
        <v>128</v>
      </c>
      <c r="E16" s="414" t="s">
        <v>99</v>
      </c>
      <c r="F16" s="415">
        <v>2</v>
      </c>
      <c r="G16" s="415" t="s">
        <v>2656</v>
      </c>
      <c r="H16" s="416" t="s">
        <v>1312</v>
      </c>
      <c r="I16" s="414" t="s">
        <v>5878</v>
      </c>
      <c r="J16" s="414" t="s">
        <v>5877</v>
      </c>
      <c r="K16" s="414" t="s">
        <v>5841</v>
      </c>
      <c r="L16" s="414" t="s">
        <v>5851</v>
      </c>
      <c r="M16" s="414" t="s">
        <v>5852</v>
      </c>
      <c r="N16" s="414" t="s">
        <v>5853</v>
      </c>
      <c r="O16" s="414" t="s">
        <v>5854</v>
      </c>
      <c r="P16" s="414" t="s">
        <v>5855</v>
      </c>
      <c r="Q16" s="414" t="s">
        <v>5856</v>
      </c>
      <c r="R16" s="438" t="s">
        <v>5858</v>
      </c>
      <c r="S16" s="862">
        <f>IF(COUNTIF(Psíquicos!$C$25:$E$36,E16)=0,0,1)</f>
        <v>0</v>
      </c>
      <c r="U16" s="2281"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2">
        <f>IF(COUNTIF(Psíquicos!$AD$17:$AH$62,U16),VALUE(INDEX('Tablas psiquica'!$X16:$AG16,MATCH('Tablas psiquica'!$W16,'Tablas psiquica'!$X$6:$AG$6,0))),0)</f>
        <v>0</v>
      </c>
      <c r="AJ16" s="2647" t="str">
        <f>IFERROR(IF(VLOOKUP(AK16,$D$7:$G$145,4,FALSE)&lt;&gt;"No",MAX(AJ$5:AJ15)+1,0),"")</f>
        <v/>
      </c>
      <c r="AK16" s="2648" t="str">
        <f t="shared" si="0"/>
        <v/>
      </c>
      <c r="AL16" s="2651"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5879</v>
      </c>
      <c r="J17" s="414" t="s">
        <v>5878</v>
      </c>
      <c r="K17" s="414" t="s">
        <v>5877</v>
      </c>
      <c r="L17" s="414" t="s">
        <v>5841</v>
      </c>
      <c r="M17" s="414" t="s">
        <v>5859</v>
      </c>
      <c r="N17" s="414" t="s">
        <v>5860</v>
      </c>
      <c r="O17" s="414" t="s">
        <v>5861</v>
      </c>
      <c r="P17" s="414" t="s">
        <v>5862</v>
      </c>
      <c r="Q17" s="414" t="s">
        <v>5863</v>
      </c>
      <c r="R17" s="438" t="s">
        <v>5864</v>
      </c>
      <c r="S17" s="862">
        <f>IF(COUNTIF(Psíquicos!$C$25:$E$36,E17)=0,0,1)</f>
        <v>0</v>
      </c>
      <c r="U17" s="2281"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2">
        <f>IF(COUNTIF(Psíquicos!$AD$17:$AH$62,U17),VALUE(INDEX('Tablas psiquica'!$X17:$AG17,MATCH('Tablas psiquica'!$W17,'Tablas psiquica'!$X$6:$AG$6,0))),0)</f>
        <v>0</v>
      </c>
      <c r="AJ17" s="2647" t="str">
        <f>IFERROR(IF(VLOOKUP(AK17,$D$7:$G$145,4,FALSE)&lt;&gt;"No",MAX(AJ$5:AJ16)+1,0),"")</f>
        <v/>
      </c>
      <c r="AK17" s="2648" t="str">
        <f t="shared" si="0"/>
        <v/>
      </c>
      <c r="AL17" s="2651" t="str">
        <f>IFERROR(VLOOKUP(Tablas!$A11,$AJ$7:$AK$145,2,FALSE),"")</f>
        <v/>
      </c>
    </row>
    <row r="18" spans="1:38" ht="12.75" customHeight="1" x14ac:dyDescent="0.2">
      <c r="A18" s="865">
        <v>18</v>
      </c>
      <c r="B18" s="860">
        <f>IF(OR(S18=0),0,SUM($S$6:S18))</f>
        <v>0</v>
      </c>
      <c r="C18" s="422"/>
      <c r="D18" s="287" t="s">
        <v>130</v>
      </c>
      <c r="E18" s="414" t="s">
        <v>99</v>
      </c>
      <c r="F18" s="415">
        <v>2</v>
      </c>
      <c r="G18" s="415" t="s">
        <v>2656</v>
      </c>
      <c r="H18" s="416" t="s">
        <v>1312</v>
      </c>
      <c r="I18" s="414" t="s">
        <v>5879</v>
      </c>
      <c r="J18" s="414" t="s">
        <v>5878</v>
      </c>
      <c r="K18" s="414" t="s">
        <v>5877</v>
      </c>
      <c r="L18" s="414" t="s">
        <v>5841</v>
      </c>
      <c r="M18" s="414" t="s">
        <v>5881</v>
      </c>
      <c r="N18" s="414" t="s">
        <v>5882</v>
      </c>
      <c r="O18" s="414" t="s">
        <v>5883</v>
      </c>
      <c r="P18" s="414" t="s">
        <v>5884</v>
      </c>
      <c r="Q18" s="414" t="s">
        <v>5885</v>
      </c>
      <c r="R18" s="438" t="s">
        <v>5858</v>
      </c>
      <c r="S18" s="862">
        <f>IF(COUNTIF(Psíquicos!$C$25:$E$36,E18)=0,0,1)</f>
        <v>0</v>
      </c>
      <c r="U18" s="2281"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2">
        <f>IF(COUNTIF(Psíquicos!$AD$17:$AH$62,U18),VALUE(INDEX('Tablas psiquica'!$X18:$AG18,MATCH('Tablas psiquica'!$W18,'Tablas psiquica'!$X$6:$AG$6,0))),0)</f>
        <v>0</v>
      </c>
      <c r="AJ18" s="2647" t="str">
        <f>IFERROR(IF(VLOOKUP(AK18,$D$7:$G$145,4,FALSE)&lt;&gt;"No",MAX(AJ$5:AJ17)+1,0),"")</f>
        <v/>
      </c>
      <c r="AK18" s="2648" t="str">
        <f t="shared" si="0"/>
        <v/>
      </c>
      <c r="AL18" s="2651" t="str">
        <f>IFERROR(VLOOKUP(Tablas!$A12,$AJ$7:$AK$145,2,FALSE),"")</f>
        <v/>
      </c>
    </row>
    <row r="19" spans="1:38" ht="12.75" customHeight="1" x14ac:dyDescent="0.2">
      <c r="A19" s="865">
        <v>19</v>
      </c>
      <c r="B19" s="860">
        <f>IF(OR(S19=0),0,SUM($S$6:S19))</f>
        <v>0</v>
      </c>
      <c r="C19" s="422"/>
      <c r="D19" s="287" t="s">
        <v>131</v>
      </c>
      <c r="E19" s="414" t="s">
        <v>99</v>
      </c>
      <c r="F19" s="415">
        <v>2</v>
      </c>
      <c r="G19" s="415" t="s">
        <v>2656</v>
      </c>
      <c r="H19" s="416" t="s">
        <v>1312</v>
      </c>
      <c r="I19" s="414" t="s">
        <v>5879</v>
      </c>
      <c r="J19" s="414" t="s">
        <v>5878</v>
      </c>
      <c r="K19" s="414" t="s">
        <v>5877</v>
      </c>
      <c r="L19" s="414" t="s">
        <v>5841</v>
      </c>
      <c r="M19" s="414" t="s">
        <v>5886</v>
      </c>
      <c r="N19" s="414" t="s">
        <v>5887</v>
      </c>
      <c r="O19" s="414" t="s">
        <v>5888</v>
      </c>
      <c r="P19" s="414" t="s">
        <v>5889</v>
      </c>
      <c r="Q19" s="414" t="s">
        <v>5890</v>
      </c>
      <c r="R19" s="438" t="s">
        <v>5891</v>
      </c>
      <c r="S19" s="862">
        <f>IF(COUNTIF(Psíquicos!$C$25:$E$36,E19)=0,0,1)</f>
        <v>0</v>
      </c>
      <c r="U19" s="2281"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2">
        <f>IF(COUNTIF(Psíquicos!$AD$17:$AH$62,U19),VALUE(INDEX('Tablas psiquica'!$X19:$AG19,MATCH('Tablas psiquica'!$W19,'Tablas psiquica'!$X$6:$AG$6,0))),0)</f>
        <v>0</v>
      </c>
      <c r="AJ19" s="2647" t="str">
        <f>IFERROR(IF(VLOOKUP(AK19,$D$7:$G$145,4,FALSE)&lt;&gt;"No",MAX(AJ$5:AJ18)+1,0),"")</f>
        <v/>
      </c>
      <c r="AK19" s="2648" t="str">
        <f t="shared" si="0"/>
        <v/>
      </c>
      <c r="AL19" s="2651" t="str">
        <f>IFERROR(VLOOKUP(Tablas!$A13,$AJ$7:$AK$145,2,FALSE),"")</f>
        <v/>
      </c>
    </row>
    <row r="20" spans="1:38" ht="12.75" customHeight="1" x14ac:dyDescent="0.2">
      <c r="A20" s="865">
        <v>20</v>
      </c>
      <c r="B20" s="860">
        <f>IF(OR(S20=0),0,SUM($S$6:S20))</f>
        <v>0</v>
      </c>
      <c r="C20" s="422"/>
      <c r="D20" s="287" t="s">
        <v>132</v>
      </c>
      <c r="E20" s="414" t="s">
        <v>99</v>
      </c>
      <c r="F20" s="415">
        <v>3</v>
      </c>
      <c r="G20" s="415" t="s">
        <v>2656</v>
      </c>
      <c r="H20" s="416" t="s">
        <v>1312</v>
      </c>
      <c r="I20" s="414" t="s">
        <v>5892</v>
      </c>
      <c r="J20" s="414" t="s">
        <v>5879</v>
      </c>
      <c r="K20" s="414" t="s">
        <v>5878</v>
      </c>
      <c r="L20" s="414" t="s">
        <v>5877</v>
      </c>
      <c r="M20" s="414" t="s">
        <v>5859</v>
      </c>
      <c r="N20" s="414" t="s">
        <v>5860</v>
      </c>
      <c r="O20" s="414" t="s">
        <v>5861</v>
      </c>
      <c r="P20" s="414" t="s">
        <v>5862</v>
      </c>
      <c r="Q20" s="414" t="s">
        <v>5863</v>
      </c>
      <c r="R20" s="438" t="s">
        <v>5865</v>
      </c>
      <c r="S20" s="862">
        <f>IF(COUNTIF(Psíquicos!$C$25:$E$36,E20)=0,0,1)</f>
        <v>0</v>
      </c>
      <c r="U20" s="2281" t="s">
        <v>135</v>
      </c>
      <c r="V20" s="999"/>
      <c r="W20" s="414"/>
      <c r="X20" s="999"/>
      <c r="Y20" s="999"/>
      <c r="Z20" s="999"/>
      <c r="AA20" s="999"/>
      <c r="AB20" s="999"/>
      <c r="AC20" s="999"/>
      <c r="AD20" s="999"/>
      <c r="AE20" s="999"/>
      <c r="AF20" s="999"/>
      <c r="AG20" s="999"/>
      <c r="AH20" s="2282" t="e">
        <f>IF(COUNTIF(Psíquicos!$AD$17:$AH$62,U20),VALUE(INDEX('Tablas psiquica'!$X20:$AG20,MATCH('Tablas psiquica'!$W20,'Tablas psiquica'!$X$6:$AG$6,0))),0)</f>
        <v>#N/A</v>
      </c>
      <c r="AJ20" s="2647" t="str">
        <f>IFERROR(IF(VLOOKUP(AK20,$D$7:$G$145,4,FALSE)&lt;&gt;"No",MAX(AJ$5:AJ19)+1,0),"")</f>
        <v/>
      </c>
      <c r="AK20" s="2648" t="str">
        <f t="shared" si="0"/>
        <v/>
      </c>
      <c r="AL20" s="2651"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5893</v>
      </c>
      <c r="J21" s="414" t="s">
        <v>5892</v>
      </c>
      <c r="K21" s="414" t="s">
        <v>5879</v>
      </c>
      <c r="L21" s="414" t="s">
        <v>5878</v>
      </c>
      <c r="M21" s="414" t="s">
        <v>5877</v>
      </c>
      <c r="N21" s="414" t="s">
        <v>5861</v>
      </c>
      <c r="O21" s="414" t="s">
        <v>5862</v>
      </c>
      <c r="P21" s="414" t="s">
        <v>5863</v>
      </c>
      <c r="Q21" s="414" t="s">
        <v>5865</v>
      </c>
      <c r="R21" s="438" t="s">
        <v>5866</v>
      </c>
      <c r="S21" s="862">
        <f>IF(COUNTIF(Psíquicos!$C$25:$E$36,E21)=0,0,1)</f>
        <v>0</v>
      </c>
      <c r="U21" s="2281"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2">
        <f>IF(COUNTIF(Psíquicos!$AD$17:$AH$62,U21),VALUE(INDEX('Tablas psiquica'!$X21:$AG21,MATCH('Tablas psiquica'!$W21,'Tablas psiquica'!$X$6:$AG$6,0))),0)</f>
        <v>0</v>
      </c>
      <c r="AJ21" s="2647" t="str">
        <f>IFERROR(IF(VLOOKUP(AK21,$D$7:$G$145,4,FALSE)&lt;&gt;"No",MAX(AJ$5:AJ20)+1,0),"")</f>
        <v/>
      </c>
      <c r="AK21" s="2648" t="str">
        <f t="shared" si="0"/>
        <v/>
      </c>
      <c r="AL21" s="2651" t="str">
        <f>IFERROR(VLOOKUP(Tablas!$A15,$AJ$7:$AK$145,2,FALSE),"")</f>
        <v/>
      </c>
    </row>
    <row r="22" spans="1:38" ht="12.75" customHeight="1" x14ac:dyDescent="0.2">
      <c r="A22" s="865">
        <v>22</v>
      </c>
      <c r="B22" s="860">
        <f>IF(OR(S22=0),0,SUM($S$6:S22))</f>
        <v>0</v>
      </c>
      <c r="C22" s="422"/>
      <c r="D22" s="287" t="s">
        <v>134</v>
      </c>
      <c r="E22" s="414" t="s">
        <v>99</v>
      </c>
      <c r="F22" s="415">
        <v>3</v>
      </c>
      <c r="G22" s="415" t="s">
        <v>2656</v>
      </c>
      <c r="H22" s="416" t="s">
        <v>1312</v>
      </c>
      <c r="I22" s="414" t="s">
        <v>5893</v>
      </c>
      <c r="J22" s="414" t="s">
        <v>5892</v>
      </c>
      <c r="K22" s="414" t="s">
        <v>5879</v>
      </c>
      <c r="L22" s="414" t="s">
        <v>5877</v>
      </c>
      <c r="M22" s="414" t="s">
        <v>5894</v>
      </c>
      <c r="N22" s="414" t="s">
        <v>5851</v>
      </c>
      <c r="O22" s="414" t="s">
        <v>5853</v>
      </c>
      <c r="P22" s="414" t="s">
        <v>5854</v>
      </c>
      <c r="Q22" s="414" t="s">
        <v>5855</v>
      </c>
      <c r="R22" s="438" t="s">
        <v>5895</v>
      </c>
      <c r="S22" s="862">
        <f>IF(COUNTIF(Psíquicos!$C$25:$E$36,E22)=0,0,1)</f>
        <v>0</v>
      </c>
      <c r="U22" s="2281"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2">
        <f>IF(COUNTIF(Psíquicos!$AD$17:$AH$62,U22),VALUE(INDEX('Tablas psiquica'!$X22:$AG22,MATCH('Tablas psiquica'!$W22,'Tablas psiquica'!$X$6:$AG$6,0))),0)</f>
        <v>0</v>
      </c>
      <c r="AJ22" s="2647" t="str">
        <f>IFERROR(IF(VLOOKUP(AK22,$D$7:$G$145,4,FALSE)&lt;&gt;"No",MAX(AJ$5:AJ21)+1,0),"")</f>
        <v/>
      </c>
      <c r="AK22" s="2648" t="str">
        <f t="shared" si="0"/>
        <v/>
      </c>
      <c r="AL22" s="2651"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1"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2">
        <f>IF(COUNTIF(Psíquicos!$AD$17:$AH$62,U23),VALUE(INDEX('Tablas psiquica'!$X23:$AG23,MATCH('Tablas psiquica'!$W23,'Tablas psiquica'!$X$6:$AG$6,0))),0)</f>
        <v>0</v>
      </c>
      <c r="AJ23" s="2647" t="str">
        <f>IFERROR(IF(VLOOKUP(AK23,$D$7:$G$145,4,FALSE)&lt;&gt;"No",MAX(AJ$5:AJ22)+1,0),"")</f>
        <v/>
      </c>
      <c r="AK23" s="2648" t="str">
        <f t="shared" si="0"/>
        <v/>
      </c>
      <c r="AL23" s="2651" t="str">
        <f>IFERROR(VLOOKUP(Tablas!$A17,$AJ$7:$AK$145,2,FALSE),"")</f>
        <v/>
      </c>
    </row>
    <row r="24" spans="1:38" ht="12.75" customHeight="1" x14ac:dyDescent="0.2">
      <c r="A24" s="865">
        <v>24</v>
      </c>
      <c r="B24" s="860">
        <f>IF(OR(S24=0),0,SUM($S$6:S24))</f>
        <v>0</v>
      </c>
      <c r="C24" s="422"/>
      <c r="D24" s="287" t="s">
        <v>136</v>
      </c>
      <c r="E24" s="414" t="s">
        <v>101</v>
      </c>
      <c r="F24" s="415">
        <v>1</v>
      </c>
      <c r="G24" s="415" t="s">
        <v>2656</v>
      </c>
      <c r="H24" s="416" t="s">
        <v>1312</v>
      </c>
      <c r="I24" s="414" t="s">
        <v>5842</v>
      </c>
      <c r="J24" s="414" t="s">
        <v>5896</v>
      </c>
      <c r="K24" s="414" t="s">
        <v>5897</v>
      </c>
      <c r="L24" s="414" t="s">
        <v>5898</v>
      </c>
      <c r="M24" s="414" t="s">
        <v>5899</v>
      </c>
      <c r="N24" s="414" t="s">
        <v>5900</v>
      </c>
      <c r="O24" s="414" t="s">
        <v>5901</v>
      </c>
      <c r="P24" s="414" t="s">
        <v>5902</v>
      </c>
      <c r="Q24" s="414" t="s">
        <v>5903</v>
      </c>
      <c r="R24" s="438" t="s">
        <v>5904</v>
      </c>
      <c r="S24" s="862">
        <f>IF(COUNTIF(Psíquicos!$C$25:$E$36,E24)=0,0,1)</f>
        <v>0</v>
      </c>
      <c r="U24" s="2281"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2">
        <f>IF(COUNTIF(Psíquicos!$AD$17:$AH$62,U24),VALUE(INDEX('Tablas psiquica'!$X24:$AG24,MATCH('Tablas psiquica'!$W24,'Tablas psiquica'!$X$6:$AG$6,0))),0)</f>
        <v>0</v>
      </c>
      <c r="AJ24" s="2647" t="str">
        <f>IFERROR(IF(VLOOKUP(AK24,$D$7:$G$145,4,FALSE)&lt;&gt;"No",MAX(AJ$5:AJ23)+1,0),"")</f>
        <v/>
      </c>
      <c r="AK24" s="2648" t="str">
        <f t="shared" si="0"/>
        <v/>
      </c>
      <c r="AL24" s="2651"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5841</v>
      </c>
      <c r="J25" s="414" t="s">
        <v>5842</v>
      </c>
      <c r="K25" s="414" t="s">
        <v>5905</v>
      </c>
      <c r="L25" s="414" t="s">
        <v>5906</v>
      </c>
      <c r="M25" s="414" t="s">
        <v>5907</v>
      </c>
      <c r="N25" s="414" t="s">
        <v>5908</v>
      </c>
      <c r="O25" s="414" t="s">
        <v>5909</v>
      </c>
      <c r="P25" s="414" t="s">
        <v>5910</v>
      </c>
      <c r="Q25" s="414" t="s">
        <v>5911</v>
      </c>
      <c r="R25" s="438" t="s">
        <v>5912</v>
      </c>
      <c r="S25" s="862">
        <f>IF(COUNTIF(Psíquicos!$C$25:$E$36,E25)=0,0,1)</f>
        <v>0</v>
      </c>
      <c r="U25" s="2281"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2">
        <f>IF(COUNTIF(Psíquicos!$AD$17:$AH$62,U25),VALUE(INDEX('Tablas psiquica'!$X25:$AG25,MATCH('Tablas psiquica'!$W25,'Tablas psiquica'!$X$6:$AG$6,0))),0)</f>
        <v>0</v>
      </c>
      <c r="AJ25" s="2647" t="str">
        <f>IFERROR(IF(VLOOKUP(AK25,$D$7:$G$145,4,FALSE)&lt;&gt;"No",MAX(AJ$5:AJ24)+1,0),"")</f>
        <v/>
      </c>
      <c r="AK25" s="2648" t="str">
        <f t="shared" si="0"/>
        <v/>
      </c>
      <c r="AL25" s="2651" t="str">
        <f>IFERROR(VLOOKUP(Tablas!$A19,$AJ$7:$AK$145,2,FALSE),"")</f>
        <v/>
      </c>
    </row>
    <row r="26" spans="1:38" ht="12.75" customHeight="1" x14ac:dyDescent="0.2">
      <c r="A26" s="865">
        <v>26</v>
      </c>
      <c r="B26" s="860">
        <f>IF(OR(S26=0),0,SUM($S$6:S26))</f>
        <v>0</v>
      </c>
      <c r="C26" s="422"/>
      <c r="D26" s="287" t="s">
        <v>138</v>
      </c>
      <c r="E26" s="414" t="s">
        <v>101</v>
      </c>
      <c r="F26" s="415">
        <v>1</v>
      </c>
      <c r="G26" s="415" t="s">
        <v>2656</v>
      </c>
      <c r="H26" s="416" t="s">
        <v>1313</v>
      </c>
      <c r="I26" s="414" t="s">
        <v>5841</v>
      </c>
      <c r="J26" s="414" t="s">
        <v>5842</v>
      </c>
      <c r="K26" s="414" t="s">
        <v>5913</v>
      </c>
      <c r="L26" s="414" t="s">
        <v>5914</v>
      </c>
      <c r="M26" s="414" t="s">
        <v>5915</v>
      </c>
      <c r="N26" s="414" t="s">
        <v>5916</v>
      </c>
      <c r="O26" s="414" t="s">
        <v>5917</v>
      </c>
      <c r="P26" s="414" t="s">
        <v>5918</v>
      </c>
      <c r="Q26" s="414" t="s">
        <v>5919</v>
      </c>
      <c r="R26" s="438" t="s">
        <v>5920</v>
      </c>
      <c r="S26" s="862">
        <f>IF(COUNTIF(Psíquicos!$C$25:$E$36,E26)=0,0,1)</f>
        <v>0</v>
      </c>
      <c r="U26" s="2281"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2">
        <f>IF(COUNTIF(Psíquicos!$AD$17:$AH$62,U26),VALUE(INDEX('Tablas psiquica'!$X26:$AG26,MATCH('Tablas psiquica'!$W26,'Tablas psiquica'!$X$6:$AG$6,0))),0)</f>
        <v>0</v>
      </c>
      <c r="AJ26" s="2647" t="str">
        <f>IFERROR(IF(VLOOKUP(AK26,$D$7:$G$145,4,FALSE)&lt;&gt;"No",MAX(AJ$5:AJ25)+1,0),"")</f>
        <v/>
      </c>
      <c r="AK26" s="2648" t="str">
        <f t="shared" si="0"/>
        <v/>
      </c>
      <c r="AL26" s="2651" t="str">
        <f>IFERROR(VLOOKUP(Tablas!$A20,$AJ$7:$AK$145,2,FALSE),"")</f>
        <v/>
      </c>
    </row>
    <row r="27" spans="1:38" ht="12.75" customHeight="1" x14ac:dyDescent="0.2">
      <c r="A27" s="865">
        <v>27</v>
      </c>
      <c r="B27" s="860">
        <f>IF(OR(S27=0),0,SUM($S$6:S27))</f>
        <v>0</v>
      </c>
      <c r="C27" s="422"/>
      <c r="D27" s="287" t="s">
        <v>139</v>
      </c>
      <c r="E27" s="414" t="s">
        <v>101</v>
      </c>
      <c r="F27" s="415">
        <v>1</v>
      </c>
      <c r="G27" s="415" t="s">
        <v>2656</v>
      </c>
      <c r="H27" s="416" t="s">
        <v>1313</v>
      </c>
      <c r="I27" s="414" t="s">
        <v>5841</v>
      </c>
      <c r="J27" s="414" t="s">
        <v>5842</v>
      </c>
      <c r="K27" s="414" t="s">
        <v>5921</v>
      </c>
      <c r="L27" s="414" t="s">
        <v>4401</v>
      </c>
      <c r="M27" s="414" t="s">
        <v>4402</v>
      </c>
      <c r="N27" s="414" t="s">
        <v>4403</v>
      </c>
      <c r="O27" s="414" t="s">
        <v>4404</v>
      </c>
      <c r="P27" s="414" t="s">
        <v>5922</v>
      </c>
      <c r="Q27" s="414" t="s">
        <v>5923</v>
      </c>
      <c r="R27" s="438" t="s">
        <v>5924</v>
      </c>
      <c r="S27" s="862">
        <f>IF(COUNTIF(Psíquicos!$C$25:$E$36,E27)=0,0,1)</f>
        <v>0</v>
      </c>
      <c r="U27" s="2281"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2">
        <f>IF(COUNTIF(Psíquicos!$AD$17:$AH$62,U27),VALUE(INDEX('Tablas psiquica'!$X27:$AG27,MATCH('Tablas psiquica'!$W27,'Tablas psiquica'!$X$6:$AG$6,0))),0)</f>
        <v>0</v>
      </c>
      <c r="AJ27" s="2647" t="str">
        <f>IFERROR(IF(VLOOKUP(AK27,$D$7:$G$145,4,FALSE)&lt;&gt;"No",MAX(AJ$5:AJ26)+1,0),"")</f>
        <v/>
      </c>
      <c r="AK27" s="2648" t="str">
        <f t="shared" si="0"/>
        <v/>
      </c>
      <c r="AL27" s="2651" t="str">
        <f>IFERROR(VLOOKUP(Tablas!$A21,$AJ$7:$AK$145,2,FALSE),"")</f>
        <v/>
      </c>
    </row>
    <row r="28" spans="1:38" ht="12.75" customHeight="1" x14ac:dyDescent="0.2">
      <c r="A28" s="865">
        <v>28</v>
      </c>
      <c r="B28" s="860">
        <f>IF(OR(S28=0),0,SUM($S$6:S28))</f>
        <v>0</v>
      </c>
      <c r="C28" s="422"/>
      <c r="D28" s="287" t="s">
        <v>140</v>
      </c>
      <c r="E28" s="414" t="s">
        <v>101</v>
      </c>
      <c r="F28" s="415">
        <v>1</v>
      </c>
      <c r="G28" s="415" t="s">
        <v>2656</v>
      </c>
      <c r="H28" s="416" t="s">
        <v>1312</v>
      </c>
      <c r="I28" s="414" t="s">
        <v>5841</v>
      </c>
      <c r="J28" s="414" t="s">
        <v>5842</v>
      </c>
      <c r="K28" s="414" t="s">
        <v>5925</v>
      </c>
      <c r="L28" s="414" t="s">
        <v>5905</v>
      </c>
      <c r="M28" s="414" t="s">
        <v>5906</v>
      </c>
      <c r="N28" s="414" t="s">
        <v>5926</v>
      </c>
      <c r="O28" s="414" t="s">
        <v>5927</v>
      </c>
      <c r="P28" s="414" t="s">
        <v>5928</v>
      </c>
      <c r="Q28" s="414" t="s">
        <v>5929</v>
      </c>
      <c r="R28" s="438" t="s">
        <v>5930</v>
      </c>
      <c r="S28" s="862">
        <f>IF(COUNTIF(Psíquicos!$C$25:$E$36,E28)=0,0,1)</f>
        <v>0</v>
      </c>
      <c r="U28" s="2281"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2">
        <f>IF(COUNTIF(Psíquicos!$AD$17:$AH$62,U28),VALUE(INDEX('Tablas psiquica'!$X28:$AG28,MATCH('Tablas psiquica'!$W28,'Tablas psiquica'!$X$6:$AG$6,0))),0)</f>
        <v>0</v>
      </c>
      <c r="AJ28" s="2647" t="str">
        <f>IFERROR(IF(VLOOKUP(AK28,$D$7:$G$145,4,FALSE)&lt;&gt;"No",MAX(AJ$5:AJ27)+1,0),"")</f>
        <v/>
      </c>
      <c r="AK28" s="2648" t="str">
        <f t="shared" si="0"/>
        <v/>
      </c>
      <c r="AL28" s="2651"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5877</v>
      </c>
      <c r="J29" s="414" t="s">
        <v>5841</v>
      </c>
      <c r="K29" s="414" t="s">
        <v>5842</v>
      </c>
      <c r="L29" s="425" t="s">
        <v>7161</v>
      </c>
      <c r="M29" s="425" t="s">
        <v>7162</v>
      </c>
      <c r="N29" s="425" t="s">
        <v>7163</v>
      </c>
      <c r="O29" s="425" t="s">
        <v>7164</v>
      </c>
      <c r="P29" s="425" t="s">
        <v>7165</v>
      </c>
      <c r="Q29" s="425" t="s">
        <v>7166</v>
      </c>
      <c r="R29" s="836" t="s">
        <v>7167</v>
      </c>
      <c r="S29" s="862">
        <f>IF(COUNTIF(Psíquicos!$C$25:$E$36,E29)=0,0,1)</f>
        <v>0</v>
      </c>
      <c r="U29" s="2281"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2">
        <f>IF(COUNTIF(Psíquicos!$AD$17:$AH$62,U29),VALUE(INDEX('Tablas psiquica'!$X29:$AG29,MATCH('Tablas psiquica'!$W29,'Tablas psiquica'!$X$6:$AG$6,0))),0)</f>
        <v>0</v>
      </c>
      <c r="AJ29" s="2647" t="str">
        <f>IFERROR(IF(VLOOKUP(AK29,$D$7:$G$145,4,FALSE)&lt;&gt;"No",MAX(AJ$5:AJ28)+1,0),"")</f>
        <v/>
      </c>
      <c r="AK29" s="2648" t="str">
        <f t="shared" si="0"/>
        <v/>
      </c>
      <c r="AL29" s="2651" t="str">
        <f>IFERROR(VLOOKUP(Tablas!$A23,$AJ$7:$AK$145,2,FALSE),"")</f>
        <v/>
      </c>
    </row>
    <row r="30" spans="1:38" ht="12.75" customHeight="1" x14ac:dyDescent="0.2">
      <c r="A30" s="865">
        <v>30</v>
      </c>
      <c r="B30" s="860">
        <f>IF(OR(S30=0),0,SUM($S$6:S30))</f>
        <v>0</v>
      </c>
      <c r="C30" s="422"/>
      <c r="D30" s="287" t="s">
        <v>142</v>
      </c>
      <c r="E30" s="414" t="s">
        <v>101</v>
      </c>
      <c r="F30" s="415">
        <v>2</v>
      </c>
      <c r="G30" s="415" t="s">
        <v>2656</v>
      </c>
      <c r="H30" s="416" t="s">
        <v>1312</v>
      </c>
      <c r="I30" s="414" t="s">
        <v>5877</v>
      </c>
      <c r="J30" s="414" t="s">
        <v>5841</v>
      </c>
      <c r="K30" s="414" t="s">
        <v>5842</v>
      </c>
      <c r="L30" s="414" t="s">
        <v>5931</v>
      </c>
      <c r="M30" s="414" t="s">
        <v>5932</v>
      </c>
      <c r="N30" s="414" t="s">
        <v>5933</v>
      </c>
      <c r="O30" s="414" t="s">
        <v>5934</v>
      </c>
      <c r="P30" s="414" t="s">
        <v>5935</v>
      </c>
      <c r="Q30" s="414" t="s">
        <v>5936</v>
      </c>
      <c r="R30" s="438" t="s">
        <v>5937</v>
      </c>
      <c r="S30" s="862">
        <f>IF(COUNTIF(Psíquicos!$C$25:$E$36,E30)=0,0,1)</f>
        <v>0</v>
      </c>
      <c r="U30" s="2281" t="s">
        <v>150</v>
      </c>
      <c r="V30" s="999"/>
      <c r="W30" s="414"/>
      <c r="X30" s="999"/>
      <c r="Y30" s="999"/>
      <c r="Z30" s="999"/>
      <c r="AA30" s="999"/>
      <c r="AB30" s="999"/>
      <c r="AC30" s="999"/>
      <c r="AD30" s="999"/>
      <c r="AE30" s="999"/>
      <c r="AF30" s="999"/>
      <c r="AG30" s="999"/>
      <c r="AH30" s="2282" t="e">
        <f>IF(COUNTIF(Psíquicos!$AD$17:$AH$62,U30),VALUE(INDEX('Tablas psiquica'!$X30:$AG30,MATCH('Tablas psiquica'!$W30,'Tablas psiquica'!$X$6:$AG$6,0))),0)</f>
        <v>#N/A</v>
      </c>
      <c r="AJ30" s="2647" t="str">
        <f>IFERROR(IF(VLOOKUP(AK30,$D$7:$G$145,4,FALSE)&lt;&gt;"No",MAX(AJ$5:AJ29)+1,0),"")</f>
        <v/>
      </c>
      <c r="AK30" s="2648" t="str">
        <f t="shared" si="0"/>
        <v/>
      </c>
      <c r="AL30" s="2651" t="str">
        <f>IFERROR(VLOOKUP(Tablas!$A24,$AJ$7:$AK$145,2,FALSE),"")</f>
        <v/>
      </c>
    </row>
    <row r="31" spans="1:38" ht="12.75" customHeight="1" x14ac:dyDescent="0.2">
      <c r="A31" s="865">
        <v>31</v>
      </c>
      <c r="B31" s="860">
        <f>IF(OR(S31=0),0,SUM($S$6:S31))</f>
        <v>0</v>
      </c>
      <c r="C31" s="422"/>
      <c r="D31" s="287" t="s">
        <v>143</v>
      </c>
      <c r="E31" s="414" t="s">
        <v>101</v>
      </c>
      <c r="F31" s="415">
        <v>2</v>
      </c>
      <c r="G31" s="415" t="s">
        <v>2656</v>
      </c>
      <c r="H31" s="416" t="s">
        <v>1312</v>
      </c>
      <c r="I31" s="414" t="s">
        <v>5879</v>
      </c>
      <c r="J31" s="414" t="s">
        <v>5878</v>
      </c>
      <c r="K31" s="414" t="s">
        <v>5877</v>
      </c>
      <c r="L31" s="414" t="s">
        <v>5841</v>
      </c>
      <c r="M31" s="414" t="s">
        <v>5938</v>
      </c>
      <c r="N31" s="414" t="s">
        <v>5939</v>
      </c>
      <c r="O31" s="414" t="s">
        <v>5940</v>
      </c>
      <c r="P31" s="414" t="s">
        <v>5941</v>
      </c>
      <c r="Q31" s="414" t="s">
        <v>5942</v>
      </c>
      <c r="R31" s="438" t="s">
        <v>5943</v>
      </c>
      <c r="S31" s="862">
        <f>IF(COUNTIF(Psíquicos!$C$25:$E$36,E31)=0,0,1)</f>
        <v>0</v>
      </c>
      <c r="U31" s="2281"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2">
        <f>IF(COUNTIF(Psíquicos!$AD$17:$AH$62,U31),VALUE(INDEX('Tablas psiquica'!$X31:$AG31,MATCH('Tablas psiquica'!$W31,'Tablas psiquica'!$X$6:$AG$6,0))),0)</f>
        <v>0</v>
      </c>
      <c r="AJ31" s="2647" t="str">
        <f>IFERROR(IF(VLOOKUP(AK31,$D$7:$G$145,4,FALSE)&lt;&gt;"No",MAX(AJ$5:AJ30)+1,0),"")</f>
        <v/>
      </c>
      <c r="AK31" s="2648" t="str">
        <f t="shared" si="0"/>
        <v/>
      </c>
      <c r="AL31" s="2651"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5879</v>
      </c>
      <c r="J32" s="414" t="s">
        <v>5878</v>
      </c>
      <c r="K32" s="414" t="s">
        <v>5877</v>
      </c>
      <c r="L32" s="414" t="s">
        <v>5841</v>
      </c>
      <c r="M32" s="414" t="s">
        <v>5944</v>
      </c>
      <c r="N32" s="414" t="s">
        <v>5945</v>
      </c>
      <c r="O32" s="414" t="s">
        <v>5946</v>
      </c>
      <c r="P32" s="414" t="s">
        <v>5947</v>
      </c>
      <c r="Q32" s="414" t="s">
        <v>5948</v>
      </c>
      <c r="R32" s="438" t="s">
        <v>5949</v>
      </c>
      <c r="S32" s="862">
        <f>IF(COUNTIF(Psíquicos!$C$25:$E$36,E32)=0,0,1)</f>
        <v>0</v>
      </c>
      <c r="U32" s="2281"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2">
        <f>IF(COUNTIF(Psíquicos!$AD$17:$AH$62,U32),VALUE(INDEX('Tablas psiquica'!$X32:$AG32,MATCH('Tablas psiquica'!$W32,'Tablas psiquica'!$X$6:$AG$6,0))),0)</f>
        <v>0</v>
      </c>
      <c r="AJ32" s="2647" t="str">
        <f>IFERROR(IF(VLOOKUP(AK32,$D$7:$G$145,4,FALSE)&lt;&gt;"No",MAX(AJ$5:AJ31)+1,0),"")</f>
        <v/>
      </c>
      <c r="AK32" s="2648" t="str">
        <f t="shared" si="0"/>
        <v/>
      </c>
      <c r="AL32" s="2651" t="str">
        <f>IFERROR(VLOOKUP(Tablas!$A26,$AJ$7:$AK$145,2,FALSE),"")</f>
        <v/>
      </c>
    </row>
    <row r="33" spans="1:38" ht="12.75" customHeight="1" x14ac:dyDescent="0.2">
      <c r="A33" s="865">
        <v>33</v>
      </c>
      <c r="B33" s="860">
        <f>IF(OR(S33=0),0,SUM($S$6:S33))</f>
        <v>0</v>
      </c>
      <c r="C33" s="422"/>
      <c r="D33" s="287" t="s">
        <v>145</v>
      </c>
      <c r="E33" s="414" t="s">
        <v>101</v>
      </c>
      <c r="F33" s="415">
        <v>2</v>
      </c>
      <c r="G33" s="415" t="s">
        <v>2656</v>
      </c>
      <c r="H33" s="416" t="s">
        <v>1312</v>
      </c>
      <c r="I33" s="414" t="s">
        <v>5877</v>
      </c>
      <c r="J33" s="414" t="s">
        <v>5841</v>
      </c>
      <c r="K33" s="414" t="s">
        <v>5842</v>
      </c>
      <c r="L33" s="414" t="s">
        <v>4966</v>
      </c>
      <c r="M33" s="414" t="s">
        <v>4967</v>
      </c>
      <c r="N33" s="414" t="s">
        <v>4968</v>
      </c>
      <c r="O33" s="414" t="s">
        <v>5950</v>
      </c>
      <c r="P33" s="414" t="s">
        <v>5951</v>
      </c>
      <c r="Q33" s="414" t="s">
        <v>5952</v>
      </c>
      <c r="R33" s="438" t="s">
        <v>5953</v>
      </c>
      <c r="S33" s="862">
        <f>IF(COUNTIF(Psíquicos!$C$25:$E$36,E33)=0,0,1)</f>
        <v>0</v>
      </c>
      <c r="U33" s="2281"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2">
        <f>IF(COUNTIF(Psíquicos!$AD$17:$AH$62,U33),VALUE(INDEX('Tablas psiquica'!$X33:$AG33,MATCH('Tablas psiquica'!$W33,'Tablas psiquica'!$X$6:$AG$6,0))),0)</f>
        <v>0</v>
      </c>
      <c r="AJ33" s="2647" t="str">
        <f>IFERROR(IF(VLOOKUP(AK33,$D$7:$G$145,4,FALSE)&lt;&gt;"No",MAX(AJ$5:AJ32)+1,0),"")</f>
        <v/>
      </c>
      <c r="AK33" s="2648" t="str">
        <f t="shared" si="0"/>
        <v/>
      </c>
      <c r="AL33" s="2651" t="str">
        <f>IFERROR(VLOOKUP(Tablas!$A27,$AJ$7:$AK$145,2,FALSE),"")</f>
        <v/>
      </c>
    </row>
    <row r="34" spans="1:38" ht="12.75" customHeight="1" x14ac:dyDescent="0.2">
      <c r="A34" s="865">
        <v>34</v>
      </c>
      <c r="B34" s="860">
        <f>IF(OR(S34=0),0,SUM($S$6:S34))</f>
        <v>0</v>
      </c>
      <c r="C34" s="422"/>
      <c r="D34" s="287" t="s">
        <v>146</v>
      </c>
      <c r="E34" s="414" t="s">
        <v>101</v>
      </c>
      <c r="F34" s="415">
        <v>2</v>
      </c>
      <c r="G34" s="415" t="s">
        <v>2656</v>
      </c>
      <c r="H34" s="416" t="s">
        <v>1312</v>
      </c>
      <c r="I34" s="414" t="s">
        <v>5878</v>
      </c>
      <c r="J34" s="414" t="s">
        <v>5877</v>
      </c>
      <c r="K34" s="414" t="s">
        <v>5841</v>
      </c>
      <c r="L34" s="414" t="s">
        <v>5954</v>
      </c>
      <c r="M34" s="414" t="s">
        <v>5955</v>
      </c>
      <c r="N34" s="414" t="s">
        <v>5956</v>
      </c>
      <c r="O34" s="414" t="s">
        <v>5957</v>
      </c>
      <c r="P34" s="414" t="s">
        <v>5958</v>
      </c>
      <c r="Q34" s="414" t="s">
        <v>5959</v>
      </c>
      <c r="R34" s="438" t="s">
        <v>5960</v>
      </c>
      <c r="S34" s="862">
        <f>IF(COUNTIF(Psíquicos!$C$25:$E$36,E34)=0,0,1)</f>
        <v>0</v>
      </c>
      <c r="U34" s="2281"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2">
        <f>IF(COUNTIF(Psíquicos!$AD$17:$AH$62,U34),VALUE(INDEX('Tablas psiquica'!$X34:$AG34,MATCH('Tablas psiquica'!$W34,'Tablas psiquica'!$X$6:$AG$6,0))),0)</f>
        <v>0</v>
      </c>
      <c r="AJ34" s="2647" t="str">
        <f>IFERROR(IF(VLOOKUP(AK34,$D$7:$G$145,4,FALSE)&lt;&gt;"No",MAX(AJ$5:AJ33)+1,0),"")</f>
        <v/>
      </c>
      <c r="AK34" s="2648" t="str">
        <f t="shared" si="0"/>
        <v/>
      </c>
      <c r="AL34" s="2651"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5893</v>
      </c>
      <c r="J35" s="414" t="s">
        <v>5892</v>
      </c>
      <c r="K35" s="414" t="s">
        <v>5879</v>
      </c>
      <c r="L35" s="414" t="s">
        <v>5878</v>
      </c>
      <c r="M35" s="414" t="s">
        <v>5877</v>
      </c>
      <c r="N35" s="414" t="s">
        <v>5961</v>
      </c>
      <c r="O35" s="414" t="s">
        <v>5962</v>
      </c>
      <c r="P35" s="414" t="s">
        <v>5963</v>
      </c>
      <c r="Q35" s="414" t="s">
        <v>5964</v>
      </c>
      <c r="R35" s="438" t="s">
        <v>5965</v>
      </c>
      <c r="S35" s="862">
        <f>IF(COUNTIF(Psíquicos!$C$25:$E$36,E35)=0,0,1)</f>
        <v>0</v>
      </c>
      <c r="U35" s="2281"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2">
        <f>IF(COUNTIF(Psíquicos!$AD$17:$AH$62,U35),VALUE(INDEX('Tablas psiquica'!$X35:$AG35,MATCH('Tablas psiquica'!$W35,'Tablas psiquica'!$X$6:$AG$6,0))),0)</f>
        <v>0</v>
      </c>
      <c r="AJ35" s="2647" t="str">
        <f>IFERROR(IF(VLOOKUP(AK35,$D$7:$G$145,4,FALSE)&lt;&gt;"No",MAX(AJ$5:AJ34)+1,0),"")</f>
        <v/>
      </c>
      <c r="AK35" s="2648" t="str">
        <f t="shared" si="0"/>
        <v/>
      </c>
      <c r="AL35" s="2651" t="str">
        <f>IFERROR(VLOOKUP(Tablas!$A29,$AJ$7:$AK$145,2,FALSE),"")</f>
        <v/>
      </c>
    </row>
    <row r="36" spans="1:38" ht="12.75" customHeight="1" x14ac:dyDescent="0.2">
      <c r="A36" s="865">
        <v>36</v>
      </c>
      <c r="B36" s="860">
        <f>IF(OR(S36=0),0,SUM($S$6:S36))</f>
        <v>0</v>
      </c>
      <c r="C36" s="422"/>
      <c r="D36" s="287" t="s">
        <v>148</v>
      </c>
      <c r="E36" s="414" t="s">
        <v>101</v>
      </c>
      <c r="F36" s="415">
        <v>3</v>
      </c>
      <c r="G36" s="415" t="s">
        <v>2656</v>
      </c>
      <c r="H36" s="416" t="s">
        <v>1312</v>
      </c>
      <c r="I36" s="414" t="s">
        <v>5966</v>
      </c>
      <c r="J36" s="414" t="s">
        <v>5967</v>
      </c>
      <c r="K36" s="414" t="s">
        <v>5893</v>
      </c>
      <c r="L36" s="414" t="s">
        <v>5892</v>
      </c>
      <c r="M36" s="414" t="s">
        <v>5879</v>
      </c>
      <c r="N36" s="414" t="s">
        <v>5877</v>
      </c>
      <c r="O36" s="414" t="s">
        <v>5968</v>
      </c>
      <c r="P36" s="414" t="s">
        <v>5969</v>
      </c>
      <c r="Q36" s="414" t="s">
        <v>5970</v>
      </c>
      <c r="R36" s="438" t="s">
        <v>5971</v>
      </c>
      <c r="S36" s="862">
        <f>IF(COUNTIF(Psíquicos!$C$25:$E$36,E36)=0,0,1)</f>
        <v>0</v>
      </c>
      <c r="U36" s="2281"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2">
        <f>IF(COUNTIF(Psíquicos!$AD$17:$AH$62,U36),VALUE(INDEX('Tablas psiquica'!$X36:$AG36,MATCH('Tablas psiquica'!$W36,'Tablas psiquica'!$X$6:$AG$6,0))),0)</f>
        <v>0</v>
      </c>
      <c r="AJ36" s="2647" t="str">
        <f>IFERROR(IF(VLOOKUP(AK36,$D$7:$G$145,4,FALSE)&lt;&gt;"No",MAX(AJ$5:AJ35)+1,0),"")</f>
        <v/>
      </c>
      <c r="AK36" s="2648" t="str">
        <f t="shared" si="0"/>
        <v/>
      </c>
      <c r="AL36" s="2651"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5966</v>
      </c>
      <c r="J37" s="414" t="s">
        <v>5967</v>
      </c>
      <c r="K37" s="414" t="s">
        <v>5893</v>
      </c>
      <c r="L37" s="414" t="s">
        <v>5892</v>
      </c>
      <c r="M37" s="414" t="s">
        <v>5879</v>
      </c>
      <c r="N37" s="414" t="s">
        <v>5878</v>
      </c>
      <c r="O37" s="414" t="s">
        <v>5877</v>
      </c>
      <c r="P37" s="414" t="s">
        <v>5972</v>
      </c>
      <c r="Q37" s="414" t="s">
        <v>5973</v>
      </c>
      <c r="R37" s="438" t="s">
        <v>5974</v>
      </c>
      <c r="S37" s="862">
        <f>IF(COUNTIF(Psíquicos!$C$25:$E$36,E37)=0,0,1)</f>
        <v>0</v>
      </c>
      <c r="U37" s="2281"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2">
        <f>IF(COUNTIF(Psíquicos!$AD$17:$AH$62,U37),VALUE(INDEX('Tablas psiquica'!$X37:$AG37,MATCH('Tablas psiquica'!$W37,'Tablas psiquica'!$X$6:$AG$6,0))),0)</f>
        <v>0</v>
      </c>
      <c r="AJ37" s="2647" t="str">
        <f>IFERROR(IF(VLOOKUP(AK37,$D$7:$G$145,4,FALSE)&lt;&gt;"No",MAX(AJ$5:AJ36)+1,0),"")</f>
        <v/>
      </c>
      <c r="AK37" s="2648" t="str">
        <f t="shared" si="0"/>
        <v/>
      </c>
      <c r="AL37" s="2651"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1"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2">
        <f>IF(COUNTIF(Psíquicos!$AD$17:$AH$62,U38),VALUE(INDEX('Tablas psiquica'!$X38:$AG38,MATCH('Tablas psiquica'!$W38,'Tablas psiquica'!$X$6:$AG$6,0))),0)</f>
        <v>0</v>
      </c>
      <c r="AJ38" s="2647" t="str">
        <f>IFERROR(IF(VLOOKUP(AK38,$D$7:$G$145,4,FALSE)&lt;&gt;"No",MAX(AJ$5:AJ37)+1,0),"")</f>
        <v/>
      </c>
      <c r="AK38" s="2648" t="str">
        <f t="shared" si="0"/>
        <v/>
      </c>
      <c r="AL38" s="2651" t="str">
        <f>IFERROR(VLOOKUP(Tablas!$A32,$AJ$7:$AK$145,2,FALSE),"")</f>
        <v/>
      </c>
    </row>
    <row r="39" spans="1:38" ht="12.75" customHeight="1" x14ac:dyDescent="0.2">
      <c r="A39" s="865">
        <v>39</v>
      </c>
      <c r="B39" s="860">
        <f>IF(OR(S39=0),0,SUM($S$6:S39))</f>
        <v>0</v>
      </c>
      <c r="C39" s="422"/>
      <c r="D39" s="287" t="s">
        <v>151</v>
      </c>
      <c r="E39" s="414" t="s">
        <v>103</v>
      </c>
      <c r="F39" s="415">
        <v>1</v>
      </c>
      <c r="G39" s="415" t="s">
        <v>2656</v>
      </c>
      <c r="H39" s="416" t="s">
        <v>1312</v>
      </c>
      <c r="I39" s="414" t="s">
        <v>5842</v>
      </c>
      <c r="J39" s="414" t="s">
        <v>3621</v>
      </c>
      <c r="K39" s="414" t="s">
        <v>4863</v>
      </c>
      <c r="L39" s="414" t="s">
        <v>3622</v>
      </c>
      <c r="M39" s="414" t="s">
        <v>5975</v>
      </c>
      <c r="N39" s="414" t="s">
        <v>3623</v>
      </c>
      <c r="O39" s="414" t="s">
        <v>5976</v>
      </c>
      <c r="P39" s="414" t="s">
        <v>5977</v>
      </c>
      <c r="Q39" s="414" t="s">
        <v>3624</v>
      </c>
      <c r="R39" s="438" t="s">
        <v>4343</v>
      </c>
      <c r="S39" s="862">
        <f>IF(COUNTIF(Psíquicos!$C$25:$E$36,E39)=0,0,1)</f>
        <v>0</v>
      </c>
      <c r="U39" s="2281" t="s">
        <v>162</v>
      </c>
      <c r="V39" s="999"/>
      <c r="W39" s="414"/>
      <c r="X39" s="999"/>
      <c r="Y39" s="999"/>
      <c r="Z39" s="999"/>
      <c r="AA39" s="999"/>
      <c r="AB39" s="999"/>
      <c r="AC39" s="999"/>
      <c r="AD39" s="999"/>
      <c r="AE39" s="999"/>
      <c r="AF39" s="999"/>
      <c r="AG39" s="999"/>
      <c r="AH39" s="2282" t="e">
        <f>IF(COUNTIF(Psíquicos!$AD$17:$AH$62,U39),VALUE(INDEX('Tablas psiquica'!$X39:$AG39,MATCH('Tablas psiquica'!$W39,'Tablas psiquica'!$X$6:$AG$6,0))),0)</f>
        <v>#N/A</v>
      </c>
      <c r="AJ39" s="2647" t="str">
        <f>IFERROR(IF(VLOOKUP(AK39,$D$7:$G$145,4,FALSE)&lt;&gt;"No",MAX(AJ$5:AJ38)+1,0),"")</f>
        <v/>
      </c>
      <c r="AK39" s="2648" t="str">
        <f t="shared" ref="AK39:AK70" si="5">IF(ISNA(VLOOKUP(A33,$B$7:$D$145,3,FALSE)),"",VLOOKUP(A33,$B$7:$D$145,3,FALSE))</f>
        <v/>
      </c>
      <c r="AL39" s="2651"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5842</v>
      </c>
      <c r="J40" s="414" t="s">
        <v>5978</v>
      </c>
      <c r="K40" s="414" t="s">
        <v>5979</v>
      </c>
      <c r="L40" s="414" t="s">
        <v>5980</v>
      </c>
      <c r="M40" s="414" t="s">
        <v>5981</v>
      </c>
      <c r="N40" s="414" t="s">
        <v>5982</v>
      </c>
      <c r="O40" s="414" t="s">
        <v>5983</v>
      </c>
      <c r="P40" s="414" t="s">
        <v>5984</v>
      </c>
      <c r="Q40" s="414" t="s">
        <v>5985</v>
      </c>
      <c r="R40" s="438" t="s">
        <v>5986</v>
      </c>
      <c r="S40" s="862">
        <f>IF(COUNTIF(Psíquicos!$C$25:$E$36,E40)=0,0,1)</f>
        <v>0</v>
      </c>
      <c r="U40" s="2281"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2">
        <f>IF(COUNTIF(Psíquicos!$AD$17:$AH$62,U40),VALUE(INDEX('Tablas psiquica'!$X40:$AG40,MATCH('Tablas psiquica'!$W40,'Tablas psiquica'!$X$6:$AG$6,0))),0)</f>
        <v>0</v>
      </c>
      <c r="AJ40" s="2647" t="str">
        <f>IFERROR(IF(VLOOKUP(AK40,$D$7:$G$145,4,FALSE)&lt;&gt;"No",MAX(AJ$5:AJ39)+1,0),"")</f>
        <v/>
      </c>
      <c r="AK40" s="2648" t="str">
        <f t="shared" si="5"/>
        <v/>
      </c>
      <c r="AL40" s="2651" t="str">
        <f>IFERROR(VLOOKUP(Tablas!$A34,$AJ$7:$AK$145,2,FALSE),"")</f>
        <v/>
      </c>
    </row>
    <row r="41" spans="1:38" ht="12.75" customHeight="1" x14ac:dyDescent="0.2">
      <c r="A41" s="865">
        <v>41</v>
      </c>
      <c r="B41" s="860">
        <f>IF(OR(S41=0),0,SUM($S$6:S41))</f>
        <v>0</v>
      </c>
      <c r="C41" s="422"/>
      <c r="D41" s="287" t="s">
        <v>153</v>
      </c>
      <c r="E41" s="414" t="s">
        <v>103</v>
      </c>
      <c r="F41" s="415">
        <v>1</v>
      </c>
      <c r="G41" s="415" t="s">
        <v>2656</v>
      </c>
      <c r="H41" s="416" t="s">
        <v>1312</v>
      </c>
      <c r="I41" s="414" t="s">
        <v>5841</v>
      </c>
      <c r="J41" s="414" t="s">
        <v>5842</v>
      </c>
      <c r="K41" s="414" t="s">
        <v>5987</v>
      </c>
      <c r="L41" s="414" t="s">
        <v>5988</v>
      </c>
      <c r="M41" s="414" t="s">
        <v>5989</v>
      </c>
      <c r="N41" s="414" t="s">
        <v>5990</v>
      </c>
      <c r="O41" s="414" t="s">
        <v>5991</v>
      </c>
      <c r="P41" s="414" t="s">
        <v>5992</v>
      </c>
      <c r="Q41" s="414" t="s">
        <v>5993</v>
      </c>
      <c r="R41" s="438" t="s">
        <v>5994</v>
      </c>
      <c r="S41" s="862">
        <f>IF(COUNTIF(Psíquicos!$C$25:$E$36,E41)=0,0,1)</f>
        <v>0</v>
      </c>
      <c r="U41" s="2281"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2">
        <f>IF(COUNTIF(Psíquicos!$AD$17:$AH$62,U41),VALUE(INDEX('Tablas psiquica'!$X41:$AG41,MATCH('Tablas psiquica'!$W41,'Tablas psiquica'!$X$6:$AG$6,0))),0)</f>
        <v>0</v>
      </c>
      <c r="AJ41" s="2647" t="str">
        <f>IFERROR(IF(VLOOKUP(AK41,$D$7:$G$145,4,FALSE)&lt;&gt;"No",MAX(AJ$5:AJ40)+1,0),"")</f>
        <v/>
      </c>
      <c r="AK41" s="2648" t="str">
        <f t="shared" si="5"/>
        <v/>
      </c>
      <c r="AL41" s="2651"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5877</v>
      </c>
      <c r="J42" s="414" t="s">
        <v>5841</v>
      </c>
      <c r="K42" s="414" t="s">
        <v>5842</v>
      </c>
      <c r="L42" s="414" t="s">
        <v>5995</v>
      </c>
      <c r="M42" s="414" t="s">
        <v>5996</v>
      </c>
      <c r="N42" s="414" t="s">
        <v>5997</v>
      </c>
      <c r="O42" s="414" t="s">
        <v>5998</v>
      </c>
      <c r="P42" s="414" t="s">
        <v>5999</v>
      </c>
      <c r="Q42" s="414" t="s">
        <v>6000</v>
      </c>
      <c r="R42" s="438" t="s">
        <v>6001</v>
      </c>
      <c r="S42" s="862">
        <f>IF(COUNTIF(Psíquicos!$C$25:$E$36,E42)=0,0,1)</f>
        <v>0</v>
      </c>
      <c r="U42" s="2281"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2">
        <f>IF(COUNTIF(Psíquicos!$AD$17:$AH$62,U42),VALUE(INDEX('Tablas psiquica'!$X42:$AG42,MATCH('Tablas psiquica'!$W42,'Tablas psiquica'!$X$6:$AG$6,0))),0)</f>
        <v>0</v>
      </c>
      <c r="AJ42" s="2647" t="str">
        <f>IFERROR(IF(VLOOKUP(AK42,$D$7:$G$145,4,FALSE)&lt;&gt;"No",MAX(AJ$5:AJ41)+1,0),"")</f>
        <v/>
      </c>
      <c r="AK42" s="2648" t="str">
        <f t="shared" si="5"/>
        <v/>
      </c>
      <c r="AL42" s="2651" t="str">
        <f>IFERROR(VLOOKUP(Tablas!$A36,$AJ$7:$AK$145,2,FALSE),"")</f>
        <v/>
      </c>
    </row>
    <row r="43" spans="1:38" ht="12.75" customHeight="1" x14ac:dyDescent="0.2">
      <c r="A43" s="865">
        <v>43</v>
      </c>
      <c r="B43" s="860">
        <f>IF(OR(S43=0),0,SUM($S$6:S43))</f>
        <v>0</v>
      </c>
      <c r="C43" s="422"/>
      <c r="D43" s="287" t="s">
        <v>155</v>
      </c>
      <c r="E43" s="414" t="s">
        <v>103</v>
      </c>
      <c r="F43" s="415">
        <v>2</v>
      </c>
      <c r="G43" s="415" t="s">
        <v>2656</v>
      </c>
      <c r="H43" s="416" t="s">
        <v>1312</v>
      </c>
      <c r="I43" s="414" t="s">
        <v>5877</v>
      </c>
      <c r="J43" s="414" t="s">
        <v>5841</v>
      </c>
      <c r="K43" s="414" t="s">
        <v>5842</v>
      </c>
      <c r="L43" s="414" t="s">
        <v>3622</v>
      </c>
      <c r="M43" s="414" t="s">
        <v>3623</v>
      </c>
      <c r="N43" s="414" t="s">
        <v>4342</v>
      </c>
      <c r="O43" s="414" t="s">
        <v>3624</v>
      </c>
      <c r="P43" s="414" t="s">
        <v>6002</v>
      </c>
      <c r="Q43" s="414" t="s">
        <v>6003</v>
      </c>
      <c r="R43" s="438" t="s">
        <v>6004</v>
      </c>
      <c r="S43" s="862">
        <f>IF(COUNTIF(Psíquicos!$C$25:$E$36,E43)=0,0,1)</f>
        <v>0</v>
      </c>
      <c r="U43" s="2281"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2">
        <f>IF(COUNTIF(Psíquicos!$AD$17:$AH$62,U43),VALUE(INDEX('Tablas psiquica'!$X43:$AG43,MATCH('Tablas psiquica'!$W43,'Tablas psiquica'!$X$6:$AG$6,0))),0)</f>
        <v>0</v>
      </c>
      <c r="AJ43" s="2647" t="str">
        <f>IFERROR(IF(VLOOKUP(AK43,$D$7:$G$145,4,FALSE)&lt;&gt;"No",MAX(AJ$5:AJ42)+1,0),"")</f>
        <v/>
      </c>
      <c r="AK43" s="2648" t="str">
        <f t="shared" si="5"/>
        <v/>
      </c>
      <c r="AL43" s="2651" t="str">
        <f>IFERROR(VLOOKUP(Tablas!$A37,$AJ$7:$AK$145,2,FALSE),"")</f>
        <v/>
      </c>
    </row>
    <row r="44" spans="1:38" ht="12.75" customHeight="1" x14ac:dyDescent="0.2">
      <c r="A44" s="865">
        <v>44</v>
      </c>
      <c r="B44" s="860">
        <f>IF(OR(S44=0),0,SUM($S$6:S44))</f>
        <v>0</v>
      </c>
      <c r="C44" s="422"/>
      <c r="D44" s="287" t="s">
        <v>156</v>
      </c>
      <c r="E44" s="414" t="s">
        <v>103</v>
      </c>
      <c r="F44" s="415">
        <v>2</v>
      </c>
      <c r="G44" s="415" t="s">
        <v>2656</v>
      </c>
      <c r="H44" s="416" t="s">
        <v>1313</v>
      </c>
      <c r="I44" s="414" t="s">
        <v>5877</v>
      </c>
      <c r="J44" s="414" t="s">
        <v>5841</v>
      </c>
      <c r="K44" s="414" t="s">
        <v>5842</v>
      </c>
      <c r="L44" s="414" t="s">
        <v>3622</v>
      </c>
      <c r="M44" s="414" t="s">
        <v>3623</v>
      </c>
      <c r="N44" s="414" t="s">
        <v>4342</v>
      </c>
      <c r="O44" s="414" t="s">
        <v>3624</v>
      </c>
      <c r="P44" s="414" t="s">
        <v>6002</v>
      </c>
      <c r="Q44" s="414" t="s">
        <v>6003</v>
      </c>
      <c r="R44" s="438" t="s">
        <v>6004</v>
      </c>
      <c r="S44" s="862">
        <f>IF(COUNTIF(Psíquicos!$C$25:$E$36,E44)=0,0,1)</f>
        <v>0</v>
      </c>
      <c r="U44" s="2281"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2">
        <f>IF(COUNTIF(Psíquicos!$AD$17:$AH$62,U44),VALUE(INDEX('Tablas psiquica'!$X44:$AG44,MATCH('Tablas psiquica'!$W44,'Tablas psiquica'!$X$6:$AG$6,0))),0)</f>
        <v>0</v>
      </c>
      <c r="AJ44" s="2647" t="str">
        <f>IFERROR(IF(VLOOKUP(AK44,$D$7:$G$145,4,FALSE)&lt;&gt;"No",MAX(AJ$5:AJ43)+1,0),"")</f>
        <v/>
      </c>
      <c r="AK44" s="2648" t="str">
        <f t="shared" si="5"/>
        <v/>
      </c>
      <c r="AL44" s="2651" t="str">
        <f>IFERROR(VLOOKUP(Tablas!$A38,$AJ$7:$AK$145,2,FALSE),"")</f>
        <v/>
      </c>
    </row>
    <row r="45" spans="1:38" ht="12.75" customHeight="1" x14ac:dyDescent="0.2">
      <c r="A45" s="865">
        <v>45</v>
      </c>
      <c r="B45" s="860">
        <f>IF(OR(S45=0),0,SUM($S$6:S45))</f>
        <v>0</v>
      </c>
      <c r="C45" s="422"/>
      <c r="D45" s="287" t="s">
        <v>157</v>
      </c>
      <c r="E45" s="414" t="s">
        <v>103</v>
      </c>
      <c r="F45" s="415">
        <v>2</v>
      </c>
      <c r="G45" s="415" t="s">
        <v>2656</v>
      </c>
      <c r="H45" s="416" t="s">
        <v>1312</v>
      </c>
      <c r="I45" s="414" t="s">
        <v>5878</v>
      </c>
      <c r="J45" s="414" t="s">
        <v>5877</v>
      </c>
      <c r="K45" s="414" t="s">
        <v>5841</v>
      </c>
      <c r="L45" s="414" t="s">
        <v>5842</v>
      </c>
      <c r="M45" s="414" t="s">
        <v>5995</v>
      </c>
      <c r="N45" s="414" t="s">
        <v>5996</v>
      </c>
      <c r="O45" s="414" t="s">
        <v>6005</v>
      </c>
      <c r="P45" s="414" t="s">
        <v>6006</v>
      </c>
      <c r="Q45" s="414" t="s">
        <v>6007</v>
      </c>
      <c r="R45" s="438" t="s">
        <v>6008</v>
      </c>
      <c r="S45" s="862">
        <f>IF(COUNTIF(Psíquicos!$C$25:$E$36,E45)=0,0,1)</f>
        <v>0</v>
      </c>
      <c r="U45" s="2281" t="s">
        <v>170</v>
      </c>
      <c r="V45" s="414" t="str">
        <f t="shared" si="6"/>
        <v>DIF</v>
      </c>
      <c r="W45" s="414" t="str">
        <f>IFERROR(VLOOKUP(U45,Psíquicos!$AD$11:$AK$64,8,FALSE),V45)</f>
        <v>DIF</v>
      </c>
      <c r="X45" s="999"/>
      <c r="Y45" s="999"/>
      <c r="Z45" s="999"/>
      <c r="AA45" s="999"/>
      <c r="AB45" s="999"/>
      <c r="AC45" s="999"/>
      <c r="AD45" s="999"/>
      <c r="AE45" s="999"/>
      <c r="AF45" s="999"/>
      <c r="AG45" s="999"/>
      <c r="AH45" s="2282">
        <f>IF(COUNTIF(Psíquicos!$AD$17:$AH$62,U45),VALUE(INDEX('Tablas psiquica'!$X45:$AG45,MATCH('Tablas psiquica'!$W45,'Tablas psiquica'!$X$6:$AG$6,0))),0)</f>
        <v>0</v>
      </c>
      <c r="AJ45" s="2647" t="str">
        <f>IFERROR(IF(VLOOKUP(AK45,$D$7:$G$145,4,FALSE)&lt;&gt;"No",MAX(AJ$5:AJ44)+1,0),"")</f>
        <v/>
      </c>
      <c r="AK45" s="2648" t="str">
        <f t="shared" si="5"/>
        <v/>
      </c>
      <c r="AL45" s="2651" t="str">
        <f>IFERROR(VLOOKUP(Tablas!$A39,$AJ$7:$AK$145,2,FALSE),"")</f>
        <v/>
      </c>
    </row>
    <row r="46" spans="1:38" ht="12.75" customHeight="1" x14ac:dyDescent="0.2">
      <c r="A46" s="865">
        <v>46</v>
      </c>
      <c r="B46" s="860">
        <f>IF(OR(S46=0),0,SUM($S$6:S46))</f>
        <v>0</v>
      </c>
      <c r="C46" s="422"/>
      <c r="D46" s="287" t="s">
        <v>158</v>
      </c>
      <c r="E46" s="414" t="s">
        <v>103</v>
      </c>
      <c r="F46" s="415">
        <v>2</v>
      </c>
      <c r="G46" s="415" t="s">
        <v>2656</v>
      </c>
      <c r="H46" s="416" t="s">
        <v>1312</v>
      </c>
      <c r="I46" s="414" t="s">
        <v>5878</v>
      </c>
      <c r="J46" s="414" t="s">
        <v>5877</v>
      </c>
      <c r="K46" s="414" t="s">
        <v>5841</v>
      </c>
      <c r="L46" s="414" t="s">
        <v>5842</v>
      </c>
      <c r="M46" s="414" t="s">
        <v>6009</v>
      </c>
      <c r="N46" s="414" t="s">
        <v>6010</v>
      </c>
      <c r="O46" s="414" t="s">
        <v>6011</v>
      </c>
      <c r="P46" s="414" t="s">
        <v>6012</v>
      </c>
      <c r="Q46" s="414" t="s">
        <v>6013</v>
      </c>
      <c r="R46" s="438" t="s">
        <v>6014</v>
      </c>
      <c r="S46" s="862">
        <f>IF(COUNTIF(Psíquicos!$C$25:$E$36,E46)=0,0,1)</f>
        <v>0</v>
      </c>
      <c r="U46" s="2281" t="s">
        <v>171</v>
      </c>
      <c r="V46" s="414" t="str">
        <f t="shared" si="6"/>
        <v>ABS</v>
      </c>
      <c r="W46" s="414" t="str">
        <f>IFERROR(VLOOKUP(U46,Psíquicos!$AD$11:$AK$64,8,FALSE),V46)</f>
        <v>ABS</v>
      </c>
      <c r="X46" s="999"/>
      <c r="Y46" s="999"/>
      <c r="Z46" s="999"/>
      <c r="AA46" s="999"/>
      <c r="AB46" s="999"/>
      <c r="AC46" s="999"/>
      <c r="AD46" s="999"/>
      <c r="AE46" s="999"/>
      <c r="AF46" s="999"/>
      <c r="AG46" s="999"/>
      <c r="AH46" s="2282">
        <f>IF(COUNTIF(Psíquicos!$AD$17:$AH$62,U46),VALUE(INDEX('Tablas psiquica'!$X46:$AG46,MATCH('Tablas psiquica'!$W46,'Tablas psiquica'!$X$6:$AG$6,0))),0)</f>
        <v>0</v>
      </c>
      <c r="AJ46" s="2647" t="str">
        <f>IFERROR(IF(VLOOKUP(AK46,$D$7:$G$145,4,FALSE)&lt;&gt;"No",MAX(AJ$5:AJ45)+1,0),"")</f>
        <v/>
      </c>
      <c r="AK46" s="2648" t="str">
        <f t="shared" si="5"/>
        <v/>
      </c>
      <c r="AL46" s="2651"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5893</v>
      </c>
      <c r="J47" s="414" t="s">
        <v>5892</v>
      </c>
      <c r="K47" s="414" t="s">
        <v>5879</v>
      </c>
      <c r="L47" s="414" t="s">
        <v>5878</v>
      </c>
      <c r="M47" s="414" t="s">
        <v>5877</v>
      </c>
      <c r="N47" s="414" t="s">
        <v>6015</v>
      </c>
      <c r="O47" s="414" t="s">
        <v>6016</v>
      </c>
      <c r="P47" s="414" t="s">
        <v>6017</v>
      </c>
      <c r="Q47" s="414" t="s">
        <v>6018</v>
      </c>
      <c r="R47" s="438" t="s">
        <v>6019</v>
      </c>
      <c r="S47" s="862">
        <f>IF(COUNTIF(Psíquicos!$C$25:$E$36,E47)=0,0,1)</f>
        <v>0</v>
      </c>
      <c r="U47" s="2281" t="s">
        <v>172</v>
      </c>
      <c r="V47" s="414" t="str">
        <f t="shared" si="6"/>
        <v>DIF</v>
      </c>
      <c r="W47" s="414" t="str">
        <f>IFERROR(VLOOKUP(U47,Psíquicos!$AD$11:$AK$64,8,FALSE),V47)</f>
        <v>DIF</v>
      </c>
      <c r="X47" s="999"/>
      <c r="Y47" s="999"/>
      <c r="Z47" s="999"/>
      <c r="AA47" s="999"/>
      <c r="AB47" s="999"/>
      <c r="AC47" s="999"/>
      <c r="AD47" s="999"/>
      <c r="AE47" s="999"/>
      <c r="AF47" s="999"/>
      <c r="AG47" s="999"/>
      <c r="AH47" s="2282">
        <f>IF(COUNTIF(Psíquicos!$AD$17:$AH$62,U47),VALUE(INDEX('Tablas psiquica'!$X47:$AG47,MATCH('Tablas psiquica'!$W47,'Tablas psiquica'!$X$6:$AG$6,0))),0)</f>
        <v>0</v>
      </c>
      <c r="AJ47" s="2647" t="str">
        <f>IFERROR(IF(VLOOKUP(AK47,$D$7:$G$145,4,FALSE)&lt;&gt;"No",MAX(AJ$5:AJ46)+1,0),"")</f>
        <v/>
      </c>
      <c r="AK47" s="2648" t="str">
        <f t="shared" si="5"/>
        <v/>
      </c>
      <c r="AL47" s="2651" t="str">
        <f>IFERROR(VLOOKUP(Tablas!$A41,$AJ$7:$AK$145,2,FALSE),"")</f>
        <v/>
      </c>
    </row>
    <row r="48" spans="1:38" ht="12.75" customHeight="1" x14ac:dyDescent="0.2">
      <c r="A48" s="865">
        <v>48</v>
      </c>
      <c r="B48" s="860">
        <f>IF(OR(S48=0),0,SUM($S$6:S48))</f>
        <v>0</v>
      </c>
      <c r="C48" s="422"/>
      <c r="D48" s="287" t="s">
        <v>160</v>
      </c>
      <c r="E48" s="414" t="s">
        <v>103</v>
      </c>
      <c r="F48" s="415">
        <v>3</v>
      </c>
      <c r="G48" s="415" t="s">
        <v>2656</v>
      </c>
      <c r="H48" s="416" t="s">
        <v>1312</v>
      </c>
      <c r="I48" s="414" t="s">
        <v>5893</v>
      </c>
      <c r="J48" s="414" t="s">
        <v>5892</v>
      </c>
      <c r="K48" s="414" t="s">
        <v>5879</v>
      </c>
      <c r="L48" s="414" t="s">
        <v>6020</v>
      </c>
      <c r="M48" s="414" t="s">
        <v>6021</v>
      </c>
      <c r="N48" s="414" t="s">
        <v>6022</v>
      </c>
      <c r="O48" s="414" t="s">
        <v>5083</v>
      </c>
      <c r="P48" s="414" t="s">
        <v>6023</v>
      </c>
      <c r="Q48" s="414" t="s">
        <v>5084</v>
      </c>
      <c r="R48" s="438" t="s">
        <v>6024</v>
      </c>
      <c r="S48" s="862">
        <f>IF(COUNTIF(Psíquicos!$C$25:$E$36,E48)=0,0,1)</f>
        <v>0</v>
      </c>
      <c r="U48" s="2281" t="s">
        <v>173</v>
      </c>
      <c r="V48" s="414" t="str">
        <f t="shared" si="6"/>
        <v>ABS</v>
      </c>
      <c r="W48" s="414" t="str">
        <f>IFERROR(VLOOKUP(U48,Psíquicos!$AD$11:$AK$64,8,FALSE),V48)</f>
        <v>ABS</v>
      </c>
      <c r="X48" s="999"/>
      <c r="Y48" s="999"/>
      <c r="Z48" s="999"/>
      <c r="AA48" s="999"/>
      <c r="AB48" s="999"/>
      <c r="AC48" s="999"/>
      <c r="AD48" s="999"/>
      <c r="AE48" s="999"/>
      <c r="AF48" s="999"/>
      <c r="AG48" s="999"/>
      <c r="AH48" s="2282">
        <f>IF(COUNTIF(Psíquicos!$AD$17:$AH$62,U48),VALUE(INDEX('Tablas psiquica'!$X48:$AG48,MATCH('Tablas psiquica'!$W48,'Tablas psiquica'!$X$6:$AG$6,0))),0)</f>
        <v>0</v>
      </c>
      <c r="AJ48" s="2647" t="str">
        <f>IFERROR(IF(VLOOKUP(AK48,$D$7:$G$145,4,FALSE)&lt;&gt;"No",MAX(AJ$5:AJ47)+1,0),"")</f>
        <v/>
      </c>
      <c r="AK48" s="2648" t="str">
        <f t="shared" si="5"/>
        <v/>
      </c>
      <c r="AL48" s="2651" t="str">
        <f>IFERROR(VLOOKUP(Tablas!$A42,$AJ$7:$AK$145,2,FALSE),"")</f>
        <v/>
      </c>
    </row>
    <row r="49" spans="1:38" ht="12.75" customHeight="1" x14ac:dyDescent="0.2">
      <c r="A49" s="865">
        <v>49</v>
      </c>
      <c r="B49" s="860">
        <f>IF(OR(S49=0),0,SUM($S$6:S49))</f>
        <v>0</v>
      </c>
      <c r="C49" s="422"/>
      <c r="D49" s="287" t="s">
        <v>161</v>
      </c>
      <c r="E49" s="414" t="s">
        <v>103</v>
      </c>
      <c r="F49" s="415">
        <v>3</v>
      </c>
      <c r="G49" s="415" t="s">
        <v>2656</v>
      </c>
      <c r="H49" s="416" t="s">
        <v>1312</v>
      </c>
      <c r="I49" s="414" t="s">
        <v>5967</v>
      </c>
      <c r="J49" s="414" t="s">
        <v>5893</v>
      </c>
      <c r="K49" s="414" t="s">
        <v>5892</v>
      </c>
      <c r="L49" s="414" t="s">
        <v>5879</v>
      </c>
      <c r="M49" s="414" t="s">
        <v>5878</v>
      </c>
      <c r="N49" s="414" t="s">
        <v>5877</v>
      </c>
      <c r="O49" s="414" t="s">
        <v>6002</v>
      </c>
      <c r="P49" s="414" t="s">
        <v>6003</v>
      </c>
      <c r="Q49" s="414" t="s">
        <v>6004</v>
      </c>
      <c r="R49" s="438" t="s">
        <v>6025</v>
      </c>
      <c r="S49" s="862">
        <f>IF(COUNTIF(Psíquicos!$C$25:$E$36,E49)=0,0,1)</f>
        <v>0</v>
      </c>
      <c r="U49" s="2281" t="s">
        <v>174</v>
      </c>
      <c r="V49" s="414" t="str">
        <f t="shared" si="6"/>
        <v>ABS</v>
      </c>
      <c r="W49" s="414" t="str">
        <f>IFERROR(VLOOKUP(U49,Psíquicos!$AD$11:$AK$64,8,FALSE),V49)</f>
        <v>ABS</v>
      </c>
      <c r="X49" s="999"/>
      <c r="Y49" s="999"/>
      <c r="Z49" s="999"/>
      <c r="AA49" s="999"/>
      <c r="AB49" s="999"/>
      <c r="AC49" s="999"/>
      <c r="AD49" s="999"/>
      <c r="AE49" s="999"/>
      <c r="AF49" s="999"/>
      <c r="AG49" s="999"/>
      <c r="AH49" s="2282">
        <f>IF(COUNTIF(Psíquicos!$AD$17:$AH$62,U49),VALUE(INDEX('Tablas psiquica'!$X49:$AG49,MATCH('Tablas psiquica'!$W49,'Tablas psiquica'!$X$6:$AG$6,0))),0)</f>
        <v>0</v>
      </c>
      <c r="AJ49" s="2647" t="str">
        <f>IFERROR(IF(VLOOKUP(AK49,$D$7:$G$145,4,FALSE)&lt;&gt;"No",MAX(AJ$5:AJ48)+1,0),"")</f>
        <v/>
      </c>
      <c r="AK49" s="2648" t="str">
        <f t="shared" si="5"/>
        <v/>
      </c>
      <c r="AL49" s="2651"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1" t="s">
        <v>175</v>
      </c>
      <c r="V50" s="414" t="str">
        <f t="shared" si="6"/>
        <v>CIM</v>
      </c>
      <c r="W50" s="414" t="str">
        <f>IFERROR(VLOOKUP(U50,Psíquicos!$AD$11:$AK$64,8,FALSE),V50)</f>
        <v>CIM</v>
      </c>
      <c r="X50" s="999"/>
      <c r="Y50" s="999"/>
      <c r="Z50" s="999"/>
      <c r="AA50" s="999"/>
      <c r="AB50" s="999"/>
      <c r="AC50" s="999"/>
      <c r="AD50" s="999"/>
      <c r="AE50" s="999"/>
      <c r="AF50" s="999"/>
      <c r="AG50" s="999"/>
      <c r="AH50" s="2282">
        <f>IF(COUNTIF(Psíquicos!$AD$17:$AH$62,U50),VALUE(INDEX('Tablas psiquica'!$X50:$AG50,MATCH('Tablas psiquica'!$W50,'Tablas psiquica'!$X$6:$AG$6,0))),0)</f>
        <v>0</v>
      </c>
      <c r="AJ50" s="2647" t="str">
        <f>IFERROR(IF(VLOOKUP(AK50,$D$7:$G$145,4,FALSE)&lt;&gt;"No",MAX(AJ$5:AJ49)+1,0),"")</f>
        <v/>
      </c>
      <c r="AK50" s="2648" t="str">
        <f t="shared" si="5"/>
        <v/>
      </c>
      <c r="AL50" s="2651" t="str">
        <f>IFERROR(VLOOKUP(Tablas!$A44,$AJ$7:$AK$145,2,FALSE),"")</f>
        <v/>
      </c>
    </row>
    <row r="51" spans="1:38" ht="12.75" customHeight="1" x14ac:dyDescent="0.2">
      <c r="A51" s="865">
        <v>51</v>
      </c>
      <c r="B51" s="860">
        <f>IF(OR(S51=0),0,SUM($S$6:S51))</f>
        <v>0</v>
      </c>
      <c r="C51" s="422"/>
      <c r="D51" s="287" t="s">
        <v>163</v>
      </c>
      <c r="E51" s="414" t="s">
        <v>105</v>
      </c>
      <c r="F51" s="415">
        <v>1</v>
      </c>
      <c r="G51" s="415" t="s">
        <v>2656</v>
      </c>
      <c r="H51" s="416" t="s">
        <v>1312</v>
      </c>
      <c r="I51" s="414" t="s">
        <v>5842</v>
      </c>
      <c r="J51" s="414" t="s">
        <v>3621</v>
      </c>
      <c r="K51" s="414" t="s">
        <v>4863</v>
      </c>
      <c r="L51" s="414" t="s">
        <v>3622</v>
      </c>
      <c r="M51" s="414" t="s">
        <v>5975</v>
      </c>
      <c r="N51" s="414" t="s">
        <v>3623</v>
      </c>
      <c r="O51" s="414" t="s">
        <v>5976</v>
      </c>
      <c r="P51" s="414" t="s">
        <v>5977</v>
      </c>
      <c r="Q51" s="414" t="s">
        <v>3624</v>
      </c>
      <c r="R51" s="438" t="s">
        <v>4343</v>
      </c>
      <c r="S51" s="862">
        <f>IF(COUNTIF(Psíquicos!$C$25:$E$36,E51)=0,0,1)</f>
        <v>0</v>
      </c>
      <c r="U51" s="2281" t="s">
        <v>176</v>
      </c>
      <c r="V51" s="999"/>
      <c r="W51" s="414"/>
      <c r="X51" s="999"/>
      <c r="Y51" s="999"/>
      <c r="Z51" s="999"/>
      <c r="AA51" s="999"/>
      <c r="AB51" s="999"/>
      <c r="AC51" s="999"/>
      <c r="AD51" s="999"/>
      <c r="AE51" s="999"/>
      <c r="AF51" s="999"/>
      <c r="AG51" s="999"/>
      <c r="AH51" s="2282" t="e">
        <f>IF(COUNTIF(Psíquicos!$AD$17:$AH$62,U51),VALUE(INDEX('Tablas psiquica'!$X51:$AG51,MATCH('Tablas psiquica'!$W51,'Tablas psiquica'!$X$6:$AG$6,0))),0)</f>
        <v>#N/A</v>
      </c>
      <c r="AJ51" s="2647" t="str">
        <f>IFERROR(IF(VLOOKUP(AK51,$D$7:$G$145,4,FALSE)&lt;&gt;"No",MAX(AJ$5:AJ50)+1,0),"")</f>
        <v/>
      </c>
      <c r="AK51" s="2648" t="str">
        <f t="shared" si="5"/>
        <v/>
      </c>
      <c r="AL51" s="2651" t="str">
        <f>IFERROR(VLOOKUP(Tablas!$A45,$AJ$7:$AK$145,2,FALSE),"")</f>
        <v/>
      </c>
    </row>
    <row r="52" spans="1:38" ht="12.75" customHeight="1" x14ac:dyDescent="0.2">
      <c r="A52" s="865">
        <v>52</v>
      </c>
      <c r="B52" s="860">
        <f>IF(OR(S52=0),0,SUM($S$6:S52))</f>
        <v>0</v>
      </c>
      <c r="C52" s="422"/>
      <c r="D52" s="287" t="s">
        <v>164</v>
      </c>
      <c r="E52" s="414" t="s">
        <v>105</v>
      </c>
      <c r="F52" s="415">
        <v>1</v>
      </c>
      <c r="G52" s="415" t="s">
        <v>2656</v>
      </c>
      <c r="H52" s="416" t="s">
        <v>1312</v>
      </c>
      <c r="I52" s="414" t="s">
        <v>5877</v>
      </c>
      <c r="J52" s="414" t="s">
        <v>5841</v>
      </c>
      <c r="K52" s="414" t="s">
        <v>5842</v>
      </c>
      <c r="L52" s="414" t="s">
        <v>6026</v>
      </c>
      <c r="M52" s="414" t="s">
        <v>6027</v>
      </c>
      <c r="N52" s="414" t="s">
        <v>6028</v>
      </c>
      <c r="O52" s="414" t="s">
        <v>6029</v>
      </c>
      <c r="P52" s="414" t="s">
        <v>4347</v>
      </c>
      <c r="Q52" s="414" t="s">
        <v>4349</v>
      </c>
      <c r="R52" s="438" t="s">
        <v>6030</v>
      </c>
      <c r="S52" s="862">
        <f>IF(COUNTIF(Psíquicos!$C$25:$E$36,E52)=0,0,1)</f>
        <v>0</v>
      </c>
      <c r="U52" s="2281"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2">
        <f>IF(COUNTIF(Psíquicos!$AD$17:$AH$62,U52),VALUE(INDEX('Tablas psiquica'!$X52:$AG52,MATCH('Tablas psiquica'!$W52,'Tablas psiquica'!$X$6:$AG$6,0))),0)</f>
        <v>0</v>
      </c>
      <c r="AJ52" s="2647" t="str">
        <f>IFERROR(IF(VLOOKUP(AK52,$D$7:$G$145,4,FALSE)&lt;&gt;"No",MAX(AJ$5:AJ51)+1,0),"")</f>
        <v/>
      </c>
      <c r="AK52" s="2648" t="str">
        <f t="shared" si="5"/>
        <v/>
      </c>
      <c r="AL52" s="2651" t="str">
        <f>IFERROR(VLOOKUP(Tablas!$A46,$AJ$7:$AK$145,2,FALSE),"")</f>
        <v/>
      </c>
    </row>
    <row r="53" spans="1:38" ht="12.75" customHeight="1" x14ac:dyDescent="0.2">
      <c r="A53" s="865">
        <v>53</v>
      </c>
      <c r="B53" s="860">
        <f>IF(OR(S53=0),0,SUM($S$6:S53))</f>
        <v>0</v>
      </c>
      <c r="C53" s="422"/>
      <c r="D53" s="287" t="s">
        <v>165</v>
      </c>
      <c r="E53" s="414" t="s">
        <v>105</v>
      </c>
      <c r="F53" s="415">
        <v>1</v>
      </c>
      <c r="G53" s="415" t="s">
        <v>2656</v>
      </c>
      <c r="H53" s="416" t="s">
        <v>1312</v>
      </c>
      <c r="I53" s="414" t="s">
        <v>5842</v>
      </c>
      <c r="J53" s="414" t="s">
        <v>5978</v>
      </c>
      <c r="K53" s="414" t="s">
        <v>5979</v>
      </c>
      <c r="L53" s="414" t="s">
        <v>5980</v>
      </c>
      <c r="M53" s="414" t="s">
        <v>5981</v>
      </c>
      <c r="N53" s="414" t="s">
        <v>5982</v>
      </c>
      <c r="O53" s="414" t="s">
        <v>5983</v>
      </c>
      <c r="P53" s="414" t="s">
        <v>5984</v>
      </c>
      <c r="Q53" s="414" t="s">
        <v>5985</v>
      </c>
      <c r="R53" s="438" t="s">
        <v>5986</v>
      </c>
      <c r="S53" s="862">
        <f>IF(COUNTIF(Psíquicos!$C$25:$E$36,E53)=0,0,1)</f>
        <v>0</v>
      </c>
      <c r="U53" s="2281"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2">
        <f>IF(COUNTIF(Psíquicos!$AD$17:$AH$62,U53),VALUE(INDEX('Tablas psiquica'!$X53:$AG53,MATCH('Tablas psiquica'!$W53,'Tablas psiquica'!$X$6:$AG$6,0))),0)</f>
        <v>0</v>
      </c>
      <c r="AJ53" s="2647" t="str">
        <f>IFERROR(IF(VLOOKUP(AK53,$D$7:$G$145,4,FALSE)&lt;&gt;"No",MAX(AJ$5:AJ52)+1,0),"")</f>
        <v/>
      </c>
      <c r="AK53" s="2648" t="str">
        <f t="shared" si="5"/>
        <v/>
      </c>
      <c r="AL53" s="2651"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5841</v>
      </c>
      <c r="J54" s="414" t="s">
        <v>5842</v>
      </c>
      <c r="K54" s="414" t="s">
        <v>5987</v>
      </c>
      <c r="L54" s="414" t="s">
        <v>5988</v>
      </c>
      <c r="M54" s="414" t="s">
        <v>5989</v>
      </c>
      <c r="N54" s="414" t="s">
        <v>5990</v>
      </c>
      <c r="O54" s="414" t="s">
        <v>5991</v>
      </c>
      <c r="P54" s="414" t="s">
        <v>5992</v>
      </c>
      <c r="Q54" s="414" t="s">
        <v>5993</v>
      </c>
      <c r="R54" s="438" t="s">
        <v>5994</v>
      </c>
      <c r="S54" s="862">
        <f>IF(COUNTIF(Psíquicos!$C$25:$E$36,E54)=0,0,1)</f>
        <v>0</v>
      </c>
      <c r="U54" s="2281"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2">
        <f>IF(COUNTIF(Psíquicos!$AD$17:$AH$62,U54),VALUE(INDEX('Tablas psiquica'!$X54:$AG54,MATCH('Tablas psiquica'!$W54,'Tablas psiquica'!$X$6:$AG$6,0))),0)</f>
        <v>0</v>
      </c>
      <c r="AI54" s="2752" t="s">
        <v>10234</v>
      </c>
      <c r="AJ54" s="2647" t="str">
        <f>IFERROR(IF(VLOOKUP(AK54,$D$7:$G$145,4,FALSE)&lt;&gt;"No",MAX(AJ$5:AJ53)+1,0),"")</f>
        <v/>
      </c>
      <c r="AK54" s="2648" t="str">
        <f t="shared" si="5"/>
        <v/>
      </c>
      <c r="AL54" s="2651" t="str">
        <f>IFERROR(VLOOKUP(Tablas!$A48,$AJ$7:$AK$145,2,FALSE),"")</f>
        <v/>
      </c>
    </row>
    <row r="55" spans="1:38" ht="12.75" customHeight="1" x14ac:dyDescent="0.2">
      <c r="A55" s="865">
        <v>55</v>
      </c>
      <c r="B55" s="860">
        <f>IF(OR(S55=0),0,SUM($S$6:S55))</f>
        <v>0</v>
      </c>
      <c r="C55" s="422"/>
      <c r="D55" s="287" t="s">
        <v>167</v>
      </c>
      <c r="E55" s="414" t="s">
        <v>105</v>
      </c>
      <c r="F55" s="415">
        <v>1</v>
      </c>
      <c r="G55" s="415" t="s">
        <v>2656</v>
      </c>
      <c r="H55" s="416" t="s">
        <v>1312</v>
      </c>
      <c r="I55" s="414" t="s">
        <v>5879</v>
      </c>
      <c r="J55" s="414" t="s">
        <v>5878</v>
      </c>
      <c r="K55" s="414" t="s">
        <v>5877</v>
      </c>
      <c r="L55" s="414" t="s">
        <v>5876</v>
      </c>
      <c r="M55" s="414" t="s">
        <v>5859</v>
      </c>
      <c r="N55" s="414" t="s">
        <v>5860</v>
      </c>
      <c r="O55" s="414" t="s">
        <v>5861</v>
      </c>
      <c r="P55" s="414" t="s">
        <v>5862</v>
      </c>
      <c r="Q55" s="414" t="s">
        <v>5863</v>
      </c>
      <c r="R55" s="438" t="s">
        <v>5865</v>
      </c>
      <c r="S55" s="862">
        <f>IF(COUNTIF(Psíquicos!$C$25:$E$36,E55)=0,0,1)</f>
        <v>0</v>
      </c>
      <c r="U55" s="2281"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2">
        <f>IF(COUNTIF(Psíquicos!$AD$17:$AH$62,U55),VALUE(INDEX('Tablas psiquica'!$X55:$AG55,MATCH('Tablas psiquica'!$W55,'Tablas psiquica'!$X$6:$AG$6,0))),0)</f>
        <v>0</v>
      </c>
      <c r="AI55" s="2751">
        <f>IF(COUNTIF(Psíquicos!$AD$17:$AH$62,U55)&gt;0,IF(MATCH('Tablas psiquica'!$W55,'Tablas psiquica'!$X$6:$AG$6,0)&gt;6,2,1),0)</f>
        <v>0</v>
      </c>
      <c r="AJ55" s="2647" t="str">
        <f>IFERROR(IF(VLOOKUP(AK55,$D$7:$G$145,4,FALSE)&lt;&gt;"No",MAX(AJ$5:AJ54)+1,0),"")</f>
        <v/>
      </c>
      <c r="AK55" s="2648" t="str">
        <f t="shared" si="5"/>
        <v/>
      </c>
      <c r="AL55" s="2651"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5879</v>
      </c>
      <c r="J56" s="414" t="s">
        <v>5878</v>
      </c>
      <c r="K56" s="414" t="s">
        <v>5877</v>
      </c>
      <c r="L56" s="414" t="s">
        <v>5841</v>
      </c>
      <c r="M56" s="414" t="s">
        <v>5842</v>
      </c>
      <c r="N56" s="414" t="s">
        <v>4744</v>
      </c>
      <c r="O56" s="414" t="s">
        <v>3841</v>
      </c>
      <c r="P56" s="414" t="s">
        <v>3515</v>
      </c>
      <c r="Q56" s="414" t="s">
        <v>6031</v>
      </c>
      <c r="R56" s="438" t="s">
        <v>6032</v>
      </c>
      <c r="S56" s="862">
        <f>IF(COUNTIF(Psíquicos!$C$25:$E$36,E56)=0,0,1)</f>
        <v>0</v>
      </c>
      <c r="U56" s="2281"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2">
        <f>IF(COUNTIF(Psíquicos!$AD$17:$AH$62,U56),VALUE(INDEX('Tablas psiquica'!$X56:$AG56,MATCH('Tablas psiquica'!$W56,'Tablas psiquica'!$X$6:$AG$6,0))),0)</f>
        <v>0</v>
      </c>
      <c r="AJ56" s="2647" t="str">
        <f>IFERROR(IF(VLOOKUP(AK56,$D$7:$G$145,4,FALSE)&lt;&gt;"No",MAX(AJ$5:AJ55)+1,0),"")</f>
        <v/>
      </c>
      <c r="AK56" s="2648" t="str">
        <f t="shared" si="5"/>
        <v/>
      </c>
      <c r="AL56" s="2651" t="str">
        <f>IFERROR(VLOOKUP(Tablas!$A50,$AJ$7:$AK$145,2,FALSE),"")</f>
        <v/>
      </c>
    </row>
    <row r="57" spans="1:38" ht="12.75" customHeight="1" x14ac:dyDescent="0.2">
      <c r="A57" s="865">
        <v>57</v>
      </c>
      <c r="B57" s="860">
        <f>IF(OR(S57=0),0,SUM($S$6:S57))</f>
        <v>0</v>
      </c>
      <c r="C57" s="422"/>
      <c r="D57" s="287" t="s">
        <v>169</v>
      </c>
      <c r="E57" s="414" t="s">
        <v>105</v>
      </c>
      <c r="F57" s="415">
        <v>2</v>
      </c>
      <c r="G57" s="415" t="s">
        <v>2656</v>
      </c>
      <c r="H57" s="416" t="s">
        <v>1312</v>
      </c>
      <c r="I57" s="414" t="s">
        <v>5878</v>
      </c>
      <c r="J57" s="414" t="s">
        <v>5877</v>
      </c>
      <c r="K57" s="414" t="s">
        <v>5841</v>
      </c>
      <c r="L57" s="414" t="s">
        <v>5842</v>
      </c>
      <c r="M57" s="414" t="s">
        <v>6033</v>
      </c>
      <c r="N57" s="414" t="s">
        <v>6034</v>
      </c>
      <c r="O57" s="414" t="s">
        <v>6035</v>
      </c>
      <c r="P57" s="414" t="s">
        <v>6036</v>
      </c>
      <c r="Q57" s="414" t="s">
        <v>6037</v>
      </c>
      <c r="R57" s="438" t="s">
        <v>6038</v>
      </c>
      <c r="S57" s="862">
        <f>IF(COUNTIF(Psíquicos!$C$25:$E$36,E57)=0,0,1)</f>
        <v>0</v>
      </c>
      <c r="U57" s="2281"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2">
        <f>IF(COUNTIF(Psíquicos!$AD$17:$AH$62,U57),VALUE(INDEX('Tablas psiquica'!$X57:$AG57,MATCH('Tablas psiquica'!$W57,'Tablas psiquica'!$X$6:$AG$6,0))),0)</f>
        <v>0</v>
      </c>
      <c r="AJ57" s="2647" t="str">
        <f>IFERROR(IF(VLOOKUP(AK57,$D$7:$G$145,4,FALSE)&lt;&gt;"No",MAX(AJ$5:AJ56)+1,0),"")</f>
        <v/>
      </c>
      <c r="AK57" s="2648" t="str">
        <f t="shared" si="5"/>
        <v/>
      </c>
      <c r="AL57" s="2651" t="str">
        <f>IFERROR(VLOOKUP(Tablas!$A51,$AJ$7:$AK$145,2,FALSE),"")</f>
        <v/>
      </c>
    </row>
    <row r="58" spans="1:38" ht="12.75" customHeight="1" x14ac:dyDescent="0.2">
      <c r="A58" s="865">
        <v>58</v>
      </c>
      <c r="B58" s="860">
        <f>IF(OR(S58=0),0,SUM($S$6:S58))</f>
        <v>0</v>
      </c>
      <c r="C58" s="422"/>
      <c r="D58" s="287" t="s">
        <v>170</v>
      </c>
      <c r="E58" s="414" t="s">
        <v>105</v>
      </c>
      <c r="F58" s="415">
        <v>2</v>
      </c>
      <c r="G58" s="415" t="s">
        <v>2656</v>
      </c>
      <c r="H58" s="416" t="s">
        <v>1313</v>
      </c>
      <c r="I58" s="414" t="s">
        <v>5878</v>
      </c>
      <c r="J58" s="414" t="s">
        <v>5877</v>
      </c>
      <c r="K58" s="414" t="s">
        <v>5841</v>
      </c>
      <c r="L58" s="414" t="s">
        <v>6039</v>
      </c>
      <c r="M58" s="414" t="s">
        <v>6040</v>
      </c>
      <c r="N58" s="414" t="s">
        <v>6041</v>
      </c>
      <c r="O58" s="414" t="s">
        <v>6042</v>
      </c>
      <c r="P58" s="414" t="s">
        <v>6043</v>
      </c>
      <c r="Q58" s="414" t="s">
        <v>6044</v>
      </c>
      <c r="R58" s="438" t="s">
        <v>6045</v>
      </c>
      <c r="S58" s="862">
        <f>IF(COUNTIF(Psíquicos!$C$25:$E$36,E58)=0,0,1)</f>
        <v>0</v>
      </c>
      <c r="U58" s="2281"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2">
        <f>IF(COUNTIF(Psíquicos!$AD$17:$AH$62,U58),VALUE(INDEX('Tablas psiquica'!$X58:$AG58,MATCH('Tablas psiquica'!$W58,'Tablas psiquica'!$X$6:$AG$6,0))),0)</f>
        <v>0</v>
      </c>
      <c r="AJ58" s="2647" t="str">
        <f>IFERROR(IF(VLOOKUP(AK58,$D$7:$G$145,4,FALSE)&lt;&gt;"No",MAX(AJ$5:AJ57)+1,0),"")</f>
        <v/>
      </c>
      <c r="AK58" s="2648" t="str">
        <f t="shared" si="5"/>
        <v/>
      </c>
      <c r="AL58" s="2651" t="str">
        <f>IFERROR(VLOOKUP(Tablas!$A52,$AJ$7:$AK$145,2,FALSE),"")</f>
        <v/>
      </c>
    </row>
    <row r="59" spans="1:38" ht="12.75" customHeight="1" x14ac:dyDescent="0.2">
      <c r="A59" s="865">
        <v>59</v>
      </c>
      <c r="B59" s="860">
        <f>IF(OR(S59=0),0,SUM($S$6:S59))</f>
        <v>0</v>
      </c>
      <c r="C59" s="422"/>
      <c r="D59" s="287" t="s">
        <v>171</v>
      </c>
      <c r="E59" s="414" t="s">
        <v>105</v>
      </c>
      <c r="F59" s="415">
        <v>2</v>
      </c>
      <c r="G59" s="415" t="s">
        <v>2656</v>
      </c>
      <c r="H59" s="416" t="s">
        <v>1312</v>
      </c>
      <c r="I59" s="414" t="s">
        <v>5892</v>
      </c>
      <c r="J59" s="414" t="s">
        <v>5879</v>
      </c>
      <c r="K59" s="414" t="s">
        <v>5878</v>
      </c>
      <c r="L59" s="414" t="s">
        <v>5877</v>
      </c>
      <c r="M59" s="414" t="s">
        <v>5841</v>
      </c>
      <c r="N59" s="414" t="s">
        <v>5945</v>
      </c>
      <c r="O59" s="414" t="s">
        <v>5946</v>
      </c>
      <c r="P59" s="414" t="s">
        <v>5947</v>
      </c>
      <c r="Q59" s="414" t="s">
        <v>5948</v>
      </c>
      <c r="R59" s="438" t="s">
        <v>5949</v>
      </c>
      <c r="S59" s="862">
        <f>IF(COUNTIF(Psíquicos!$C$25:$E$36,E59)=0,0,1)</f>
        <v>0</v>
      </c>
      <c r="U59" s="2281"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2">
        <f>IF(COUNTIF(Psíquicos!$AD$17:$AH$62,U59),VALUE(INDEX('Tablas psiquica'!$X59:$AG59,MATCH('Tablas psiquica'!$W59,'Tablas psiquica'!$X$6:$AG$6,0))),0)</f>
        <v>0</v>
      </c>
      <c r="AJ59" s="2647" t="str">
        <f>IFERROR(IF(VLOOKUP(AK59,$D$7:$G$145,4,FALSE)&lt;&gt;"No",MAX(AJ$5:AJ58)+1,0),"")</f>
        <v/>
      </c>
      <c r="AK59" s="2648" t="str">
        <f t="shared" si="5"/>
        <v/>
      </c>
      <c r="AL59" s="2651" t="str">
        <f>IFERROR(VLOOKUP(Tablas!$A53,$AJ$7:$AK$145,2,FALSE),"")</f>
        <v/>
      </c>
    </row>
    <row r="60" spans="1:38" ht="12.75" customHeight="1" x14ac:dyDescent="0.2">
      <c r="A60" s="865">
        <v>60</v>
      </c>
      <c r="B60" s="860">
        <f>IF(OR(S60=0),0,SUM($S$6:S60))</f>
        <v>0</v>
      </c>
      <c r="C60" s="422"/>
      <c r="D60" s="287" t="s">
        <v>172</v>
      </c>
      <c r="E60" s="414" t="s">
        <v>105</v>
      </c>
      <c r="F60" s="415">
        <v>2</v>
      </c>
      <c r="G60" s="415" t="s">
        <v>2656</v>
      </c>
      <c r="H60" s="416" t="s">
        <v>1313</v>
      </c>
      <c r="I60" s="414" t="s">
        <v>5877</v>
      </c>
      <c r="J60" s="414" t="s">
        <v>5841</v>
      </c>
      <c r="K60" s="414" t="s">
        <v>5842</v>
      </c>
      <c r="L60" s="414" t="s">
        <v>3622</v>
      </c>
      <c r="M60" s="414" t="s">
        <v>3623</v>
      </c>
      <c r="N60" s="414" t="s">
        <v>4342</v>
      </c>
      <c r="O60" s="414" t="s">
        <v>3624</v>
      </c>
      <c r="P60" s="414" t="s">
        <v>6002</v>
      </c>
      <c r="Q60" s="414" t="s">
        <v>6003</v>
      </c>
      <c r="R60" s="438" t="s">
        <v>6004</v>
      </c>
      <c r="S60" s="862">
        <f>IF(COUNTIF(Psíquicos!$C$25:$E$36,E60)=0,0,1)</f>
        <v>0</v>
      </c>
      <c r="U60" s="2281"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2">
        <f>IF(COUNTIF(Psíquicos!$AD$17:$AH$62,U60),VALUE(INDEX('Tablas psiquica'!$X60:$AG60,MATCH('Tablas psiquica'!$W60,'Tablas psiquica'!$X$6:$AG$6,0))),0)</f>
        <v>0</v>
      </c>
      <c r="AJ60" s="2647" t="str">
        <f>IFERROR(IF(VLOOKUP(AK60,$D$7:$G$145,4,FALSE)&lt;&gt;"No",MAX(AJ$5:AJ59)+1,0),"")</f>
        <v/>
      </c>
      <c r="AK60" s="2648" t="str">
        <f t="shared" si="5"/>
        <v/>
      </c>
      <c r="AL60" s="2651" t="str">
        <f>IFERROR(VLOOKUP(Tablas!$A54,$AJ$7:$AK$145,2,FALSE),"")</f>
        <v/>
      </c>
    </row>
    <row r="61" spans="1:38" ht="12.75" customHeight="1" x14ac:dyDescent="0.2">
      <c r="A61" s="865">
        <v>61</v>
      </c>
      <c r="B61" s="860">
        <f>IF(OR(S61=0),0,SUM($S$6:S61))</f>
        <v>0</v>
      </c>
      <c r="C61" s="422"/>
      <c r="D61" s="287" t="s">
        <v>173</v>
      </c>
      <c r="E61" s="414" t="s">
        <v>105</v>
      </c>
      <c r="F61" s="415">
        <v>3</v>
      </c>
      <c r="G61" s="415" t="s">
        <v>2656</v>
      </c>
      <c r="H61" s="416" t="s">
        <v>1312</v>
      </c>
      <c r="I61" s="414" t="s">
        <v>5893</v>
      </c>
      <c r="J61" s="414" t="s">
        <v>5892</v>
      </c>
      <c r="K61" s="414" t="s">
        <v>5879</v>
      </c>
      <c r="L61" s="414" t="s">
        <v>5878</v>
      </c>
      <c r="M61" s="414" t="s">
        <v>5877</v>
      </c>
      <c r="N61" s="414" t="s">
        <v>6046</v>
      </c>
      <c r="O61" s="414" t="s">
        <v>6047</v>
      </c>
      <c r="P61" s="414" t="s">
        <v>6048</v>
      </c>
      <c r="Q61" s="414" t="s">
        <v>6049</v>
      </c>
      <c r="R61" s="438" t="s">
        <v>6050</v>
      </c>
      <c r="S61" s="862">
        <f>IF(COUNTIF(Psíquicos!$C$25:$E$36,E61)=0,0,1)</f>
        <v>0</v>
      </c>
      <c r="U61" s="2281"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2">
        <f>IF(COUNTIF(Psíquicos!$AD$17:$AH$62,U61),VALUE(INDEX('Tablas psiquica'!$X61:$AG61,MATCH('Tablas psiquica'!$W61,'Tablas psiquica'!$X$6:$AG$6,0))),0)</f>
        <v>0</v>
      </c>
      <c r="AJ61" s="2647" t="str">
        <f>IFERROR(IF(VLOOKUP(AK61,$D$7:$G$145,4,FALSE)&lt;&gt;"No",MAX(AJ$5:AJ60)+1,0),"")</f>
        <v/>
      </c>
      <c r="AK61" s="2648" t="str">
        <f t="shared" si="5"/>
        <v/>
      </c>
      <c r="AL61" s="2651" t="str">
        <f>IFERROR(VLOOKUP(Tablas!$A55,$AJ$7:$AK$145,2,FALSE),"")</f>
        <v/>
      </c>
    </row>
    <row r="62" spans="1:38" ht="12.75" customHeight="1" x14ac:dyDescent="0.2">
      <c r="A62" s="865">
        <v>62</v>
      </c>
      <c r="B62" s="860">
        <f>IF(OR(S62=0),0,SUM($S$6:S62))</f>
        <v>0</v>
      </c>
      <c r="C62" s="422"/>
      <c r="D62" s="287" t="s">
        <v>174</v>
      </c>
      <c r="E62" s="414" t="s">
        <v>105</v>
      </c>
      <c r="F62" s="415">
        <v>3</v>
      </c>
      <c r="G62" s="415" t="s">
        <v>2656</v>
      </c>
      <c r="H62" s="416" t="s">
        <v>1312</v>
      </c>
      <c r="I62" s="414" t="s">
        <v>5893</v>
      </c>
      <c r="J62" s="414" t="s">
        <v>5892</v>
      </c>
      <c r="K62" s="414" t="s">
        <v>5879</v>
      </c>
      <c r="L62" s="414" t="s">
        <v>5878</v>
      </c>
      <c r="M62" s="414" t="s">
        <v>5877</v>
      </c>
      <c r="N62" s="414" t="s">
        <v>6051</v>
      </c>
      <c r="O62" s="414" t="s">
        <v>6052</v>
      </c>
      <c r="P62" s="414" t="s">
        <v>6053</v>
      </c>
      <c r="Q62" s="414" t="s">
        <v>6054</v>
      </c>
      <c r="R62" s="438" t="s">
        <v>6055</v>
      </c>
      <c r="S62" s="862">
        <f>IF(COUNTIF(Psíquicos!$C$25:$E$36,E62)=0,0,1)</f>
        <v>0</v>
      </c>
      <c r="U62" s="2281"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2">
        <f>IF(COUNTIF(Psíquicos!$AD$17:$AH$62,U62),VALUE(INDEX('Tablas psiquica'!$X62:$AG62,MATCH('Tablas psiquica'!$W62,'Tablas psiquica'!$X$6:$AG$6,0))),0)</f>
        <v>0</v>
      </c>
      <c r="AJ62" s="2647" t="str">
        <f>IFERROR(IF(VLOOKUP(AK62,$D$7:$G$145,4,FALSE)&lt;&gt;"No",MAX(AJ$5:AJ61)+1,0),"")</f>
        <v/>
      </c>
      <c r="AK62" s="2648" t="str">
        <f t="shared" si="5"/>
        <v/>
      </c>
      <c r="AL62" s="2651" t="str">
        <f>IFERROR(VLOOKUP(Tablas!$A56,$AJ$7:$AK$145,2,FALSE),"")</f>
        <v/>
      </c>
    </row>
    <row r="63" spans="1:38" ht="12.75" customHeight="1" x14ac:dyDescent="0.2">
      <c r="A63" s="865">
        <v>63</v>
      </c>
      <c r="B63" s="860">
        <f>IF(OR(S63=0),0,SUM($S$6:S63))</f>
        <v>0</v>
      </c>
      <c r="C63" s="422"/>
      <c r="D63" s="287" t="s">
        <v>175</v>
      </c>
      <c r="E63" s="414" t="s">
        <v>105</v>
      </c>
      <c r="F63" s="415">
        <v>3</v>
      </c>
      <c r="G63" s="415" t="s">
        <v>2656</v>
      </c>
      <c r="H63" s="416" t="s">
        <v>1312</v>
      </c>
      <c r="I63" s="414" t="s">
        <v>5967</v>
      </c>
      <c r="J63" s="414" t="s">
        <v>5893</v>
      </c>
      <c r="K63" s="414" t="s">
        <v>5892</v>
      </c>
      <c r="L63" s="414" t="s">
        <v>5879</v>
      </c>
      <c r="M63" s="414" t="s">
        <v>5878</v>
      </c>
      <c r="N63" s="414" t="s">
        <v>5877</v>
      </c>
      <c r="O63" s="414" t="s">
        <v>6002</v>
      </c>
      <c r="P63" s="414" t="s">
        <v>6003</v>
      </c>
      <c r="Q63" s="414" t="s">
        <v>6004</v>
      </c>
      <c r="R63" s="438" t="s">
        <v>6025</v>
      </c>
      <c r="S63" s="862">
        <f>IF(COUNTIF(Psíquicos!$C$25:$E$36,E63)=0,0,1)</f>
        <v>0</v>
      </c>
      <c r="U63" s="2281"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2">
        <f>IF(COUNTIF(Psíquicos!$AD$17:$AH$62,U63),VALUE(INDEX('Tablas psiquica'!$X63:$AG63,MATCH('Tablas psiquica'!$W63,'Tablas psiquica'!$X$6:$AG$6,0))),0)</f>
        <v>0</v>
      </c>
      <c r="AJ63" s="2647" t="str">
        <f>IFERROR(IF(VLOOKUP(AK63,$D$7:$G$145,4,FALSE)&lt;&gt;"No",MAX(AJ$5:AJ62)+1,0),"")</f>
        <v/>
      </c>
      <c r="AK63" s="2648" t="str">
        <f t="shared" si="5"/>
        <v/>
      </c>
      <c r="AL63" s="2651"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1" t="s">
        <v>188</v>
      </c>
      <c r="V64" s="999"/>
      <c r="W64" s="414"/>
      <c r="X64" s="999"/>
      <c r="Y64" s="999"/>
      <c r="Z64" s="999"/>
      <c r="AA64" s="999"/>
      <c r="AB64" s="999"/>
      <c r="AC64" s="999"/>
      <c r="AD64" s="999"/>
      <c r="AE64" s="999"/>
      <c r="AF64" s="999"/>
      <c r="AG64" s="999"/>
      <c r="AH64" s="2282" t="e">
        <f>IF(COUNTIF(Psíquicos!$AD$17:$AH$62,U64),VALUE(INDEX('Tablas psiquica'!$X64:$AG64,MATCH('Tablas psiquica'!$W64,'Tablas psiquica'!$X$6:$AG$6,0))),0)</f>
        <v>#N/A</v>
      </c>
      <c r="AJ64" s="2647" t="str">
        <f>IFERROR(IF(VLOOKUP(AK64,$D$7:$G$145,4,FALSE)&lt;&gt;"No",MAX(AJ$5:AJ63)+1,0),"")</f>
        <v/>
      </c>
      <c r="AK64" s="2648" t="str">
        <f t="shared" si="5"/>
        <v/>
      </c>
      <c r="AL64" s="2651" t="str">
        <f>IFERROR(VLOOKUP(Tablas!$A58,$AJ$7:$AK$145,2,FALSE),"")</f>
        <v/>
      </c>
    </row>
    <row r="65" spans="1:38" ht="12.75" customHeight="1" x14ac:dyDescent="0.2">
      <c r="A65" s="865">
        <v>65</v>
      </c>
      <c r="B65" s="860">
        <f>IF(OR(S65=0),0,SUM($S$6:S65))</f>
        <v>0</v>
      </c>
      <c r="C65" s="422"/>
      <c r="D65" s="287" t="s">
        <v>177</v>
      </c>
      <c r="E65" s="414" t="s">
        <v>107</v>
      </c>
      <c r="F65" s="415">
        <v>1</v>
      </c>
      <c r="G65" s="415" t="s">
        <v>2656</v>
      </c>
      <c r="H65" s="416" t="s">
        <v>1312</v>
      </c>
      <c r="I65" s="414" t="s">
        <v>5841</v>
      </c>
      <c r="J65" s="414" t="s">
        <v>6056</v>
      </c>
      <c r="K65" s="414" t="s">
        <v>6057</v>
      </c>
      <c r="L65" s="414" t="s">
        <v>6058</v>
      </c>
      <c r="M65" s="414" t="s">
        <v>6059</v>
      </c>
      <c r="N65" s="414" t="s">
        <v>6060</v>
      </c>
      <c r="O65" s="414" t="s">
        <v>6061</v>
      </c>
      <c r="P65" s="414" t="s">
        <v>6062</v>
      </c>
      <c r="Q65" s="414" t="s">
        <v>6063</v>
      </c>
      <c r="R65" s="438" t="s">
        <v>6064</v>
      </c>
      <c r="S65" s="862">
        <f>IF(COUNTIF(Psíquicos!$C$25:$E$36,E65)=0,0,1)</f>
        <v>0</v>
      </c>
      <c r="U65" s="2281"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2">
        <f>IF(COUNTIF(Psíquicos!$AD$17:$AH$62,U65),VALUE(INDEX('Tablas psiquica'!$X65:$AG65,MATCH('Tablas psiquica'!$W65,'Tablas psiquica'!$X$6:$AG$6,0))),0)</f>
        <v>0</v>
      </c>
      <c r="AJ65" s="2647" t="str">
        <f>IFERROR(IF(VLOOKUP(AK65,$D$7:$G$145,4,FALSE)&lt;&gt;"No",MAX(AJ$5:AJ64)+1,0),"")</f>
        <v/>
      </c>
      <c r="AK65" s="2648" t="str">
        <f t="shared" si="5"/>
        <v/>
      </c>
      <c r="AL65" s="2651" t="str">
        <f>IFERROR(VLOOKUP(Tablas!$A59,$AJ$7:$AK$145,2,FALSE),"")</f>
        <v/>
      </c>
    </row>
    <row r="66" spans="1:38" ht="12.75" customHeight="1" x14ac:dyDescent="0.2">
      <c r="A66" s="865">
        <v>66</v>
      </c>
      <c r="B66" s="860">
        <f>IF(OR(S66=0),0,SUM($S$6:S66))</f>
        <v>0</v>
      </c>
      <c r="C66" s="422"/>
      <c r="D66" s="287" t="s">
        <v>178</v>
      </c>
      <c r="E66" s="414" t="s">
        <v>107</v>
      </c>
      <c r="F66" s="415">
        <v>1</v>
      </c>
      <c r="G66" s="415" t="s">
        <v>2656</v>
      </c>
      <c r="H66" s="416" t="s">
        <v>1312</v>
      </c>
      <c r="I66" s="414" t="s">
        <v>5841</v>
      </c>
      <c r="J66" s="414" t="s">
        <v>6065</v>
      </c>
      <c r="K66" s="414" t="s">
        <v>6066</v>
      </c>
      <c r="L66" s="414" t="s">
        <v>6067</v>
      </c>
      <c r="M66" s="414" t="s">
        <v>6068</v>
      </c>
      <c r="N66" s="414" t="s">
        <v>6069</v>
      </c>
      <c r="O66" s="414" t="s">
        <v>6070</v>
      </c>
      <c r="P66" s="414" t="s">
        <v>6071</v>
      </c>
      <c r="Q66" s="414" t="s">
        <v>6072</v>
      </c>
      <c r="R66" s="438" t="s">
        <v>6073</v>
      </c>
      <c r="S66" s="862">
        <f>IF(COUNTIF(Psíquicos!$C$25:$E$36,E66)=0,0,1)</f>
        <v>0</v>
      </c>
      <c r="U66" s="2281"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2">
        <f>IF(COUNTIF(Psíquicos!$AD$17:$AH$62,U66),VALUE(INDEX('Tablas psiquica'!$X66:$AG66,MATCH('Tablas psiquica'!$W66,'Tablas psiquica'!$X$6:$AG$6,0))),0)</f>
        <v>0</v>
      </c>
      <c r="AJ66" s="2647" t="str">
        <f>IFERROR(IF(VLOOKUP(AK66,$D$7:$G$145,4,FALSE)&lt;&gt;"No",MAX(AJ$5:AJ65)+1,0),"")</f>
        <v/>
      </c>
      <c r="AK66" s="2648" t="str">
        <f t="shared" si="5"/>
        <v/>
      </c>
      <c r="AL66" s="2651" t="str">
        <f>IFERROR(VLOOKUP(Tablas!$A60,$AJ$7:$AK$145,2,FALSE),"")</f>
        <v/>
      </c>
    </row>
    <row r="67" spans="1:38" ht="12.75" customHeight="1" x14ac:dyDescent="0.2">
      <c r="A67" s="865">
        <v>67</v>
      </c>
      <c r="B67" s="860">
        <f>IF(OR(S67=0),0,SUM($S$6:S67))</f>
        <v>0</v>
      </c>
      <c r="C67" s="422"/>
      <c r="D67" s="287" t="s">
        <v>179</v>
      </c>
      <c r="E67" s="414" t="s">
        <v>107</v>
      </c>
      <c r="F67" s="415">
        <v>1</v>
      </c>
      <c r="G67" s="415" t="s">
        <v>2656</v>
      </c>
      <c r="H67" s="416" t="s">
        <v>1312</v>
      </c>
      <c r="I67" s="414" t="s">
        <v>5877</v>
      </c>
      <c r="J67" s="414" t="s">
        <v>5841</v>
      </c>
      <c r="K67" s="414" t="s">
        <v>6074</v>
      </c>
      <c r="L67" s="414" t="s">
        <v>6075</v>
      </c>
      <c r="M67" s="414" t="s">
        <v>6076</v>
      </c>
      <c r="N67" s="414" t="s">
        <v>6077</v>
      </c>
      <c r="O67" s="414" t="s">
        <v>6078</v>
      </c>
      <c r="P67" s="414" t="s">
        <v>6079</v>
      </c>
      <c r="Q67" s="414" t="s">
        <v>6080</v>
      </c>
      <c r="R67" s="438" t="s">
        <v>6081</v>
      </c>
      <c r="S67" s="862">
        <f>IF(COUNTIF(Psíquicos!$C$25:$E$36,E67)=0,0,1)</f>
        <v>0</v>
      </c>
      <c r="U67" s="2281"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2">
        <f>IF(COUNTIF(Psíquicos!$AD$17:$AH$62,U67),VALUE(INDEX('Tablas psiquica'!$X67:$AG67,MATCH('Tablas psiquica'!$W67,'Tablas psiquica'!$X$6:$AG$6,0))),0)</f>
        <v>0</v>
      </c>
      <c r="AJ67" s="2647" t="str">
        <f>IFERROR(IF(VLOOKUP(AK67,$D$7:$G$145,4,FALSE)&lt;&gt;"No",MAX(AJ$5:AJ66)+1,0),"")</f>
        <v/>
      </c>
      <c r="AK67" s="2648" t="str">
        <f t="shared" si="5"/>
        <v/>
      </c>
      <c r="AL67" s="2651" t="str">
        <f>IFERROR(VLOOKUP(Tablas!$A61,$AJ$7:$AK$145,2,FALSE),"")</f>
        <v/>
      </c>
    </row>
    <row r="68" spans="1:38" ht="12.75" customHeight="1" x14ac:dyDescent="0.2">
      <c r="A68" s="865">
        <v>68</v>
      </c>
      <c r="B68" s="860">
        <f>IF(OR(S68=0),0,SUM($S$6:S68))</f>
        <v>0</v>
      </c>
      <c r="C68" s="422"/>
      <c r="D68" s="287" t="s">
        <v>1691</v>
      </c>
      <c r="E68" s="414" t="s">
        <v>107</v>
      </c>
      <c r="F68" s="415">
        <v>1</v>
      </c>
      <c r="G68" s="415" t="s">
        <v>2656</v>
      </c>
      <c r="H68" s="416" t="s">
        <v>1312</v>
      </c>
      <c r="I68" s="414" t="s">
        <v>5877</v>
      </c>
      <c r="J68" s="414" t="s">
        <v>5841</v>
      </c>
      <c r="K68" s="414" t="s">
        <v>1691</v>
      </c>
      <c r="L68" s="414" t="s">
        <v>7444</v>
      </c>
      <c r="M68" s="414" t="s">
        <v>6082</v>
      </c>
      <c r="N68" s="414" t="s">
        <v>6083</v>
      </c>
      <c r="O68" s="414" t="s">
        <v>6084</v>
      </c>
      <c r="P68" s="414" t="s">
        <v>6085</v>
      </c>
      <c r="Q68" s="414" t="s">
        <v>6086</v>
      </c>
      <c r="R68" s="438" t="s">
        <v>6087</v>
      </c>
      <c r="S68" s="862">
        <f>IF(COUNTIF(Psíquicos!$C$25:$E$36,E68)=0,0,1)</f>
        <v>0</v>
      </c>
      <c r="U68" s="2281"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2">
        <f>IF(COUNTIF(Psíquicos!$AD$17:$AH$62,U68),VALUE(INDEX('Tablas psiquica'!$X68:$AG68,MATCH('Tablas psiquica'!$W68,'Tablas psiquica'!$X$6:$AG$6,0))),0)</f>
        <v>0</v>
      </c>
      <c r="AJ68" s="2647" t="str">
        <f>IFERROR(IF(VLOOKUP(AK68,$D$7:$G$145,4,FALSE)&lt;&gt;"No",MAX(AJ$5:AJ67)+1,0),"")</f>
        <v/>
      </c>
      <c r="AK68" s="2648" t="str">
        <f t="shared" si="5"/>
        <v/>
      </c>
      <c r="AL68" s="2651" t="str">
        <f>IFERROR(VLOOKUP(Tablas!$A62,$AJ$7:$AK$145,2,FALSE),"")</f>
        <v/>
      </c>
    </row>
    <row r="69" spans="1:38" ht="12.75" customHeight="1" x14ac:dyDescent="0.2">
      <c r="A69" s="865">
        <v>69</v>
      </c>
      <c r="B69" s="860">
        <f>IF(OR(S69=0),0,SUM($S$6:S69))</f>
        <v>0</v>
      </c>
      <c r="C69" s="422"/>
      <c r="D69" s="287" t="s">
        <v>180</v>
      </c>
      <c r="E69" s="414" t="s">
        <v>107</v>
      </c>
      <c r="F69" s="415">
        <v>1</v>
      </c>
      <c r="G69" s="415" t="s">
        <v>2656</v>
      </c>
      <c r="H69" s="416" t="s">
        <v>1312</v>
      </c>
      <c r="I69" s="414" t="s">
        <v>5877</v>
      </c>
      <c r="J69" s="414" t="s">
        <v>5841</v>
      </c>
      <c r="K69" s="414" t="s">
        <v>6074</v>
      </c>
      <c r="L69" s="414" t="s">
        <v>6088</v>
      </c>
      <c r="M69" s="414" t="s">
        <v>6089</v>
      </c>
      <c r="N69" s="414" t="s">
        <v>6090</v>
      </c>
      <c r="O69" s="414" t="s">
        <v>6091</v>
      </c>
      <c r="P69" s="414" t="s">
        <v>6092</v>
      </c>
      <c r="Q69" s="414" t="s">
        <v>6093</v>
      </c>
      <c r="R69" s="438" t="s">
        <v>6094</v>
      </c>
      <c r="S69" s="862">
        <f>IF(COUNTIF(Psíquicos!$C$25:$E$36,E69)=0,0,1)</f>
        <v>0</v>
      </c>
      <c r="U69" s="2281"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2">
        <f>IF(COUNTIF(Psíquicos!$AD$17:$AH$62,U69),VALUE(INDEX('Tablas psiquica'!$X69:$AG69,MATCH('Tablas psiquica'!$W69,'Tablas psiquica'!$X$6:$AG$6,0))),0)</f>
        <v>0</v>
      </c>
      <c r="AJ69" s="2647" t="str">
        <f>IFERROR(IF(VLOOKUP(AK69,$D$7:$G$145,4,FALSE)&lt;&gt;"No",MAX(AJ$5:AJ68)+1,0),"")</f>
        <v/>
      </c>
      <c r="AK69" s="2648" t="str">
        <f t="shared" si="5"/>
        <v/>
      </c>
      <c r="AL69" s="2651" t="str">
        <f>IFERROR(VLOOKUP(Tablas!$A63,$AJ$7:$AK$145,2,FALSE),"")</f>
        <v/>
      </c>
    </row>
    <row r="70" spans="1:38" ht="12.75" customHeight="1" x14ac:dyDescent="0.2">
      <c r="A70" s="865">
        <v>70</v>
      </c>
      <c r="B70" s="860">
        <f>IF(OR(S70=0),0,SUM($S$6:S70))</f>
        <v>0</v>
      </c>
      <c r="C70" s="422"/>
      <c r="D70" s="287" t="s">
        <v>181</v>
      </c>
      <c r="E70" s="414" t="s">
        <v>107</v>
      </c>
      <c r="F70" s="415">
        <v>1</v>
      </c>
      <c r="G70" s="415" t="s">
        <v>2656</v>
      </c>
      <c r="H70" s="416" t="s">
        <v>1312</v>
      </c>
      <c r="I70" s="414" t="s">
        <v>5877</v>
      </c>
      <c r="J70" s="414" t="s">
        <v>5841</v>
      </c>
      <c r="K70" s="414" t="s">
        <v>6095</v>
      </c>
      <c r="L70" s="414" t="s">
        <v>6096</v>
      </c>
      <c r="M70" s="414" t="s">
        <v>6097</v>
      </c>
      <c r="N70" s="414" t="s">
        <v>6098</v>
      </c>
      <c r="O70" s="414" t="s">
        <v>6099</v>
      </c>
      <c r="P70" s="414" t="s">
        <v>6100</v>
      </c>
      <c r="Q70" s="414" t="s">
        <v>6101</v>
      </c>
      <c r="R70" s="438" t="s">
        <v>6102</v>
      </c>
      <c r="S70" s="862">
        <f>IF(COUNTIF(Psíquicos!$C$25:$E$36,E70)=0,0,1)</f>
        <v>0</v>
      </c>
      <c r="U70" s="2281"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2">
        <f>IF(COUNTIF(Psíquicos!$AD$17:$AH$62,U70),VALUE(INDEX('Tablas psiquica'!$X70:$AG70,MATCH('Tablas psiquica'!$W70,'Tablas psiquica'!$X$6:$AG$6,0))),0)</f>
        <v>0</v>
      </c>
      <c r="AJ70" s="2647" t="str">
        <f>IFERROR(IF(VLOOKUP(AK70,$D$7:$G$145,4,FALSE)&lt;&gt;"No",MAX(AJ$5:AJ69)+1,0),"")</f>
        <v/>
      </c>
      <c r="AK70" s="2648" t="str">
        <f t="shared" si="5"/>
        <v/>
      </c>
      <c r="AL70" s="2651" t="str">
        <f>IFERROR(VLOOKUP(Tablas!$A64,$AJ$7:$AK$145,2,FALSE),"")</f>
        <v/>
      </c>
    </row>
    <row r="71" spans="1:38" ht="12.75" customHeight="1" x14ac:dyDescent="0.2">
      <c r="A71" s="865">
        <v>71</v>
      </c>
      <c r="B71" s="860">
        <f>IF(OR(S71=0),0,SUM($S$6:S71))</f>
        <v>0</v>
      </c>
      <c r="C71" s="422"/>
      <c r="D71" s="287" t="s">
        <v>182</v>
      </c>
      <c r="E71" s="414" t="s">
        <v>107</v>
      </c>
      <c r="F71" s="415">
        <v>2</v>
      </c>
      <c r="G71" s="415" t="s">
        <v>2656</v>
      </c>
      <c r="H71" s="416" t="s">
        <v>1312</v>
      </c>
      <c r="I71" s="414" t="s">
        <v>5879</v>
      </c>
      <c r="J71" s="414" t="s">
        <v>5877</v>
      </c>
      <c r="K71" s="414" t="s">
        <v>5841</v>
      </c>
      <c r="L71" s="414" t="s">
        <v>6103</v>
      </c>
      <c r="M71" s="414" t="s">
        <v>6104</v>
      </c>
      <c r="N71" s="414" t="s">
        <v>6105</v>
      </c>
      <c r="O71" s="414" t="s">
        <v>6106</v>
      </c>
      <c r="P71" s="414" t="s">
        <v>6107</v>
      </c>
      <c r="Q71" s="414" t="s">
        <v>6108</v>
      </c>
      <c r="R71" s="438" t="s">
        <v>6109</v>
      </c>
      <c r="S71" s="862">
        <f>IF(COUNTIF(Psíquicos!$C$25:$E$36,E71)=0,0,1)</f>
        <v>0</v>
      </c>
      <c r="U71" s="2281"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2">
        <f>IF(COUNTIF(Psíquicos!$AD$17:$AH$62,U71),VALUE(INDEX('Tablas psiquica'!$X71:$AG71,MATCH('Tablas psiquica'!$W71,'Tablas psiquica'!$X$6:$AG$6,0))),0)</f>
        <v>0</v>
      </c>
      <c r="AJ71" s="2647" t="str">
        <f>IFERROR(IF(VLOOKUP(AK71,$D$7:$G$145,4,FALSE)&lt;&gt;"No",MAX(AJ$5:AJ70)+1,0),"")</f>
        <v/>
      </c>
      <c r="AK71" s="2648" t="str">
        <f t="shared" ref="AK71:AK102" si="13">IF(ISNA(VLOOKUP(A65,$B$7:$D$145,3,FALSE)),"",VLOOKUP(A65,$B$7:$D$145,3,FALSE))</f>
        <v/>
      </c>
      <c r="AL71" s="2651" t="str">
        <f>IFERROR(VLOOKUP(Tablas!$A65,$AJ$7:$AK$145,2,FALSE),"")</f>
        <v/>
      </c>
    </row>
    <row r="72" spans="1:38" ht="12.75" customHeight="1" x14ac:dyDescent="0.2">
      <c r="A72" s="865">
        <v>72</v>
      </c>
      <c r="B72" s="860">
        <f>IF(OR(S72=0),0,SUM($S$6:S72))</f>
        <v>0</v>
      </c>
      <c r="C72" s="422"/>
      <c r="D72" s="287" t="s">
        <v>183</v>
      </c>
      <c r="E72" s="414" t="s">
        <v>107</v>
      </c>
      <c r="F72" s="415">
        <v>2</v>
      </c>
      <c r="G72" s="415" t="s">
        <v>2656</v>
      </c>
      <c r="H72" s="416" t="s">
        <v>1312</v>
      </c>
      <c r="I72" s="414" t="s">
        <v>5879</v>
      </c>
      <c r="J72" s="414" t="s">
        <v>5877</v>
      </c>
      <c r="K72" s="414" t="s">
        <v>5841</v>
      </c>
      <c r="L72" s="414" t="s">
        <v>6110</v>
      </c>
      <c r="M72" s="414" t="s">
        <v>6111</v>
      </c>
      <c r="N72" s="414" t="s">
        <v>6112</v>
      </c>
      <c r="O72" s="414" t="s">
        <v>6113</v>
      </c>
      <c r="P72" s="414" t="s">
        <v>6114</v>
      </c>
      <c r="Q72" s="414" t="s">
        <v>6115</v>
      </c>
      <c r="R72" s="438" t="s">
        <v>6116</v>
      </c>
      <c r="S72" s="862">
        <f>IF(COUNTIF(Psíquicos!$C$25:$E$36,E72)=0,0,1)</f>
        <v>0</v>
      </c>
      <c r="U72" s="2281" t="s">
        <v>200</v>
      </c>
      <c r="V72" s="414"/>
      <c r="W72" s="414"/>
      <c r="X72" s="999"/>
      <c r="Y72" s="999"/>
      <c r="Z72" s="999"/>
      <c r="AA72" s="999"/>
      <c r="AB72" s="999"/>
      <c r="AC72" s="999"/>
      <c r="AD72" s="999"/>
      <c r="AE72" s="999"/>
      <c r="AF72" s="999"/>
      <c r="AG72" s="999"/>
      <c r="AH72" s="2282" t="e">
        <f>IF(COUNTIF(Psíquicos!$AD$17:$AH$62,U72),VALUE(INDEX('Tablas psiquica'!$X72:$AG72,MATCH('Tablas psiquica'!$W72,'Tablas psiquica'!$X$6:$AG$6,0))),0)</f>
        <v>#N/A</v>
      </c>
      <c r="AJ72" s="2647" t="str">
        <f>IFERROR(IF(VLOOKUP(AK72,$D$7:$G$145,4,FALSE)&lt;&gt;"No",MAX(AJ$5:AJ71)+1,0),"")</f>
        <v/>
      </c>
      <c r="AK72" s="2648" t="str">
        <f t="shared" si="13"/>
        <v/>
      </c>
      <c r="AL72" s="2651" t="str">
        <f>IFERROR(VLOOKUP(Tablas!$A66,$AJ$7:$AK$145,2,FALSE),"")</f>
        <v/>
      </c>
    </row>
    <row r="73" spans="1:38" ht="12.75" customHeight="1" x14ac:dyDescent="0.2">
      <c r="A73" s="865">
        <v>73</v>
      </c>
      <c r="B73" s="860">
        <f>IF(OR(S73=0),0,SUM($S$6:S73))</f>
        <v>0</v>
      </c>
      <c r="C73" s="422"/>
      <c r="D73" s="287" t="s">
        <v>184</v>
      </c>
      <c r="E73" s="414" t="s">
        <v>107</v>
      </c>
      <c r="F73" s="415">
        <v>2</v>
      </c>
      <c r="G73" s="415" t="s">
        <v>2656</v>
      </c>
      <c r="H73" s="416" t="s">
        <v>1313</v>
      </c>
      <c r="I73" s="414" t="s">
        <v>5879</v>
      </c>
      <c r="J73" s="414" t="s">
        <v>5877</v>
      </c>
      <c r="K73" s="414" t="s">
        <v>5841</v>
      </c>
      <c r="L73" s="414" t="s">
        <v>6117</v>
      </c>
      <c r="M73" s="414" t="s">
        <v>6118</v>
      </c>
      <c r="N73" s="414" t="s">
        <v>6119</v>
      </c>
      <c r="O73" s="414" t="s">
        <v>6120</v>
      </c>
      <c r="P73" s="414" t="s">
        <v>6121</v>
      </c>
      <c r="Q73" s="414" t="s">
        <v>6122</v>
      </c>
      <c r="R73" s="438" t="s">
        <v>6123</v>
      </c>
      <c r="S73" s="862">
        <f>IF(COUNTIF(Psíquicos!$C$25:$E$36,E73)=0,0,1)</f>
        <v>0</v>
      </c>
      <c r="U73" s="2281"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2">
        <f>IF(COUNTIF(Psíquicos!$AD$17:$AH$62,U73),VALUE(INDEX('Tablas psiquica'!$X73:$AG73,MATCH('Tablas psiquica'!$W73,'Tablas psiquica'!$X$6:$AG$6,0))),0)</f>
        <v>0</v>
      </c>
      <c r="AJ73" s="2647" t="str">
        <f>IFERROR(IF(VLOOKUP(AK73,$D$7:$G$145,4,FALSE)&lt;&gt;"No",MAX(AJ$5:AJ72)+1,0),"")</f>
        <v/>
      </c>
      <c r="AK73" s="2648" t="str">
        <f t="shared" si="13"/>
        <v/>
      </c>
      <c r="AL73" s="2651" t="str">
        <f>IFERROR(VLOOKUP(Tablas!$A67,$AJ$7:$AK$145,2,FALSE),"")</f>
        <v/>
      </c>
    </row>
    <row r="74" spans="1:38" ht="12.75" customHeight="1" x14ac:dyDescent="0.2">
      <c r="A74" s="865">
        <v>74</v>
      </c>
      <c r="B74" s="860">
        <f>IF(OR(S74=0),0,SUM($S$6:S74))</f>
        <v>0</v>
      </c>
      <c r="C74" s="422"/>
      <c r="D74" s="287" t="s">
        <v>1376</v>
      </c>
      <c r="E74" s="414" t="s">
        <v>107</v>
      </c>
      <c r="F74" s="415">
        <v>2</v>
      </c>
      <c r="G74" s="415" t="s">
        <v>2656</v>
      </c>
      <c r="H74" s="416" t="s">
        <v>1312</v>
      </c>
      <c r="I74" s="414" t="s">
        <v>5879</v>
      </c>
      <c r="J74" s="414" t="s">
        <v>5878</v>
      </c>
      <c r="K74" s="414" t="s">
        <v>5877</v>
      </c>
      <c r="L74" s="414" t="s">
        <v>6124</v>
      </c>
      <c r="M74" s="414" t="s">
        <v>6125</v>
      </c>
      <c r="N74" s="414" t="s">
        <v>6126</v>
      </c>
      <c r="O74" s="414" t="s">
        <v>6127</v>
      </c>
      <c r="P74" s="414" t="s">
        <v>6128</v>
      </c>
      <c r="Q74" s="414" t="s">
        <v>6129</v>
      </c>
      <c r="R74" s="438" t="s">
        <v>6130</v>
      </c>
      <c r="S74" s="862">
        <f>IF(COUNTIF(Psíquicos!$C$25:$E$36,E74)=0,0,1)</f>
        <v>0</v>
      </c>
      <c r="U74" s="2281"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2">
        <f>IF(COUNTIF(Psíquicos!$AD$17:$AH$62,U74),VALUE(INDEX('Tablas psiquica'!$X74:$AG74,MATCH('Tablas psiquica'!$W74,'Tablas psiquica'!$X$6:$AG$6,0))),0)</f>
        <v>0</v>
      </c>
      <c r="AJ74" s="2647" t="str">
        <f>IFERROR(IF(VLOOKUP(AK74,$D$7:$G$145,4,FALSE)&lt;&gt;"No",MAX(AJ$5:AJ73)+1,0),"")</f>
        <v/>
      </c>
      <c r="AK74" s="2648" t="str">
        <f t="shared" si="13"/>
        <v/>
      </c>
      <c r="AL74" s="2651"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5893</v>
      </c>
      <c r="J75" s="414" t="s">
        <v>5892</v>
      </c>
      <c r="K75" s="414" t="s">
        <v>5879</v>
      </c>
      <c r="L75" s="414" t="s">
        <v>5878</v>
      </c>
      <c r="M75" s="414" t="s">
        <v>5877</v>
      </c>
      <c r="N75" s="414" t="s">
        <v>6131</v>
      </c>
      <c r="O75" s="414" t="s">
        <v>6132</v>
      </c>
      <c r="P75" s="414" t="s">
        <v>6133</v>
      </c>
      <c r="Q75" s="414" t="s">
        <v>6134</v>
      </c>
      <c r="R75" s="438" t="s">
        <v>6135</v>
      </c>
      <c r="S75" s="862">
        <f>IF(COUNTIF(Psíquicos!$C$25:$E$36,E75)=0,0,1)</f>
        <v>0</v>
      </c>
      <c r="U75" s="2281"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2">
        <f>IF(COUNTIF(Psíquicos!$AD$17:$AH$62,U75),VALUE(INDEX('Tablas psiquica'!$X75:$AG75,MATCH('Tablas psiquica'!$W75,'Tablas psiquica'!$X$6:$AG$6,0))),0)</f>
        <v>0</v>
      </c>
      <c r="AJ75" s="2647" t="str">
        <f>IFERROR(IF(VLOOKUP(AK75,$D$7:$G$145,4,FALSE)&lt;&gt;"No",MAX(AJ$5:AJ74)+1,0),"")</f>
        <v/>
      </c>
      <c r="AK75" s="2648" t="str">
        <f t="shared" si="13"/>
        <v/>
      </c>
      <c r="AL75" s="2651" t="str">
        <f>IFERROR(VLOOKUP(Tablas!$A69,$AJ$7:$AK$145,2,FALSE),"")</f>
        <v/>
      </c>
    </row>
    <row r="76" spans="1:38" ht="12.75" customHeight="1" x14ac:dyDescent="0.2">
      <c r="A76" s="865">
        <v>76</v>
      </c>
      <c r="B76" s="860">
        <f>IF(OR(S76=0),0,SUM($S$6:S76))</f>
        <v>0</v>
      </c>
      <c r="C76" s="422"/>
      <c r="D76" s="287" t="s">
        <v>186</v>
      </c>
      <c r="E76" s="414" t="s">
        <v>107</v>
      </c>
      <c r="F76" s="415">
        <v>3</v>
      </c>
      <c r="G76" s="415" t="s">
        <v>2656</v>
      </c>
      <c r="H76" s="416" t="s">
        <v>1312</v>
      </c>
      <c r="I76" s="414" t="s">
        <v>5893</v>
      </c>
      <c r="J76" s="414" t="s">
        <v>5892</v>
      </c>
      <c r="K76" s="414" t="s">
        <v>5879</v>
      </c>
      <c r="L76" s="414" t="s">
        <v>5878</v>
      </c>
      <c r="M76" s="414" t="s">
        <v>5877</v>
      </c>
      <c r="N76" s="414" t="s">
        <v>6136</v>
      </c>
      <c r="O76" s="414" t="s">
        <v>6137</v>
      </c>
      <c r="P76" s="414" t="s">
        <v>6138</v>
      </c>
      <c r="Q76" s="414" t="s">
        <v>6139</v>
      </c>
      <c r="R76" s="438" t="s">
        <v>6140</v>
      </c>
      <c r="S76" s="862">
        <f>IF(COUNTIF(Psíquicos!$C$25:$E$36,E76)=0,0,1)</f>
        <v>0</v>
      </c>
      <c r="U76" s="2281"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2">
        <f>IF(COUNTIF(Psíquicos!$AD$17:$AH$62,U76),VALUE(INDEX('Tablas psiquica'!$X76:$AG76,MATCH('Tablas psiquica'!$W76,'Tablas psiquica'!$X$6:$AG$6,0))),0)</f>
        <v>0</v>
      </c>
      <c r="AJ76" s="2647" t="str">
        <f>IFERROR(IF(VLOOKUP(AK76,$D$7:$G$145,4,FALSE)&lt;&gt;"No",MAX(AJ$5:AJ75)+1,0),"")</f>
        <v/>
      </c>
      <c r="AK76" s="2648" t="str">
        <f t="shared" si="13"/>
        <v/>
      </c>
      <c r="AL76" s="2651" t="str">
        <f>IFERROR(VLOOKUP(Tablas!$A70,$AJ$7:$AK$145,2,FALSE),"")</f>
        <v/>
      </c>
    </row>
    <row r="77" spans="1:38" ht="12.75" customHeight="1" x14ac:dyDescent="0.2">
      <c r="A77" s="865">
        <v>77</v>
      </c>
      <c r="B77" s="860">
        <f>IF(OR(S77=0),0,SUM($S$6:S77))</f>
        <v>0</v>
      </c>
      <c r="C77" s="422"/>
      <c r="D77" s="287" t="s">
        <v>187</v>
      </c>
      <c r="E77" s="414" t="s">
        <v>107</v>
      </c>
      <c r="F77" s="415">
        <v>3</v>
      </c>
      <c r="G77" s="415" t="s">
        <v>2656</v>
      </c>
      <c r="H77" s="416" t="s">
        <v>1312</v>
      </c>
      <c r="I77" s="414" t="s">
        <v>5893</v>
      </c>
      <c r="J77" s="414" t="s">
        <v>5892</v>
      </c>
      <c r="K77" s="414" t="s">
        <v>5879</v>
      </c>
      <c r="L77" s="414" t="s">
        <v>5878</v>
      </c>
      <c r="M77" s="414" t="s">
        <v>5877</v>
      </c>
      <c r="N77" s="414" t="s">
        <v>6141</v>
      </c>
      <c r="O77" s="414" t="s">
        <v>6142</v>
      </c>
      <c r="P77" s="414" t="s">
        <v>6143</v>
      </c>
      <c r="Q77" s="414" t="s">
        <v>6144</v>
      </c>
      <c r="R77" s="438" t="s">
        <v>6145</v>
      </c>
      <c r="S77" s="862">
        <f>IF(COUNTIF(Psíquicos!$C$25:$E$36,E77)=0,0,1)</f>
        <v>0</v>
      </c>
      <c r="U77" s="2281"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2">
        <f>IF(COUNTIF(Psíquicos!$AD$17:$AH$62,U77),VALUE(INDEX('Tablas psiquica'!$X77:$AG77,MATCH('Tablas psiquica'!$W77,'Tablas psiquica'!$X$6:$AG$6,0))),0)</f>
        <v>0</v>
      </c>
      <c r="AJ77" s="2647" t="str">
        <f>IFERROR(IF(VLOOKUP(AK77,$D$7:$G$145,4,FALSE)&lt;&gt;"No",MAX(AJ$5:AJ76)+1,0),"")</f>
        <v/>
      </c>
      <c r="AK77" s="2648" t="str">
        <f t="shared" si="13"/>
        <v/>
      </c>
      <c r="AL77" s="2651"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1"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2">
        <f>IF(COUNTIF(Psíquicos!$AD$17:$AH$62,U78),VALUE(INDEX('Tablas psiquica'!$X78:$AG78,MATCH('Tablas psiquica'!$W78,'Tablas psiquica'!$X$6:$AG$6,0))),0)</f>
        <v>0</v>
      </c>
      <c r="AJ78" s="2647" t="str">
        <f>IFERROR(IF(VLOOKUP(AK78,$D$7:$G$145,4,FALSE)&lt;&gt;"No",MAX(AJ$5:AJ77)+1,0),"")</f>
        <v/>
      </c>
      <c r="AK78" s="2648" t="str">
        <f t="shared" si="13"/>
        <v/>
      </c>
      <c r="AL78" s="2651" t="str">
        <f>IFERROR(VLOOKUP(Tablas!$A72,$AJ$7:$AK$145,2,FALSE),"")</f>
        <v/>
      </c>
    </row>
    <row r="79" spans="1:38" ht="12.75" customHeight="1" x14ac:dyDescent="0.2">
      <c r="A79" s="865">
        <v>79</v>
      </c>
      <c r="B79" s="860">
        <f>IF(OR(S79=0),0,SUM($S$6:S79))</f>
        <v>0</v>
      </c>
      <c r="C79" s="422"/>
      <c r="D79" s="287" t="s">
        <v>189</v>
      </c>
      <c r="E79" s="414" t="s">
        <v>108</v>
      </c>
      <c r="F79" s="415">
        <v>1</v>
      </c>
      <c r="G79" s="415" t="s">
        <v>2656</v>
      </c>
      <c r="H79" s="416" t="s">
        <v>1312</v>
      </c>
      <c r="I79" s="414" t="s">
        <v>5841</v>
      </c>
      <c r="J79" s="414" t="s">
        <v>5842</v>
      </c>
      <c r="K79" s="414" t="s">
        <v>6026</v>
      </c>
      <c r="L79" s="414" t="s">
        <v>6027</v>
      </c>
      <c r="M79" s="414" t="s">
        <v>6028</v>
      </c>
      <c r="N79" s="414" t="s">
        <v>6146</v>
      </c>
      <c r="O79" s="414" t="s">
        <v>6029</v>
      </c>
      <c r="P79" s="414" t="s">
        <v>4347</v>
      </c>
      <c r="Q79" s="414" t="s">
        <v>4349</v>
      </c>
      <c r="R79" s="438" t="s">
        <v>6030</v>
      </c>
      <c r="S79" s="862">
        <f>IF(COUNTIF(Psíquicos!$C$25:$E$36,E79)=0,0,1)</f>
        <v>0</v>
      </c>
      <c r="U79" s="2281"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2">
        <f>IF(COUNTIF(Psíquicos!$AD$17:$AH$62,U79),VALUE(INDEX('Tablas psiquica'!$X79:$AG79,MATCH('Tablas psiquica'!$W79,'Tablas psiquica'!$X$6:$AG$6,0))),0)</f>
        <v>0</v>
      </c>
      <c r="AJ79" s="2647" t="str">
        <f>IFERROR(IF(VLOOKUP(AK79,$D$7:$G$145,4,FALSE)&lt;&gt;"No",MAX(AJ$5:AJ78)+1,0),"")</f>
        <v/>
      </c>
      <c r="AK79" s="2648" t="str">
        <f t="shared" si="13"/>
        <v/>
      </c>
      <c r="AL79" s="2651" t="str">
        <f>IFERROR(VLOOKUP(Tablas!$A73,$AJ$7:$AK$145,2,FALSE),"")</f>
        <v/>
      </c>
    </row>
    <row r="80" spans="1:38" ht="12.75" customHeight="1" x14ac:dyDescent="0.2">
      <c r="A80" s="865">
        <v>80</v>
      </c>
      <c r="B80" s="860">
        <f>IF(OR(S80=0),0,SUM($S$6:S80))</f>
        <v>0</v>
      </c>
      <c r="C80" s="422"/>
      <c r="D80" s="287" t="s">
        <v>190</v>
      </c>
      <c r="E80" s="414" t="s">
        <v>108</v>
      </c>
      <c r="F80" s="415">
        <v>1</v>
      </c>
      <c r="G80" s="415" t="s">
        <v>2656</v>
      </c>
      <c r="H80" s="416" t="s">
        <v>1312</v>
      </c>
      <c r="I80" s="414" t="s">
        <v>5841</v>
      </c>
      <c r="J80" s="414" t="s">
        <v>5842</v>
      </c>
      <c r="K80" s="414" t="s">
        <v>3621</v>
      </c>
      <c r="L80" s="414" t="s">
        <v>6147</v>
      </c>
      <c r="M80" s="414" t="s">
        <v>6148</v>
      </c>
      <c r="N80" s="414" t="s">
        <v>6149</v>
      </c>
      <c r="O80" s="414" t="s">
        <v>6150</v>
      </c>
      <c r="P80" s="414" t="s">
        <v>6151</v>
      </c>
      <c r="Q80" s="414" t="s">
        <v>6152</v>
      </c>
      <c r="R80" s="438" t="s">
        <v>6153</v>
      </c>
      <c r="S80" s="862">
        <f>IF(COUNTIF(Psíquicos!$C$25:$E$36,E80)=0,0,1)</f>
        <v>0</v>
      </c>
      <c r="U80" s="2281"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2">
        <f>IF(COUNTIF(Psíquicos!$AD$17:$AH$62,U80),VALUE(INDEX('Tablas psiquica'!$X80:$AG80,MATCH('Tablas psiquica'!$W80,'Tablas psiquica'!$X$6:$AG$6,0))),0)</f>
        <v>0</v>
      </c>
      <c r="AJ80" s="2647" t="str">
        <f>IFERROR(IF(VLOOKUP(AK80,$D$7:$G$145,4,FALSE)&lt;&gt;"No",MAX(AJ$5:AJ79)+1,0),"")</f>
        <v/>
      </c>
      <c r="AK80" s="2648" t="str">
        <f t="shared" si="13"/>
        <v/>
      </c>
      <c r="AL80" s="2651" t="str">
        <f>IFERROR(VLOOKUP(Tablas!$A74,$AJ$7:$AK$145,2,FALSE),"")</f>
        <v/>
      </c>
    </row>
    <row r="81" spans="1:38" ht="12.75" customHeight="1" x14ac:dyDescent="0.2">
      <c r="A81" s="865">
        <v>81</v>
      </c>
      <c r="B81" s="860">
        <f>IF(OR(S81=0),0,SUM($S$6:S81))</f>
        <v>0</v>
      </c>
      <c r="C81" s="422"/>
      <c r="D81" s="287" t="s">
        <v>191</v>
      </c>
      <c r="E81" s="414" t="s">
        <v>108</v>
      </c>
      <c r="F81" s="415">
        <v>1</v>
      </c>
      <c r="G81" s="415" t="s">
        <v>2656</v>
      </c>
      <c r="H81" s="416" t="s">
        <v>1313</v>
      </c>
      <c r="I81" s="414" t="s">
        <v>5878</v>
      </c>
      <c r="J81" s="414" t="s">
        <v>5877</v>
      </c>
      <c r="K81" s="414" t="s">
        <v>5841</v>
      </c>
      <c r="L81" s="414" t="s">
        <v>5913</v>
      </c>
      <c r="M81" s="414" t="s">
        <v>5914</v>
      </c>
      <c r="N81" s="414" t="s">
        <v>6040</v>
      </c>
      <c r="O81" s="414" t="s">
        <v>5916</v>
      </c>
      <c r="P81" s="414" t="s">
        <v>6154</v>
      </c>
      <c r="Q81" s="414" t="s">
        <v>6155</v>
      </c>
      <c r="R81" s="438" t="s">
        <v>6156</v>
      </c>
      <c r="S81" s="862">
        <f>IF(COUNTIF(Psíquicos!$C$25:$E$36,E81)=0,0,1)</f>
        <v>0</v>
      </c>
      <c r="U81" s="2281" t="s">
        <v>210</v>
      </c>
      <c r="V81" s="414"/>
      <c r="W81" s="414"/>
      <c r="X81" s="999"/>
      <c r="Y81" s="999"/>
      <c r="Z81" s="999"/>
      <c r="AA81" s="999"/>
      <c r="AB81" s="999"/>
      <c r="AC81" s="999"/>
      <c r="AD81" s="999"/>
      <c r="AE81" s="999"/>
      <c r="AF81" s="999"/>
      <c r="AG81" s="999"/>
      <c r="AH81" s="2282" t="e">
        <f>IF(COUNTIF(Psíquicos!$AD$17:$AH$62,U81),VALUE(INDEX('Tablas psiquica'!$X81:$AG81,MATCH('Tablas psiquica'!$W81,'Tablas psiquica'!$X$6:$AG$6,0))),0)</f>
        <v>#N/A</v>
      </c>
      <c r="AJ81" s="2647" t="str">
        <f>IFERROR(IF(VLOOKUP(AK81,$D$7:$G$145,4,FALSE)&lt;&gt;"No",MAX(AJ$5:AJ80)+1,0),"")</f>
        <v/>
      </c>
      <c r="AK81" s="2648" t="str">
        <f t="shared" si="13"/>
        <v/>
      </c>
      <c r="AL81" s="2651" t="str">
        <f>IFERROR(VLOOKUP(Tablas!$A75,$AJ$7:$AK$145,2,FALSE),"")</f>
        <v/>
      </c>
    </row>
    <row r="82" spans="1:38" ht="12.75" customHeight="1" x14ac:dyDescent="0.2">
      <c r="A82" s="865">
        <v>82</v>
      </c>
      <c r="B82" s="860">
        <f>IF(OR(S82=0),0,SUM($S$6:S82))</f>
        <v>0</v>
      </c>
      <c r="C82" s="422"/>
      <c r="D82" s="287" t="s">
        <v>192</v>
      </c>
      <c r="E82" s="414" t="s">
        <v>108</v>
      </c>
      <c r="F82" s="415">
        <v>1</v>
      </c>
      <c r="G82" s="415" t="s">
        <v>2656</v>
      </c>
      <c r="H82" s="416" t="s">
        <v>1312</v>
      </c>
      <c r="I82" s="414" t="s">
        <v>5877</v>
      </c>
      <c r="J82" s="414" t="s">
        <v>5841</v>
      </c>
      <c r="K82" s="414" t="s">
        <v>5842</v>
      </c>
      <c r="L82" s="414" t="s">
        <v>6157</v>
      </c>
      <c r="M82" s="414" t="s">
        <v>6158</v>
      </c>
      <c r="N82" s="414" t="s">
        <v>6159</v>
      </c>
      <c r="O82" s="414" t="s">
        <v>6160</v>
      </c>
      <c r="P82" s="414" t="s">
        <v>6161</v>
      </c>
      <c r="Q82" s="414" t="s">
        <v>6162</v>
      </c>
      <c r="R82" s="438" t="s">
        <v>6163</v>
      </c>
      <c r="S82" s="862">
        <f>IF(COUNTIF(Psíquicos!$C$25:$E$36,E82)=0,0,1)</f>
        <v>0</v>
      </c>
      <c r="U82" s="2281"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2">
        <f>IF(COUNTIF(Psíquicos!$AD$17:$AH$62,U82),VALUE(INDEX('Tablas psiquica'!$X82:$AG82,MATCH('Tablas psiquica'!$W82,'Tablas psiquica'!$X$6:$AG$6,0))),0)</f>
        <v>0</v>
      </c>
      <c r="AJ82" s="2647" t="str">
        <f>IFERROR(IF(VLOOKUP(AK82,$D$7:$G$145,4,FALSE)&lt;&gt;"No",MAX(AJ$5:AJ81)+1,0),"")</f>
        <v/>
      </c>
      <c r="AK82" s="2648" t="str">
        <f t="shared" si="13"/>
        <v/>
      </c>
      <c r="AL82" s="2651"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5877</v>
      </c>
      <c r="J83" s="414" t="s">
        <v>5841</v>
      </c>
      <c r="K83" s="414" t="s">
        <v>5842</v>
      </c>
      <c r="L83" s="414" t="s">
        <v>4263</v>
      </c>
      <c r="M83" s="414" t="s">
        <v>4264</v>
      </c>
      <c r="N83" s="414" t="s">
        <v>3841</v>
      </c>
      <c r="O83" s="414" t="s">
        <v>3515</v>
      </c>
      <c r="P83" s="414" t="s">
        <v>6164</v>
      </c>
      <c r="Q83" s="414" t="s">
        <v>6165</v>
      </c>
      <c r="R83" s="438" t="s">
        <v>6166</v>
      </c>
      <c r="S83" s="862">
        <f>IF(COUNTIF(Psíquicos!$C$25:$E$36,E83)=0,0,1)</f>
        <v>0</v>
      </c>
      <c r="U83" s="2281"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2">
        <f>IF(COUNTIF(Psíquicos!$AD$17:$AH$62,U83),VALUE(INDEX('Tablas psiquica'!$X83:$AG83,MATCH('Tablas psiquica'!$W83,'Tablas psiquica'!$X$6:$AG$6,0))),0)</f>
        <v>0</v>
      </c>
      <c r="AJ83" s="2647" t="str">
        <f>IFERROR(IF(VLOOKUP(AK83,$D$7:$G$145,4,FALSE)&lt;&gt;"No",MAX(AJ$5:AJ82)+1,0),"")</f>
        <v/>
      </c>
      <c r="AK83" s="2648" t="str">
        <f t="shared" si="13"/>
        <v/>
      </c>
      <c r="AL83" s="2651"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5878</v>
      </c>
      <c r="J84" s="414" t="s">
        <v>5877</v>
      </c>
      <c r="K84" s="414" t="s">
        <v>5841</v>
      </c>
      <c r="L84" s="414" t="s">
        <v>6167</v>
      </c>
      <c r="M84" s="414" t="s">
        <v>6168</v>
      </c>
      <c r="N84" s="414" t="s">
        <v>6169</v>
      </c>
      <c r="O84" s="414" t="s">
        <v>6170</v>
      </c>
      <c r="P84" s="414" t="s">
        <v>6171</v>
      </c>
      <c r="Q84" s="414" t="s">
        <v>6172</v>
      </c>
      <c r="R84" s="438" t="s">
        <v>6173</v>
      </c>
      <c r="S84" s="862">
        <f>IF(COUNTIF(Psíquicos!$C$25:$E$36,E84)=0,0,1)</f>
        <v>0</v>
      </c>
      <c r="U84" s="2281"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2">
        <f>IF(COUNTIF(Psíquicos!$AD$17:$AH$62,U84),VALUE(INDEX('Tablas psiquica'!$X84:$AG84,MATCH('Tablas psiquica'!$W84,'Tablas psiquica'!$X$6:$AG$6,0))),0)</f>
        <v>0</v>
      </c>
      <c r="AJ84" s="2647" t="str">
        <f>IFERROR(IF(VLOOKUP(AK84,$D$7:$G$145,4,FALSE)&lt;&gt;"No",MAX(AJ$5:AJ83)+1,0),"")</f>
        <v/>
      </c>
      <c r="AK84" s="2648" t="str">
        <f t="shared" si="13"/>
        <v/>
      </c>
      <c r="AL84" s="2651" t="str">
        <f>IFERROR(VLOOKUP(Tablas!$A78,$AJ$7:$AK$145,2,FALSE),"")</f>
        <v/>
      </c>
    </row>
    <row r="85" spans="1:38" ht="12.75" customHeight="1" x14ac:dyDescent="0.2">
      <c r="A85" s="865">
        <v>85</v>
      </c>
      <c r="B85" s="860">
        <f>IF(OR(S85=0),0,SUM($S$6:S85))</f>
        <v>0</v>
      </c>
      <c r="C85" s="422"/>
      <c r="D85" s="287" t="s">
        <v>195</v>
      </c>
      <c r="E85" s="414" t="s">
        <v>108</v>
      </c>
      <c r="F85" s="415">
        <v>2</v>
      </c>
      <c r="G85" s="415" t="s">
        <v>2656</v>
      </c>
      <c r="H85" s="416" t="s">
        <v>1313</v>
      </c>
      <c r="I85" s="414" t="s">
        <v>5892</v>
      </c>
      <c r="J85" s="414" t="s">
        <v>5879</v>
      </c>
      <c r="K85" s="414" t="s">
        <v>5878</v>
      </c>
      <c r="L85" s="414" t="s">
        <v>5877</v>
      </c>
      <c r="M85" s="414" t="s">
        <v>5841</v>
      </c>
      <c r="N85" s="414" t="s">
        <v>3623</v>
      </c>
      <c r="O85" s="414" t="s">
        <v>4342</v>
      </c>
      <c r="P85" s="414" t="s">
        <v>3624</v>
      </c>
      <c r="Q85" s="414" t="s">
        <v>6002</v>
      </c>
      <c r="R85" s="438" t="s">
        <v>6003</v>
      </c>
      <c r="S85" s="862">
        <f>IF(COUNTIF(Psíquicos!$C$25:$E$36,E85)=0,0,1)</f>
        <v>0</v>
      </c>
      <c r="U85" s="2281"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2">
        <f>IF(COUNTIF(Psíquicos!$AD$17:$AH$62,U85),VALUE(INDEX('Tablas psiquica'!$X85:$AG85,MATCH('Tablas psiquica'!$W85,'Tablas psiquica'!$X$6:$AG$6,0))),0)</f>
        <v>0</v>
      </c>
      <c r="AJ85" s="2647" t="str">
        <f>IFERROR(IF(VLOOKUP(AK85,$D$7:$G$145,4,FALSE)&lt;&gt;"No",MAX(AJ$5:AJ84)+1,0),"")</f>
        <v/>
      </c>
      <c r="AK85" s="2648" t="str">
        <f t="shared" si="13"/>
        <v/>
      </c>
      <c r="AL85" s="2651" t="str">
        <f>IFERROR(VLOOKUP(Tablas!$A79,$AJ$7:$AK$145,2,FALSE),"")</f>
        <v/>
      </c>
    </row>
    <row r="86" spans="1:38" ht="12.75" customHeight="1" x14ac:dyDescent="0.2">
      <c r="A86" s="865">
        <v>86</v>
      </c>
      <c r="B86" s="860">
        <f>IF(OR(S86=0),0,SUM($S$6:S86))</f>
        <v>0</v>
      </c>
      <c r="C86" s="422"/>
      <c r="D86" s="287" t="s">
        <v>196</v>
      </c>
      <c r="E86" s="414" t="s">
        <v>108</v>
      </c>
      <c r="F86" s="415">
        <v>2</v>
      </c>
      <c r="G86" s="415" t="s">
        <v>2656</v>
      </c>
      <c r="H86" s="416" t="s">
        <v>1312</v>
      </c>
      <c r="I86" s="414" t="s">
        <v>5878</v>
      </c>
      <c r="J86" s="414" t="s">
        <v>5877</v>
      </c>
      <c r="K86" s="414" t="s">
        <v>5841</v>
      </c>
      <c r="L86" s="414" t="s">
        <v>6174</v>
      </c>
      <c r="M86" s="414" t="s">
        <v>6175</v>
      </c>
      <c r="N86" s="414" t="s">
        <v>6176</v>
      </c>
      <c r="O86" s="414" t="s">
        <v>6177</v>
      </c>
      <c r="P86" s="414" t="s">
        <v>6178</v>
      </c>
      <c r="Q86" s="414" t="s">
        <v>6179</v>
      </c>
      <c r="R86" s="438" t="s">
        <v>6180</v>
      </c>
      <c r="S86" s="862">
        <f>IF(COUNTIF(Psíquicos!$C$25:$E$36,E86)=0,0,1)</f>
        <v>0</v>
      </c>
      <c r="U86" s="2281"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2">
        <f>IF(COUNTIF(Psíquicos!$AD$17:$AH$62,U86),VALUE(INDEX('Tablas psiquica'!$X86:$AG86,MATCH('Tablas psiquica'!$W86,'Tablas psiquica'!$X$6:$AG$6,0))),0)</f>
        <v>0</v>
      </c>
      <c r="AJ86" s="2647" t="str">
        <f>IFERROR(IF(VLOOKUP(AK86,$D$7:$G$145,4,FALSE)&lt;&gt;"No",MAX(AJ$5:AJ85)+1,0),"")</f>
        <v/>
      </c>
      <c r="AK86" s="2648" t="str">
        <f t="shared" si="13"/>
        <v/>
      </c>
      <c r="AL86" s="2651"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5879</v>
      </c>
      <c r="J87" s="414" t="s">
        <v>5878</v>
      </c>
      <c r="K87" s="414" t="s">
        <v>5877</v>
      </c>
      <c r="L87" s="414" t="s">
        <v>5841</v>
      </c>
      <c r="M87" s="414" t="s">
        <v>6175</v>
      </c>
      <c r="N87" s="414" t="s">
        <v>6176</v>
      </c>
      <c r="O87" s="414" t="s">
        <v>6177</v>
      </c>
      <c r="P87" s="414" t="s">
        <v>6178</v>
      </c>
      <c r="Q87" s="414" t="s">
        <v>6179</v>
      </c>
      <c r="R87" s="438" t="s">
        <v>6180</v>
      </c>
      <c r="S87" s="862">
        <f>IF(COUNTIF(Psíquicos!$C$25:$E$36,E87)=0,0,1)</f>
        <v>0</v>
      </c>
      <c r="U87" s="2281"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2">
        <f>IF(COUNTIF(Psíquicos!$AD$17:$AH$62,U87),VALUE(INDEX('Tablas psiquica'!$X87:$AG87,MATCH('Tablas psiquica'!$W87,'Tablas psiquica'!$X$6:$AG$6,0))),0)</f>
        <v>0</v>
      </c>
      <c r="AJ87" s="2647" t="str">
        <f>IFERROR(IF(VLOOKUP(AK87,$D$7:$G$145,4,FALSE)&lt;&gt;"No",MAX(AJ$5:AJ86)+1,0),"")</f>
        <v/>
      </c>
      <c r="AK87" s="2648" t="str">
        <f t="shared" si="13"/>
        <v/>
      </c>
      <c r="AL87" s="2651"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5893</v>
      </c>
      <c r="J88" s="414" t="s">
        <v>5892</v>
      </c>
      <c r="K88" s="414" t="s">
        <v>5879</v>
      </c>
      <c r="L88" s="414" t="s">
        <v>5878</v>
      </c>
      <c r="M88" s="414" t="s">
        <v>5877</v>
      </c>
      <c r="N88" s="414" t="s">
        <v>6181</v>
      </c>
      <c r="O88" s="414" t="s">
        <v>6182</v>
      </c>
      <c r="P88" s="414" t="s">
        <v>6183</v>
      </c>
      <c r="Q88" s="414" t="s">
        <v>6184</v>
      </c>
      <c r="R88" s="438" t="s">
        <v>6185</v>
      </c>
      <c r="S88" s="862">
        <f>IF(COUNTIF(Psíquicos!$C$25:$E$36,E88)=0,0,1)</f>
        <v>0</v>
      </c>
      <c r="U88" s="2281" t="s">
        <v>221</v>
      </c>
      <c r="V88" s="999"/>
      <c r="W88" s="414"/>
      <c r="X88" s="999"/>
      <c r="Y88" s="999"/>
      <c r="Z88" s="999"/>
      <c r="AA88" s="999"/>
      <c r="AB88" s="999"/>
      <c r="AC88" s="999"/>
      <c r="AD88" s="999"/>
      <c r="AE88" s="999"/>
      <c r="AF88" s="999"/>
      <c r="AG88" s="999"/>
      <c r="AH88" s="2282" t="e">
        <f>IF(COUNTIF(Psíquicos!$AD$17:$AH$62,U88),VALUE(INDEX('Tablas psiquica'!$X88:$AG88,MATCH('Tablas psiquica'!$W88,'Tablas psiquica'!$X$6:$AG$6,0))),0)</f>
        <v>#N/A</v>
      </c>
      <c r="AJ88" s="2647" t="str">
        <f>IFERROR(IF(VLOOKUP(AK88,$D$7:$G$145,4,FALSE)&lt;&gt;"No",MAX(AJ$5:AJ87)+1,0),"")</f>
        <v/>
      </c>
      <c r="AK88" s="2648" t="str">
        <f t="shared" si="13"/>
        <v/>
      </c>
      <c r="AL88" s="2651" t="str">
        <f>IFERROR(VLOOKUP(Tablas!$A82,$AJ$7:$AK$145,2,FALSE),"")</f>
        <v/>
      </c>
    </row>
    <row r="89" spans="1:38" ht="12.75" customHeight="1" x14ac:dyDescent="0.2">
      <c r="A89" s="865">
        <v>89</v>
      </c>
      <c r="B89" s="860">
        <f>IF(OR(S89=0),0,SUM($S$6:S89))</f>
        <v>0</v>
      </c>
      <c r="C89" s="422"/>
      <c r="D89" s="287" t="s">
        <v>199</v>
      </c>
      <c r="E89" s="414" t="s">
        <v>108</v>
      </c>
      <c r="F89" s="415">
        <v>3</v>
      </c>
      <c r="G89" s="415" t="s">
        <v>2656</v>
      </c>
      <c r="H89" s="416" t="s">
        <v>1312</v>
      </c>
      <c r="I89" s="414" t="s">
        <v>5967</v>
      </c>
      <c r="J89" s="414" t="s">
        <v>5893</v>
      </c>
      <c r="K89" s="414" t="s">
        <v>5892</v>
      </c>
      <c r="L89" s="414" t="s">
        <v>5879</v>
      </c>
      <c r="M89" s="414" t="s">
        <v>5878</v>
      </c>
      <c r="N89" s="414" t="s">
        <v>5877</v>
      </c>
      <c r="O89" s="414" t="s">
        <v>4343</v>
      </c>
      <c r="P89" s="414" t="s">
        <v>4344</v>
      </c>
      <c r="Q89" s="414" t="s">
        <v>4345</v>
      </c>
      <c r="R89" s="438" t="s">
        <v>6186</v>
      </c>
      <c r="S89" s="862">
        <f>IF(COUNTIF(Psíquicos!$C$25:$E$36,E89)=0,0,1)</f>
        <v>0</v>
      </c>
      <c r="U89" s="2281"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2">
        <f>IF(COUNTIF(Psíquicos!$AD$17:$AH$62,U89),VALUE(INDEX('Tablas psiquica'!$X89:$AG89,MATCH('Tablas psiquica'!$W89,'Tablas psiquica'!$X$6:$AG$6,0))),0)</f>
        <v>0</v>
      </c>
      <c r="AJ89" s="2647" t="str">
        <f>IFERROR(IF(VLOOKUP(AK89,$D$7:$G$145,4,FALSE)&lt;&gt;"No",MAX(AJ$5:AJ88)+1,0),"")</f>
        <v/>
      </c>
      <c r="AK89" s="2648" t="str">
        <f t="shared" si="13"/>
        <v/>
      </c>
      <c r="AL89" s="2651"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1"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2">
        <f>IF(COUNTIF(Psíquicos!$AD$17:$AH$62,U90),VALUE(INDEX('Tablas psiquica'!$X90:$AG90,MATCH('Tablas psiquica'!$W90,'Tablas psiquica'!$X$6:$AG$6,0))),0)</f>
        <v>0</v>
      </c>
      <c r="AJ90" s="2647" t="str">
        <f>IFERROR(IF(VLOOKUP(AK90,$D$7:$G$145,4,FALSE)&lt;&gt;"No",MAX(AJ$5:AJ89)+1,0),"")</f>
        <v/>
      </c>
      <c r="AK90" s="2648" t="str">
        <f t="shared" si="13"/>
        <v/>
      </c>
      <c r="AL90" s="2651" t="str">
        <f>IFERROR(VLOOKUP(Tablas!$A84,$AJ$7:$AK$145,2,FALSE),"")</f>
        <v/>
      </c>
    </row>
    <row r="91" spans="1:38" ht="12.75" customHeight="1" x14ac:dyDescent="0.2">
      <c r="A91" s="865">
        <v>91</v>
      </c>
      <c r="B91" s="860">
        <f>IF(OR(S91=0),0,SUM($S$6:S91))</f>
        <v>0</v>
      </c>
      <c r="C91" s="422"/>
      <c r="D91" s="287" t="s">
        <v>201</v>
      </c>
      <c r="E91" s="414" t="s">
        <v>111</v>
      </c>
      <c r="F91" s="415">
        <v>1</v>
      </c>
      <c r="G91" s="415" t="s">
        <v>2656</v>
      </c>
      <c r="H91" s="416" t="s">
        <v>1312</v>
      </c>
      <c r="I91" s="414" t="s">
        <v>5841</v>
      </c>
      <c r="J91" s="414" t="s">
        <v>5842</v>
      </c>
      <c r="K91" s="414" t="s">
        <v>5859</v>
      </c>
      <c r="L91" s="414" t="s">
        <v>5860</v>
      </c>
      <c r="M91" s="414" t="s">
        <v>5861</v>
      </c>
      <c r="N91" s="414" t="s">
        <v>5862</v>
      </c>
      <c r="O91" s="414" t="s">
        <v>5863</v>
      </c>
      <c r="P91" s="414" t="s">
        <v>5864</v>
      </c>
      <c r="Q91" s="414" t="s">
        <v>5865</v>
      </c>
      <c r="R91" s="438" t="s">
        <v>5866</v>
      </c>
      <c r="S91" s="862">
        <f>IF(COUNTIF(Psíquicos!$C$25:$E$36,E91)=0,0,1)</f>
        <v>0</v>
      </c>
      <c r="U91" s="2281"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2">
        <f>IF(COUNTIF(Psíquicos!$AD$17:$AH$62,U91),VALUE(INDEX('Tablas psiquica'!$X91:$AG91,MATCH('Tablas psiquica'!$W91,'Tablas psiquica'!$X$6:$AG$6,0))),0)</f>
        <v>0</v>
      </c>
      <c r="AJ91" s="2647" t="str">
        <f>IFERROR(IF(VLOOKUP(AK91,$D$7:$G$145,4,FALSE)&lt;&gt;"No",MAX(AJ$5:AJ90)+1,0),"")</f>
        <v/>
      </c>
      <c r="AK91" s="2648" t="str">
        <f t="shared" si="13"/>
        <v/>
      </c>
      <c r="AL91" s="2651" t="str">
        <f>IFERROR(VLOOKUP(Tablas!$A85,$AJ$7:$AK$145,2,FALSE),"")</f>
        <v/>
      </c>
    </row>
    <row r="92" spans="1:38" ht="12.75" customHeight="1" x14ac:dyDescent="0.2">
      <c r="A92" s="865">
        <v>92</v>
      </c>
      <c r="B92" s="860">
        <f>IF(OR(S92=0),0,SUM($S$6:S92))</f>
        <v>0</v>
      </c>
      <c r="C92" s="422"/>
      <c r="D92" s="287" t="s">
        <v>202</v>
      </c>
      <c r="E92" s="414" t="s">
        <v>111</v>
      </c>
      <c r="F92" s="415">
        <v>1</v>
      </c>
      <c r="G92" s="415" t="s">
        <v>2656</v>
      </c>
      <c r="H92" s="416" t="s">
        <v>1312</v>
      </c>
      <c r="I92" s="414" t="s">
        <v>5841</v>
      </c>
      <c r="J92" s="414" t="s">
        <v>5842</v>
      </c>
      <c r="K92" s="414" t="s">
        <v>5859</v>
      </c>
      <c r="L92" s="414" t="s">
        <v>5860</v>
      </c>
      <c r="M92" s="414" t="s">
        <v>5861</v>
      </c>
      <c r="N92" s="414" t="s">
        <v>5862</v>
      </c>
      <c r="O92" s="414" t="s">
        <v>5863</v>
      </c>
      <c r="P92" s="414" t="s">
        <v>5864</v>
      </c>
      <c r="Q92" s="414" t="s">
        <v>5865</v>
      </c>
      <c r="R92" s="438" t="s">
        <v>5866</v>
      </c>
      <c r="S92" s="862">
        <f>IF(COUNTIF(Psíquicos!$C$25:$E$36,E92)=0,0,1)</f>
        <v>0</v>
      </c>
      <c r="U92" s="2281"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2">
        <f>IF(COUNTIF(Psíquicos!$AD$17:$AH$62,U92),VALUE(INDEX('Tablas psiquica'!$X92:$AG92,MATCH('Tablas psiquica'!$W92,'Tablas psiquica'!$X$6:$AG$6,0))),0)</f>
        <v>0</v>
      </c>
      <c r="AJ92" s="2647" t="str">
        <f>IFERROR(IF(VLOOKUP(AK92,$D$7:$G$145,4,FALSE)&lt;&gt;"No",MAX(AJ$5:AJ91)+1,0),"")</f>
        <v/>
      </c>
      <c r="AK92" s="2648" t="str">
        <f t="shared" si="13"/>
        <v/>
      </c>
      <c r="AL92" s="2651" t="str">
        <f>IFERROR(VLOOKUP(Tablas!$A86,$AJ$7:$AK$145,2,FALSE),"")</f>
        <v/>
      </c>
    </row>
    <row r="93" spans="1:38" ht="12.75" customHeight="1" x14ac:dyDescent="0.2">
      <c r="A93" s="865">
        <v>93</v>
      </c>
      <c r="B93" s="860">
        <f>IF(OR(S93=0),0,SUM($S$6:S93))</f>
        <v>0</v>
      </c>
      <c r="C93" s="422"/>
      <c r="D93" s="287" t="s">
        <v>203</v>
      </c>
      <c r="E93" s="414" t="s">
        <v>111</v>
      </c>
      <c r="F93" s="415">
        <v>1</v>
      </c>
      <c r="G93" s="415" t="s">
        <v>2656</v>
      </c>
      <c r="H93" s="416" t="s">
        <v>1312</v>
      </c>
      <c r="I93" s="414" t="s">
        <v>5841</v>
      </c>
      <c r="J93" s="414" t="s">
        <v>5842</v>
      </c>
      <c r="K93" s="414" t="s">
        <v>6187</v>
      </c>
      <c r="L93" s="414" t="s">
        <v>6188</v>
      </c>
      <c r="M93" s="414" t="s">
        <v>6189</v>
      </c>
      <c r="N93" s="414" t="s">
        <v>6190</v>
      </c>
      <c r="O93" s="414" t="s">
        <v>6191</v>
      </c>
      <c r="P93" s="414" t="s">
        <v>6192</v>
      </c>
      <c r="Q93" s="414" t="s">
        <v>6193</v>
      </c>
      <c r="R93" s="438" t="s">
        <v>6194</v>
      </c>
      <c r="S93" s="862">
        <f>IF(COUNTIF(Psíquicos!$C$25:$E$36,E93)=0,0,1)</f>
        <v>0</v>
      </c>
      <c r="U93" s="2281"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2">
        <f>IF(COUNTIF(Psíquicos!$AD$17:$AH$62,U93),VALUE(INDEX('Tablas psiquica'!$X93:$AG93,MATCH('Tablas psiquica'!$W93,'Tablas psiquica'!$X$6:$AG$6,0))),0)</f>
        <v>0</v>
      </c>
      <c r="AJ93" s="2647" t="str">
        <f>IFERROR(IF(VLOOKUP(AK93,$D$7:$G$145,4,FALSE)&lt;&gt;"No",MAX(AJ$5:AJ92)+1,0),"")</f>
        <v/>
      </c>
      <c r="AK93" s="2648" t="str">
        <f t="shared" si="13"/>
        <v/>
      </c>
      <c r="AL93" s="2651" t="str">
        <f>IFERROR(VLOOKUP(Tablas!$A87,$AJ$7:$AK$145,2,FALSE),"")</f>
        <v/>
      </c>
    </row>
    <row r="94" spans="1:38" ht="12.75" customHeight="1" x14ac:dyDescent="0.2">
      <c r="A94" s="865">
        <v>94</v>
      </c>
      <c r="B94" s="860">
        <f>IF(OR(S94=0),0,SUM($S$6:S94))</f>
        <v>0</v>
      </c>
      <c r="C94" s="422"/>
      <c r="D94" s="287" t="s">
        <v>204</v>
      </c>
      <c r="E94" s="414" t="s">
        <v>111</v>
      </c>
      <c r="F94" s="415">
        <v>1</v>
      </c>
      <c r="G94" s="415" t="s">
        <v>2656</v>
      </c>
      <c r="H94" s="416" t="s">
        <v>1312</v>
      </c>
      <c r="I94" s="414" t="s">
        <v>5841</v>
      </c>
      <c r="J94" s="414" t="s">
        <v>5842</v>
      </c>
      <c r="K94" s="414" t="s">
        <v>6195</v>
      </c>
      <c r="L94" s="414" t="s">
        <v>6196</v>
      </c>
      <c r="M94" s="414" t="s">
        <v>6197</v>
      </c>
      <c r="N94" s="414" t="s">
        <v>6198</v>
      </c>
      <c r="O94" s="414" t="s">
        <v>6199</v>
      </c>
      <c r="P94" s="414" t="s">
        <v>6200</v>
      </c>
      <c r="Q94" s="414" t="s">
        <v>6201</v>
      </c>
      <c r="R94" s="438" t="s">
        <v>6202</v>
      </c>
      <c r="S94" s="862">
        <f>IF(COUNTIF(Psíquicos!$C$25:$E$36,E94)=0,0,1)</f>
        <v>0</v>
      </c>
      <c r="U94" s="2281" t="s">
        <v>231</v>
      </c>
      <c r="V94" s="999"/>
      <c r="W94" s="414"/>
      <c r="X94" s="999"/>
      <c r="Y94" s="999"/>
      <c r="Z94" s="999"/>
      <c r="AA94" s="999"/>
      <c r="AB94" s="999"/>
      <c r="AC94" s="999"/>
      <c r="AD94" s="999"/>
      <c r="AE94" s="999"/>
      <c r="AF94" s="999"/>
      <c r="AG94" s="999"/>
      <c r="AH94" s="2282" t="e">
        <f>IF(COUNTIF(Psíquicos!$AD$17:$AH$62,U94),VALUE(INDEX('Tablas psiquica'!$X94:$AG94,MATCH('Tablas psiquica'!$W94,'Tablas psiquica'!$X$6:$AG$6,0))),0)</f>
        <v>#N/A</v>
      </c>
      <c r="AJ94" s="2647" t="str">
        <f>IFERROR(IF(VLOOKUP(AK94,$D$7:$G$145,4,FALSE)&lt;&gt;"No",MAX(AJ$5:AJ93)+1,0),"")</f>
        <v/>
      </c>
      <c r="AK94" s="2648" t="str">
        <f t="shared" si="13"/>
        <v/>
      </c>
      <c r="AL94" s="2651"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5879</v>
      </c>
      <c r="J95" s="414" t="s">
        <v>5877</v>
      </c>
      <c r="K95" s="414" t="s">
        <v>5841</v>
      </c>
      <c r="L95" s="414" t="s">
        <v>5876</v>
      </c>
      <c r="M95" s="414" t="s">
        <v>5859</v>
      </c>
      <c r="N95" s="414" t="s">
        <v>5860</v>
      </c>
      <c r="O95" s="414" t="s">
        <v>5861</v>
      </c>
      <c r="P95" s="414" t="s">
        <v>5862</v>
      </c>
      <c r="Q95" s="414" t="s">
        <v>5863</v>
      </c>
      <c r="R95" s="438" t="s">
        <v>5864</v>
      </c>
      <c r="S95" s="862">
        <f>IF(COUNTIF(Psíquicos!$C$25:$E$36,E95)=0,0,1)</f>
        <v>0</v>
      </c>
      <c r="U95" s="2281"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2">
        <f>IF(COUNTIF(Psíquicos!$AD$17:$AH$62,U95),VALUE(INDEX('Tablas psiquica'!$X95:$AG95,MATCH('Tablas psiquica'!$W95,'Tablas psiquica'!$X$6:$AG$6,0))),0)</f>
        <v>0</v>
      </c>
      <c r="AJ95" s="2647" t="str">
        <f>IFERROR(IF(VLOOKUP(AK95,$D$7:$G$145,4,FALSE)&lt;&gt;"No",MAX(AJ$5:AJ94)+1,0),"")</f>
        <v/>
      </c>
      <c r="AK95" s="2648" t="str">
        <f t="shared" si="13"/>
        <v/>
      </c>
      <c r="AL95" s="2651" t="str">
        <f>IFERROR(VLOOKUP(Tablas!$A89,$AJ$7:$AK$145,2,FALSE),"")</f>
        <v/>
      </c>
    </row>
    <row r="96" spans="1:38" ht="12.75" customHeight="1" x14ac:dyDescent="0.2">
      <c r="A96" s="865">
        <v>96</v>
      </c>
      <c r="B96" s="860">
        <f>IF(OR(S96=0),0,SUM($S$6:S96))</f>
        <v>0</v>
      </c>
      <c r="C96" s="422"/>
      <c r="D96" s="287" t="s">
        <v>206</v>
      </c>
      <c r="E96" s="414" t="s">
        <v>111</v>
      </c>
      <c r="F96" s="415">
        <v>2</v>
      </c>
      <c r="G96" s="415" t="s">
        <v>2656</v>
      </c>
      <c r="H96" s="416" t="s">
        <v>1312</v>
      </c>
      <c r="I96" s="414" t="s">
        <v>5879</v>
      </c>
      <c r="J96" s="414" t="s">
        <v>5878</v>
      </c>
      <c r="K96" s="414" t="s">
        <v>5877</v>
      </c>
      <c r="L96" s="414" t="s">
        <v>5841</v>
      </c>
      <c r="M96" s="414" t="s">
        <v>6203</v>
      </c>
      <c r="N96" s="414" t="s">
        <v>6204</v>
      </c>
      <c r="O96" s="414" t="s">
        <v>6205</v>
      </c>
      <c r="P96" s="414" t="s">
        <v>6206</v>
      </c>
      <c r="Q96" s="414" t="s">
        <v>6207</v>
      </c>
      <c r="R96" s="438" t="s">
        <v>6208</v>
      </c>
      <c r="S96" s="862">
        <f>IF(COUNTIF(Psíquicos!$C$25:$E$36,E96)=0,0,1)</f>
        <v>0</v>
      </c>
      <c r="U96" s="2281"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2">
        <f>IF(COUNTIF(Psíquicos!$AD$17:$AH$62,U96),VALUE(INDEX('Tablas psiquica'!$X96:$AG96,MATCH('Tablas psiquica'!$W96,'Tablas psiquica'!$X$6:$AG$6,0))),0)</f>
        <v>0</v>
      </c>
      <c r="AJ96" s="2647" t="str">
        <f>IFERROR(IF(VLOOKUP(AK96,$D$7:$G$145,4,FALSE)&lt;&gt;"No",MAX(AJ$5:AJ95)+1,0),"")</f>
        <v/>
      </c>
      <c r="AK96" s="2648" t="str">
        <f t="shared" si="13"/>
        <v/>
      </c>
      <c r="AL96" s="2651" t="str">
        <f>IFERROR(VLOOKUP(Tablas!$A90,$AJ$7:$AK$145,2,FALSE),"")</f>
        <v/>
      </c>
    </row>
    <row r="97" spans="1:38" ht="12.75" customHeight="1" x14ac:dyDescent="0.2">
      <c r="A97" s="865">
        <v>97</v>
      </c>
      <c r="B97" s="860">
        <f>IF(OR(S97=0),0,SUM($S$6:S97))</f>
        <v>0</v>
      </c>
      <c r="C97" s="422"/>
      <c r="D97" s="287" t="s">
        <v>207</v>
      </c>
      <c r="E97" s="414" t="s">
        <v>111</v>
      </c>
      <c r="F97" s="415">
        <v>2</v>
      </c>
      <c r="G97" s="415" t="s">
        <v>2656</v>
      </c>
      <c r="H97" s="416" t="s">
        <v>1312</v>
      </c>
      <c r="I97" s="414" t="s">
        <v>5879</v>
      </c>
      <c r="J97" s="414" t="s">
        <v>5878</v>
      </c>
      <c r="K97" s="414" t="s">
        <v>5877</v>
      </c>
      <c r="L97" s="414" t="s">
        <v>5841</v>
      </c>
      <c r="M97" s="414" t="s">
        <v>5859</v>
      </c>
      <c r="N97" s="414" t="s">
        <v>5860</v>
      </c>
      <c r="O97" s="414" t="s">
        <v>5861</v>
      </c>
      <c r="P97" s="414" t="s">
        <v>5862</v>
      </c>
      <c r="Q97" s="414" t="s">
        <v>5863</v>
      </c>
      <c r="R97" s="438" t="s">
        <v>5865</v>
      </c>
      <c r="S97" s="862">
        <f>IF(COUNTIF(Psíquicos!$C$25:$E$36,E97)=0,0,1)</f>
        <v>0</v>
      </c>
      <c r="U97" s="2281" t="s">
        <v>238</v>
      </c>
      <c r="V97" s="999"/>
      <c r="W97" s="414"/>
      <c r="X97" s="999"/>
      <c r="Y97" s="999"/>
      <c r="Z97" s="999"/>
      <c r="AA97" s="999"/>
      <c r="AB97" s="999"/>
      <c r="AC97" s="999"/>
      <c r="AD97" s="999"/>
      <c r="AE97" s="999"/>
      <c r="AF97" s="999"/>
      <c r="AG97" s="999"/>
      <c r="AH97" s="2282" t="e">
        <f>IF(COUNTIF(Psíquicos!$AD$17:$AH$62,U97),VALUE(INDEX('Tablas psiquica'!$X97:$AG97,MATCH('Tablas psiquica'!$W97,'Tablas psiquica'!$X$6:$AG$6,0))),0)</f>
        <v>#N/A</v>
      </c>
      <c r="AJ97" s="2647" t="str">
        <f>IFERROR(IF(VLOOKUP(AK97,$D$7:$G$145,4,FALSE)&lt;&gt;"No",MAX(AJ$5:AJ96)+1,0),"")</f>
        <v/>
      </c>
      <c r="AK97" s="2648" t="str">
        <f t="shared" si="13"/>
        <v/>
      </c>
      <c r="AL97" s="2651" t="str">
        <f>IFERROR(VLOOKUP(Tablas!$A91,$AJ$7:$AK$145,2,FALSE),"")</f>
        <v/>
      </c>
    </row>
    <row r="98" spans="1:38" ht="12.75" customHeight="1" x14ac:dyDescent="0.2">
      <c r="A98" s="865">
        <v>98</v>
      </c>
      <c r="B98" s="860">
        <f>IF(OR(S98=0),0,SUM($S$6:S98))</f>
        <v>0</v>
      </c>
      <c r="C98" s="422"/>
      <c r="D98" s="287" t="s">
        <v>208</v>
      </c>
      <c r="E98" s="414" t="s">
        <v>111</v>
      </c>
      <c r="F98" s="415">
        <v>2</v>
      </c>
      <c r="G98" s="415" t="s">
        <v>2656</v>
      </c>
      <c r="H98" s="416" t="s">
        <v>1312</v>
      </c>
      <c r="I98" s="414" t="s">
        <v>5879</v>
      </c>
      <c r="J98" s="414" t="s">
        <v>5878</v>
      </c>
      <c r="K98" s="414" t="s">
        <v>5877</v>
      </c>
      <c r="L98" s="414" t="s">
        <v>5841</v>
      </c>
      <c r="M98" s="414" t="s">
        <v>6209</v>
      </c>
      <c r="N98" s="414" t="s">
        <v>5854</v>
      </c>
      <c r="O98" s="414" t="s">
        <v>6210</v>
      </c>
      <c r="P98" s="414" t="s">
        <v>5855</v>
      </c>
      <c r="Q98" s="414" t="s">
        <v>5856</v>
      </c>
      <c r="R98" s="438" t="s">
        <v>5858</v>
      </c>
      <c r="S98" s="862">
        <f>IF(COUNTIF(Psíquicos!$C$25:$E$36,E98)=0,0,1)</f>
        <v>0</v>
      </c>
      <c r="U98" s="2281"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2">
        <f>IF(COUNTIF(Psíquicos!$AD$17:$AH$62,U98),VALUE(INDEX('Tablas psiquica'!$X98:$AG98,MATCH('Tablas psiquica'!$W98,'Tablas psiquica'!$X$6:$AG$6,0))),0)</f>
        <v>0</v>
      </c>
      <c r="AJ98" s="2647" t="str">
        <f>IFERROR(IF(VLOOKUP(AK98,$D$7:$G$145,4,FALSE)&lt;&gt;"No",MAX(AJ$5:AJ97)+1,0),"")</f>
        <v/>
      </c>
      <c r="AK98" s="2648" t="str">
        <f t="shared" si="13"/>
        <v/>
      </c>
      <c r="AL98" s="2651"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5893</v>
      </c>
      <c r="J99" s="414" t="s">
        <v>5892</v>
      </c>
      <c r="K99" s="414" t="s">
        <v>5879</v>
      </c>
      <c r="L99" s="414" t="s">
        <v>5878</v>
      </c>
      <c r="M99" s="414" t="s">
        <v>5877</v>
      </c>
      <c r="N99" s="414" t="s">
        <v>5860</v>
      </c>
      <c r="O99" s="414" t="s">
        <v>5861</v>
      </c>
      <c r="P99" s="414" t="s">
        <v>5862</v>
      </c>
      <c r="Q99" s="414" t="s">
        <v>5863</v>
      </c>
      <c r="R99" s="438" t="s">
        <v>5864</v>
      </c>
      <c r="S99" s="862">
        <f>IF(COUNTIF(Psíquicos!$C$25:$E$36,E99)=0,0,1)</f>
        <v>0</v>
      </c>
      <c r="U99" s="2281"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2">
        <f>IF(COUNTIF(Psíquicos!$AD$17:$AH$62,U99),VALUE(INDEX('Tablas psiquica'!$X99:$AG99,MATCH('Tablas psiquica'!$W99,'Tablas psiquica'!$X$6:$AG$6,0))),0)</f>
        <v>0</v>
      </c>
      <c r="AJ99" s="2647" t="str">
        <f>IFERROR(IF(VLOOKUP(AK99,$D$7:$G$145,4,FALSE)&lt;&gt;"No",MAX(AJ$5:AJ98)+1,0),"")</f>
        <v/>
      </c>
      <c r="AK99" s="2648" t="str">
        <f t="shared" si="13"/>
        <v/>
      </c>
      <c r="AL99" s="2651" t="str">
        <f>IFERROR(VLOOKUP(Tablas!$A93,$AJ$7:$AK$145,2,FALSE),"")</f>
        <v/>
      </c>
    </row>
    <row r="100" spans="1:38" ht="12.75" customHeight="1" x14ac:dyDescent="0.2">
      <c r="A100" s="865">
        <v>100</v>
      </c>
      <c r="B100" s="860">
        <f>IF(OR(S100=0),0,SUM($S$6:S100))</f>
        <v>0</v>
      </c>
      <c r="C100" s="422"/>
      <c r="D100" s="287" t="s">
        <v>134</v>
      </c>
      <c r="E100" s="414" t="s">
        <v>111</v>
      </c>
      <c r="F100" s="415">
        <v>3</v>
      </c>
      <c r="G100" s="415" t="s">
        <v>2656</v>
      </c>
      <c r="H100" s="416" t="s">
        <v>1312</v>
      </c>
      <c r="I100" s="414" t="s">
        <v>5893</v>
      </c>
      <c r="J100" s="414" t="s">
        <v>5892</v>
      </c>
      <c r="K100" s="414" t="s">
        <v>5879</v>
      </c>
      <c r="L100" s="414" t="s">
        <v>5877</v>
      </c>
      <c r="M100" s="414" t="s">
        <v>5894</v>
      </c>
      <c r="N100" s="414" t="s">
        <v>5851</v>
      </c>
      <c r="O100" s="414" t="s">
        <v>5853</v>
      </c>
      <c r="P100" s="414" t="s">
        <v>5854</v>
      </c>
      <c r="Q100" s="414" t="s">
        <v>5855</v>
      </c>
      <c r="R100" s="438" t="s">
        <v>5895</v>
      </c>
      <c r="S100" s="862">
        <f>IF(COUNTIF(Psíquicos!$C$25:$E$36,E100)=0,0,1)</f>
        <v>0</v>
      </c>
      <c r="U100" s="2281"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2">
        <f>IF(COUNTIF(Psíquicos!$AD$17:$AH$62,U100),VALUE(INDEX('Tablas psiquica'!$X100:$AG100,MATCH('Tablas psiquica'!$W100,'Tablas psiquica'!$X$6:$AG$6,0))),0)</f>
        <v>0</v>
      </c>
      <c r="AJ100" s="2647" t="str">
        <f>IFERROR(IF(VLOOKUP(AK100,$D$7:$G$145,4,FALSE)&lt;&gt;"No",MAX(AJ$5:AJ99)+1,0),"")</f>
        <v/>
      </c>
      <c r="AK100" s="2648" t="str">
        <f t="shared" si="13"/>
        <v/>
      </c>
      <c r="AL100" s="2651"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1"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2">
        <f>IF(COUNTIF(Psíquicos!$AD$17:$AH$62,U101),VALUE(INDEX('Tablas psiquica'!$X101:$AG101,MATCH('Tablas psiquica'!$W101,'Tablas psiquica'!$X$6:$AG$6,0))),0)</f>
        <v>0</v>
      </c>
      <c r="AJ101" s="2647" t="str">
        <f>IFERROR(IF(VLOOKUP(AK101,$D$7:$G$145,4,FALSE)&lt;&gt;"No",MAX(AJ$5:AJ100)+1,0),"")</f>
        <v/>
      </c>
      <c r="AK101" s="2648" t="str">
        <f t="shared" si="13"/>
        <v/>
      </c>
      <c r="AL101" s="2651" t="str">
        <f>IFERROR(VLOOKUP(Tablas!$A95,$AJ$7:$AK$145,2,FALSE),"")</f>
        <v/>
      </c>
    </row>
    <row r="102" spans="1:38" ht="12.75" customHeight="1" x14ac:dyDescent="0.2">
      <c r="A102" s="865">
        <v>102</v>
      </c>
      <c r="B102" s="860">
        <f>IF(OR(S102=0),0,SUM($S$6:S102))</f>
        <v>0</v>
      </c>
      <c r="C102" s="422"/>
      <c r="D102" s="287" t="s">
        <v>211</v>
      </c>
      <c r="E102" s="414" t="s">
        <v>109</v>
      </c>
      <c r="F102" s="415">
        <v>1</v>
      </c>
      <c r="G102" s="415" t="s">
        <v>2656</v>
      </c>
      <c r="H102" s="416" t="s">
        <v>1312</v>
      </c>
      <c r="I102" s="414" t="s">
        <v>5842</v>
      </c>
      <c r="J102" s="414" t="s">
        <v>6211</v>
      </c>
      <c r="K102" s="414" t="s">
        <v>6212</v>
      </c>
      <c r="L102" s="414" t="s">
        <v>3468</v>
      </c>
      <c r="M102" s="414" t="s">
        <v>6213</v>
      </c>
      <c r="N102" s="414" t="s">
        <v>3469</v>
      </c>
      <c r="O102" s="414" t="s">
        <v>3470</v>
      </c>
      <c r="P102" s="414" t="s">
        <v>3458</v>
      </c>
      <c r="Q102" s="414" t="s">
        <v>5264</v>
      </c>
      <c r="R102" s="438" t="s">
        <v>5265</v>
      </c>
      <c r="S102" s="862">
        <f>IF(COUNTIF(Psíquicos!$C$25:$E$36,E102)=0,0,1)</f>
        <v>0</v>
      </c>
      <c r="U102" s="2281" t="s">
        <v>245</v>
      </c>
      <c r="V102" s="999"/>
      <c r="W102" s="414"/>
      <c r="X102" s="999"/>
      <c r="Y102" s="999"/>
      <c r="Z102" s="999"/>
      <c r="AA102" s="999"/>
      <c r="AB102" s="999"/>
      <c r="AC102" s="999"/>
      <c r="AD102" s="999"/>
      <c r="AE102" s="999"/>
      <c r="AF102" s="999"/>
      <c r="AG102" s="999"/>
      <c r="AH102" s="2282" t="e">
        <f>IF(COUNTIF(Psíquicos!$AD$17:$AH$62,U102),VALUE(INDEX('Tablas psiquica'!$X102:$AG102,MATCH('Tablas psiquica'!$W102,'Tablas psiquica'!$X$6:$AG$6,0))),0)</f>
        <v>#N/A</v>
      </c>
      <c r="AJ102" s="2647" t="str">
        <f>IFERROR(IF(VLOOKUP(AK102,$D$7:$G$145,4,FALSE)&lt;&gt;"No",MAX(AJ$5:AJ101)+1,0),"")</f>
        <v/>
      </c>
      <c r="AK102" s="2648" t="str">
        <f t="shared" si="13"/>
        <v/>
      </c>
      <c r="AL102" s="2651"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5879</v>
      </c>
      <c r="J103" s="414" t="s">
        <v>5878</v>
      </c>
      <c r="K103" s="414" t="s">
        <v>5877</v>
      </c>
      <c r="L103" s="414" t="s">
        <v>6211</v>
      </c>
      <c r="M103" s="414" t="s">
        <v>6212</v>
      </c>
      <c r="N103" s="414" t="s">
        <v>3468</v>
      </c>
      <c r="O103" s="414" t="s">
        <v>6213</v>
      </c>
      <c r="P103" s="414" t="s">
        <v>3469</v>
      </c>
      <c r="Q103" s="414" t="s">
        <v>3470</v>
      </c>
      <c r="R103" s="438" t="s">
        <v>3458</v>
      </c>
      <c r="S103" s="862">
        <f>IF(COUNTIF(Psíquicos!$C$25:$E$36,E103)=0,0,1)</f>
        <v>0</v>
      </c>
      <c r="U103" s="2281"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2">
        <f>IF(COUNTIF(Psíquicos!$AD$17:$AH$62,U103),VALUE(INDEX('Tablas psiquica'!$X103:$AG103,MATCH('Tablas psiquica'!$W103,'Tablas psiquica'!$X$6:$AG$6,0))),0)</f>
        <v>0</v>
      </c>
      <c r="AJ103" s="2647" t="str">
        <f>IFERROR(IF(VLOOKUP(AK103,$D$7:$G$145,4,FALSE)&lt;&gt;"No",MAX(AJ$5:AJ102)+1,0),"")</f>
        <v/>
      </c>
      <c r="AK103" s="2648" t="str">
        <f t="shared" ref="AK103:AK134" si="14">IF(ISNA(VLOOKUP(A97,$B$7:$D$145,3,FALSE)),"",VLOOKUP(A97,$B$7:$D$145,3,FALSE))</f>
        <v/>
      </c>
      <c r="AL103" s="2651"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5878</v>
      </c>
      <c r="J104" s="414" t="s">
        <v>5877</v>
      </c>
      <c r="K104" s="414" t="s">
        <v>5841</v>
      </c>
      <c r="L104" s="414" t="s">
        <v>6214</v>
      </c>
      <c r="M104" s="414" t="s">
        <v>6215</v>
      </c>
      <c r="N104" s="414" t="s">
        <v>6216</v>
      </c>
      <c r="O104" s="414" t="s">
        <v>6217</v>
      </c>
      <c r="P104" s="414" t="s">
        <v>6218</v>
      </c>
      <c r="Q104" s="414" t="s">
        <v>6219</v>
      </c>
      <c r="R104" s="438" t="s">
        <v>6220</v>
      </c>
      <c r="S104" s="862">
        <f>IF(COUNTIF(Psíquicos!$C$25:$E$36,E104)=0,0,1)</f>
        <v>0</v>
      </c>
      <c r="U104" s="2281"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2">
        <f>IF(COUNTIF(Psíquicos!$AD$17:$AH$62,U104),VALUE(INDEX('Tablas psiquica'!$X104:$AG104,MATCH('Tablas psiquica'!$W104,'Tablas psiquica'!$X$6:$AG$6,0))),0)</f>
        <v>0</v>
      </c>
      <c r="AJ104" s="2647" t="str">
        <f>IFERROR(IF(VLOOKUP(AK104,$D$7:$G$145,4,FALSE)&lt;&gt;"No",MAX(AJ$5:AJ103)+1,0),"")</f>
        <v/>
      </c>
      <c r="AK104" s="2648" t="str">
        <f t="shared" si="14"/>
        <v/>
      </c>
      <c r="AL104" s="2651" t="str">
        <f>IFERROR(VLOOKUP(Tablas!$A98,$AJ$7:$AK$145,2,FALSE),"")</f>
        <v/>
      </c>
    </row>
    <row r="105" spans="1:38" ht="12.75" customHeight="1" x14ac:dyDescent="0.2">
      <c r="A105" s="865">
        <v>105</v>
      </c>
      <c r="B105" s="860">
        <f>IF(OR(S105=0),0,SUM($S$6:S105))</f>
        <v>0</v>
      </c>
      <c r="C105" s="422"/>
      <c r="D105" s="287" t="s">
        <v>214</v>
      </c>
      <c r="E105" s="414" t="s">
        <v>109</v>
      </c>
      <c r="F105" s="415">
        <v>3</v>
      </c>
      <c r="G105" s="415" t="s">
        <v>2656</v>
      </c>
      <c r="H105" s="416" t="s">
        <v>1312</v>
      </c>
      <c r="I105" s="414" t="s">
        <v>5893</v>
      </c>
      <c r="J105" s="414" t="s">
        <v>5892</v>
      </c>
      <c r="K105" s="414" t="s">
        <v>5879</v>
      </c>
      <c r="L105" s="414" t="s">
        <v>5878</v>
      </c>
      <c r="M105" s="414" t="s">
        <v>5877</v>
      </c>
      <c r="N105" s="414" t="s">
        <v>3458</v>
      </c>
      <c r="O105" s="414" t="s">
        <v>6221</v>
      </c>
      <c r="P105" s="414" t="s">
        <v>5265</v>
      </c>
      <c r="Q105" s="414" t="s">
        <v>6222</v>
      </c>
      <c r="R105" s="438" t="s">
        <v>6223</v>
      </c>
      <c r="S105" s="862">
        <f>IF(COUNTIF(Psíquicos!$C$25:$E$36,E105)=0,0,1)</f>
        <v>0</v>
      </c>
      <c r="U105" s="2281"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2">
        <f>IF(COUNTIF(Psíquicos!$AD$17:$AH$62,U105),VALUE(INDEX('Tablas psiquica'!$X105:$AG105,MATCH('Tablas psiquica'!$W105,'Tablas psiquica'!$X$6:$AG$6,0))),0)</f>
        <v>0</v>
      </c>
      <c r="AJ105" s="2647" t="str">
        <f>IFERROR(IF(VLOOKUP(AK105,$D$7:$G$145,4,FALSE)&lt;&gt;"No",MAX(AJ$5:AJ104)+1,0),"")</f>
        <v/>
      </c>
      <c r="AK105" s="2648" t="str">
        <f t="shared" si="14"/>
        <v/>
      </c>
      <c r="AL105" s="2651"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1" t="s">
        <v>249</v>
      </c>
      <c r="V106" s="414"/>
      <c r="W106" s="414"/>
      <c r="X106" s="999"/>
      <c r="Y106" s="999"/>
      <c r="Z106" s="999"/>
      <c r="AA106" s="999"/>
      <c r="AB106" s="999"/>
      <c r="AC106" s="999"/>
      <c r="AD106" s="999"/>
      <c r="AE106" s="999"/>
      <c r="AF106" s="999"/>
      <c r="AG106" s="999"/>
      <c r="AH106" s="2282" t="e">
        <f>IF(COUNTIF(Psíquicos!$AD$17:$AH$62,U106),VALUE(INDEX('Tablas psiquica'!$X106:$AG106,MATCH('Tablas psiquica'!$W106,'Tablas psiquica'!$X$6:$AG$6,0))),0)</f>
        <v>#N/A</v>
      </c>
      <c r="AJ106" s="2647" t="str">
        <f>IFERROR(IF(VLOOKUP(AK106,$D$7:$G$145,4,FALSE)&lt;&gt;"No",MAX(AJ$5:AJ105)+1,0),"")</f>
        <v/>
      </c>
      <c r="AK106" s="2648" t="str">
        <f t="shared" si="14"/>
        <v/>
      </c>
      <c r="AL106" s="2651" t="str">
        <f>IFERROR(VLOOKUP(Tablas!$A100,$AJ$7:$AK$145,2,FALSE),"")</f>
        <v/>
      </c>
    </row>
    <row r="107" spans="1:38" ht="12.75" customHeight="1" x14ac:dyDescent="0.2">
      <c r="A107" s="865">
        <v>107</v>
      </c>
      <c r="B107" s="860">
        <f>IF(OR(S107=0),0,SUM($S$6:S107))</f>
        <v>0</v>
      </c>
      <c r="C107" s="422"/>
      <c r="D107" s="287" t="s">
        <v>216</v>
      </c>
      <c r="E107" s="439" t="s">
        <v>112</v>
      </c>
      <c r="F107" s="415">
        <v>1</v>
      </c>
      <c r="G107" s="415" t="s">
        <v>2656</v>
      </c>
      <c r="H107" s="416" t="s">
        <v>1312</v>
      </c>
      <c r="I107" s="414" t="s">
        <v>5892</v>
      </c>
      <c r="J107" s="414" t="s">
        <v>5879</v>
      </c>
      <c r="K107" s="414" t="s">
        <v>5878</v>
      </c>
      <c r="L107" s="414" t="s">
        <v>5877</v>
      </c>
      <c r="M107" s="414" t="s">
        <v>5841</v>
      </c>
      <c r="N107" s="414" t="s">
        <v>6224</v>
      </c>
      <c r="O107" s="414" t="s">
        <v>5852</v>
      </c>
      <c r="P107" s="414" t="s">
        <v>6209</v>
      </c>
      <c r="Q107" s="414" t="s">
        <v>6225</v>
      </c>
      <c r="R107" s="438" t="s">
        <v>6226</v>
      </c>
      <c r="S107" s="862">
        <f>IF(COUNTIF(Psíquicos!$C$25:$E$36,E107)=0,0,1)</f>
        <v>0</v>
      </c>
      <c r="U107" s="2281"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2">
        <f>IF(COUNTIF(Psíquicos!$AD$17:$AH$62,U107),VALUE(INDEX('Tablas psiquica'!$X107:$AG107,MATCH('Tablas psiquica'!$W107,'Tablas psiquica'!$X$6:$AG$6,0))),0)</f>
        <v>0</v>
      </c>
      <c r="AJ107" s="2647" t="str">
        <f>IFERROR(IF(VLOOKUP(AK107,$D$7:$G$145,4,FALSE)&lt;&gt;"No",MAX(AJ$5:AJ106)+1,0),"")</f>
        <v/>
      </c>
      <c r="AK107" s="2648" t="str">
        <f t="shared" si="14"/>
        <v/>
      </c>
      <c r="AL107" s="2651" t="str">
        <f>IFERROR(VLOOKUP(Tablas!$A101,$AJ$7:$AK$145,2,FALSE),"")</f>
        <v/>
      </c>
    </row>
    <row r="108" spans="1:38" ht="12.75" customHeight="1" x14ac:dyDescent="0.2">
      <c r="A108" s="865">
        <v>108</v>
      </c>
      <c r="B108" s="860">
        <f>IF(OR(S108=0),0,SUM($S$6:S108))</f>
        <v>0</v>
      </c>
      <c r="C108" s="422"/>
      <c r="D108" s="287" t="s">
        <v>217</v>
      </c>
      <c r="E108" s="439" t="s">
        <v>112</v>
      </c>
      <c r="F108" s="415">
        <v>2</v>
      </c>
      <c r="G108" s="415" t="s">
        <v>2656</v>
      </c>
      <c r="H108" s="416" t="s">
        <v>1312</v>
      </c>
      <c r="I108" s="414" t="s">
        <v>5892</v>
      </c>
      <c r="J108" s="414" t="s">
        <v>5879</v>
      </c>
      <c r="K108" s="414" t="s">
        <v>5878</v>
      </c>
      <c r="L108" s="414" t="s">
        <v>5877</v>
      </c>
      <c r="M108" s="414" t="s">
        <v>5841</v>
      </c>
      <c r="N108" s="414" t="s">
        <v>6227</v>
      </c>
      <c r="O108" s="414" t="s">
        <v>6228</v>
      </c>
      <c r="P108" s="414" t="s">
        <v>6229</v>
      </c>
      <c r="Q108" s="414" t="s">
        <v>6230</v>
      </c>
      <c r="R108" s="414" t="s">
        <v>6231</v>
      </c>
      <c r="S108" s="862">
        <f>IF(COUNTIF(Psíquicos!$C$25:$E$36,E108)=0,0,1)</f>
        <v>0</v>
      </c>
      <c r="U108" s="2281"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2">
        <f>IF(COUNTIF(Psíquicos!$AD$17:$AH$62,U108),VALUE(INDEX('Tablas psiquica'!$X108:$AG108,MATCH('Tablas psiquica'!$W108,'Tablas psiquica'!$X$6:$AG$6,0))),0)</f>
        <v>0</v>
      </c>
      <c r="AJ108" s="2647" t="str">
        <f>IFERROR(IF(VLOOKUP(AK108,$D$7:$G$145,4,FALSE)&lt;&gt;"No",MAX(AJ$5:AJ107)+1,0),"")</f>
        <v/>
      </c>
      <c r="AK108" s="2648" t="str">
        <f t="shared" si="14"/>
        <v/>
      </c>
      <c r="AL108" s="2651"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5878</v>
      </c>
      <c r="J109" s="414" t="s">
        <v>5877</v>
      </c>
      <c r="K109" s="414" t="s">
        <v>5841</v>
      </c>
      <c r="L109" s="414" t="s">
        <v>5842</v>
      </c>
      <c r="M109" s="414" t="s">
        <v>6232</v>
      </c>
      <c r="N109" s="414" t="s">
        <v>6233</v>
      </c>
      <c r="O109" s="414" t="s">
        <v>6234</v>
      </c>
      <c r="P109" s="414" t="s">
        <v>6235</v>
      </c>
      <c r="Q109" s="414" t="s">
        <v>6236</v>
      </c>
      <c r="R109" s="438" t="s">
        <v>6237</v>
      </c>
      <c r="S109" s="862">
        <f>IF(COUNTIF(Psíquicos!$C$25:$E$36,E109)=0,0,1)</f>
        <v>0</v>
      </c>
      <c r="U109" s="2281"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2">
        <f>IF(COUNTIF(Psíquicos!$AD$17:$AH$62,U109),VALUE(INDEX('Tablas psiquica'!$X109:$AG109,MATCH('Tablas psiquica'!$W109,'Tablas psiquica'!$X$6:$AG$6,0))),0)</f>
        <v>0</v>
      </c>
      <c r="AJ109" s="2647" t="str">
        <f>IFERROR(IF(VLOOKUP(AK109,$D$7:$G$145,4,FALSE)&lt;&gt;"No",MAX(AJ$5:AJ108)+1,0),"")</f>
        <v/>
      </c>
      <c r="AK109" s="2648" t="str">
        <f t="shared" si="14"/>
        <v/>
      </c>
      <c r="AL109" s="2651"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2656</v>
      </c>
      <c r="H110" s="416" t="s">
        <v>1312</v>
      </c>
      <c r="I110" s="414" t="s">
        <v>5892</v>
      </c>
      <c r="J110" s="414" t="s">
        <v>5879</v>
      </c>
      <c r="K110" s="414" t="s">
        <v>5878</v>
      </c>
      <c r="L110" s="414" t="s">
        <v>5877</v>
      </c>
      <c r="M110" s="414" t="s">
        <v>5841</v>
      </c>
      <c r="N110" s="414" t="s">
        <v>6224</v>
      </c>
      <c r="O110" s="414" t="s">
        <v>5852</v>
      </c>
      <c r="P110" s="414" t="s">
        <v>6238</v>
      </c>
      <c r="Q110" s="414" t="s">
        <v>6239</v>
      </c>
      <c r="R110" s="414" t="s">
        <v>6240</v>
      </c>
      <c r="S110" s="862">
        <f>IF(COUNTIF(Psíquicos!$C$25:$E$36,E110)=0,0,1)</f>
        <v>0</v>
      </c>
      <c r="U110" s="2283" t="s">
        <v>253</v>
      </c>
      <c r="V110" s="440" t="str">
        <f>INDEX($I$6:$R$6,SUMPRODUCT(ISNUMBER(SEARCH("Fatiga",I145:R145))*1)+1)</f>
        <v>DIF</v>
      </c>
      <c r="W110" s="440" t="str">
        <f>IFERROR(VLOOKUP(U110,Psíquicos!$AD$11:$AK$64,8,FALSE),V110)</f>
        <v>DIF</v>
      </c>
      <c r="X110" s="2284"/>
      <c r="Y110" s="2284"/>
      <c r="Z110" s="2284"/>
      <c r="AA110" s="2284"/>
      <c r="AB110" s="2284"/>
      <c r="AC110" s="2284"/>
      <c r="AD110" s="2284"/>
      <c r="AE110" s="2284"/>
      <c r="AF110" s="2284"/>
      <c r="AG110" s="2284"/>
      <c r="AH110" s="2285">
        <f>IF(COUNTIF(Psíquicos!$AD$17:$AH$62,U110),VALUE(INDEX('Tablas psiquica'!$X110:$AG110,MATCH('Tablas psiquica'!$W110,'Tablas psiquica'!$X$6:$AG$6,0))),0)</f>
        <v>0</v>
      </c>
      <c r="AJ110" s="2647" t="str">
        <f>IFERROR(IF(VLOOKUP(AK110,$D$7:$G$145,4,FALSE)&lt;&gt;"No",MAX(AJ$5:AJ109)+1,0),"")</f>
        <v/>
      </c>
      <c r="AK110" s="2648" t="str">
        <f t="shared" si="14"/>
        <v/>
      </c>
      <c r="AL110" s="2651"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5893</v>
      </c>
      <c r="J111" s="414" t="s">
        <v>5892</v>
      </c>
      <c r="K111" s="414" t="s">
        <v>5879</v>
      </c>
      <c r="L111" s="414" t="s">
        <v>5878</v>
      </c>
      <c r="M111" s="414" t="s">
        <v>5877</v>
      </c>
      <c r="N111" s="414" t="s">
        <v>5841</v>
      </c>
      <c r="O111" s="414" t="s">
        <v>6241</v>
      </c>
      <c r="P111" s="414" t="s">
        <v>6242</v>
      </c>
      <c r="Q111" s="414" t="s">
        <v>6243</v>
      </c>
      <c r="R111" s="438" t="s">
        <v>6244</v>
      </c>
      <c r="S111" s="862">
        <f>IF(COUNTIF(Psíquicos!$C$25:$E$36,E111)=0,0,1)</f>
        <v>0</v>
      </c>
      <c r="AJ111" s="2647" t="str">
        <f>IFERROR(IF(VLOOKUP(AK111,$D$7:$G$145,4,FALSE)&lt;&gt;"No",MAX(AJ$5:AJ110)+1,0),"")</f>
        <v/>
      </c>
      <c r="AK111" s="2648" t="str">
        <f t="shared" si="14"/>
        <v/>
      </c>
      <c r="AL111" s="2651"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960" t="s">
        <v>9010</v>
      </c>
      <c r="V112" s="5961"/>
      <c r="W112" s="5961"/>
      <c r="X112" s="5961"/>
      <c r="Y112" s="5961"/>
      <c r="Z112" s="5961"/>
      <c r="AA112" s="5961"/>
      <c r="AB112" s="5961"/>
      <c r="AC112" s="5961"/>
      <c r="AD112" s="5961"/>
      <c r="AE112" s="5961"/>
      <c r="AF112" s="5961"/>
      <c r="AG112" s="5961"/>
      <c r="AH112" s="5962"/>
      <c r="AJ112" s="2647" t="str">
        <f>IFERROR(IF(VLOOKUP(AK112,$D$7:$G$145,4,FALSE)&lt;&gt;"No",MAX(AJ$5:AJ111)+1,0),"")</f>
        <v/>
      </c>
      <c r="AK112" s="2648" t="str">
        <f t="shared" si="14"/>
        <v/>
      </c>
      <c r="AL112" s="2651"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5877</v>
      </c>
      <c r="J113" s="414" t="s">
        <v>5841</v>
      </c>
      <c r="K113" s="414" t="s">
        <v>5842</v>
      </c>
      <c r="L113" s="414" t="s">
        <v>6026</v>
      </c>
      <c r="M113" s="414" t="s">
        <v>6245</v>
      </c>
      <c r="N113" s="414" t="s">
        <v>6027</v>
      </c>
      <c r="O113" s="414" t="s">
        <v>6246</v>
      </c>
      <c r="P113" s="414" t="s">
        <v>6247</v>
      </c>
      <c r="Q113" s="414" t="s">
        <v>6248</v>
      </c>
      <c r="R113" s="438" t="s">
        <v>6249</v>
      </c>
      <c r="S113" s="862">
        <f>IF(COUNTIF(Psíquicos!$C$25:$E$36,E113)=0,0,1)</f>
        <v>0</v>
      </c>
      <c r="U113" s="1876" t="s">
        <v>99</v>
      </c>
      <c r="V113" s="1877" t="s">
        <v>101</v>
      </c>
      <c r="W113" s="1877" t="s">
        <v>103</v>
      </c>
      <c r="X113" s="1877" t="s">
        <v>105</v>
      </c>
      <c r="Y113" s="1877" t="s">
        <v>8997</v>
      </c>
      <c r="Z113" s="1877" t="s">
        <v>108</v>
      </c>
      <c r="AA113" s="1877" t="s">
        <v>111</v>
      </c>
      <c r="AB113" s="1877" t="s">
        <v>109</v>
      </c>
      <c r="AC113" s="1877" t="s">
        <v>112</v>
      </c>
      <c r="AD113" s="1877" t="s">
        <v>113</v>
      </c>
      <c r="AE113" s="1877" t="s">
        <v>115</v>
      </c>
      <c r="AF113" s="1877" t="s">
        <v>1708</v>
      </c>
      <c r="AG113" s="1877" t="s">
        <v>116</v>
      </c>
      <c r="AH113" s="2308" t="s">
        <v>6360</v>
      </c>
      <c r="AJ113" s="2647" t="str">
        <f>IFERROR(IF(VLOOKUP(AK113,$D$7:$G$145,4,FALSE)&lt;&gt;"No",MAX(AJ$5:AJ112)+1,0),"")</f>
        <v/>
      </c>
      <c r="AK113" s="2648" t="str">
        <f t="shared" si="14"/>
        <v/>
      </c>
      <c r="AL113" s="2651"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2656</v>
      </c>
      <c r="H114" s="416" t="s">
        <v>1312</v>
      </c>
      <c r="I114" s="414" t="s">
        <v>5841</v>
      </c>
      <c r="J114" s="414" t="s">
        <v>5842</v>
      </c>
      <c r="K114" s="414" t="s">
        <v>3621</v>
      </c>
      <c r="L114" s="414" t="s">
        <v>4863</v>
      </c>
      <c r="M114" s="414" t="s">
        <v>3622</v>
      </c>
      <c r="N114" s="414" t="s">
        <v>5975</v>
      </c>
      <c r="O114" s="414" t="s">
        <v>3623</v>
      </c>
      <c r="P114" s="414" t="s">
        <v>5976</v>
      </c>
      <c r="Q114" s="414" t="s">
        <v>5977</v>
      </c>
      <c r="R114" s="414" t="s">
        <v>3624</v>
      </c>
      <c r="S114" s="862">
        <f>IF(COUNTIF(Psíquicos!$C$25:$E$36,E114)=0,0,1)</f>
        <v>0</v>
      </c>
      <c r="U114" s="1878">
        <f>IF(ISNA(VLOOKUP(U113,Psíquicos!$C$25:$E$36,1,0)),0,1)</f>
        <v>0</v>
      </c>
      <c r="V114" s="1879">
        <f>IF(ISNA(VLOOKUP(V113,Psíquicos!$C$25:$E$36,1,0)),0,1)</f>
        <v>0</v>
      </c>
      <c r="W114" s="1879">
        <f>IF(ISNA(VLOOKUP(W113,Psíquicos!$C$25:$E$36,1,0)),0,1)</f>
        <v>0</v>
      </c>
      <c r="X114" s="1879">
        <f>IF(ISNA(VLOOKUP(X113,Psíquicos!$C$25:$E$36,1,0)),0,1)</f>
        <v>0</v>
      </c>
      <c r="Y114" s="1879">
        <f>IF(ISNA(VLOOKUP(Y113,Psíquicos!$C$25:$E$36,1,0)),0,1)</f>
        <v>0</v>
      </c>
      <c r="Z114" s="1879">
        <f>IF(ISNA(VLOOKUP(Z113,Psíquicos!$C$25:$E$36,1,0)),0,1)</f>
        <v>0</v>
      </c>
      <c r="AA114" s="1879">
        <f>IF(ISNA(VLOOKUP(AA113,Psíquicos!$C$25:$E$36,1,0)),0,1)</f>
        <v>0</v>
      </c>
      <c r="AB114" s="1879">
        <f>IF(ISNA(VLOOKUP(AB113,Psíquicos!$C$25:$E$36,1,0)),0,1)</f>
        <v>0</v>
      </c>
      <c r="AC114" s="1879">
        <f>IF(ISNA(VLOOKUP(AC113,Psíquicos!$C$25:$E$36,1,0)),0,1)</f>
        <v>0</v>
      </c>
      <c r="AD114" s="1879">
        <f>IF(ISNA(VLOOKUP(AD113,Psíquicos!$C$25:$E$36,1,0)),0,1)</f>
        <v>0</v>
      </c>
      <c r="AE114" s="1879">
        <f>IF(ISNA(VLOOKUP(AE113,Psíquicos!$C$25:$E$36,1,0)),0,1)</f>
        <v>0</v>
      </c>
      <c r="AF114" s="1879">
        <f>IF(ISNA(VLOOKUP(AF113,Psíquicos!$C$25:$E$36,1,0)),0,1)</f>
        <v>0</v>
      </c>
      <c r="AG114" s="1879">
        <f>IF(ISNA(VLOOKUP(AG113,Psíquicos!$C$25:$E$36,1,0)),0,1)</f>
        <v>0</v>
      </c>
      <c r="AH114" s="2309">
        <f>IF(ISNA(VLOOKUP(AH113,Psíquicos!$C$25:$E$36,1,0)),0,1)</f>
        <v>0</v>
      </c>
      <c r="AJ114" s="2647" t="str">
        <f>IFERROR(IF(VLOOKUP(AK114,$D$7:$G$145,4,FALSE)&lt;&gt;"No",MAX(AJ$5:AJ113)+1,0),"")</f>
        <v/>
      </c>
      <c r="AK114" s="2648" t="str">
        <f t="shared" si="14"/>
        <v/>
      </c>
      <c r="AL114" s="2651" t="str">
        <f>IFERROR(VLOOKUP(Tablas!$A108,$AJ$7:$AK$145,2,FALSE),"")</f>
        <v/>
      </c>
    </row>
    <row r="115" spans="1:38" ht="12.75" customHeight="1" x14ac:dyDescent="0.2">
      <c r="A115" s="865">
        <v>115</v>
      </c>
      <c r="B115" s="860">
        <f>IF(OR(S115=0),0,SUM($S$6:S115))</f>
        <v>0</v>
      </c>
      <c r="C115" s="422"/>
      <c r="D115" s="287" t="s">
        <v>224</v>
      </c>
      <c r="E115" s="439" t="s">
        <v>113</v>
      </c>
      <c r="F115" s="415">
        <v>1</v>
      </c>
      <c r="G115" s="415" t="s">
        <v>2656</v>
      </c>
      <c r="H115" s="416" t="s">
        <v>1312</v>
      </c>
      <c r="I115" s="414" t="s">
        <v>5841</v>
      </c>
      <c r="J115" s="414" t="s">
        <v>5842</v>
      </c>
      <c r="K115" s="414" t="s">
        <v>6250</v>
      </c>
      <c r="L115" s="414" t="s">
        <v>6251</v>
      </c>
      <c r="M115" s="414" t="s">
        <v>6252</v>
      </c>
      <c r="N115" s="414" t="s">
        <v>6253</v>
      </c>
      <c r="O115" s="414" t="s">
        <v>6254</v>
      </c>
      <c r="P115" s="414" t="s">
        <v>6255</v>
      </c>
      <c r="Q115" s="414" t="s">
        <v>6256</v>
      </c>
      <c r="R115" s="414" t="s">
        <v>6257</v>
      </c>
      <c r="S115" s="862">
        <f>IF(COUNTIF(Psíquicos!$C$25:$E$36,E115)=0,0,1)</f>
        <v>0</v>
      </c>
      <c r="U115" s="1880" t="s">
        <v>120</v>
      </c>
      <c r="V115" s="1881" t="s">
        <v>136</v>
      </c>
      <c r="W115" s="1881" t="s">
        <v>151</v>
      </c>
      <c r="X115" s="1881" t="s">
        <v>163</v>
      </c>
      <c r="Y115" s="1881" t="s">
        <v>177</v>
      </c>
      <c r="Z115" s="1881" t="s">
        <v>189</v>
      </c>
      <c r="AA115" s="1881" t="s">
        <v>201</v>
      </c>
      <c r="AB115" s="1881" t="s">
        <v>211</v>
      </c>
      <c r="AC115" s="1881" t="s">
        <v>216</v>
      </c>
      <c r="AD115" s="1881" t="s">
        <v>222</v>
      </c>
      <c r="AE115" s="1882" t="s">
        <v>232</v>
      </c>
      <c r="AF115" s="1882" t="s">
        <v>239</v>
      </c>
      <c r="AG115" s="1882" t="s">
        <v>246</v>
      </c>
      <c r="AH115" s="2310" t="s">
        <v>250</v>
      </c>
      <c r="AJ115" s="2647" t="str">
        <f>IFERROR(IF(VLOOKUP(AK115,$D$7:$G$145,4,FALSE)&lt;&gt;"No",MAX(AJ$5:AJ114)+1,0),"")</f>
        <v/>
      </c>
      <c r="AK115" s="2648" t="str">
        <f t="shared" si="14"/>
        <v/>
      </c>
      <c r="AL115" s="2651" t="str">
        <f>IFERROR(VLOOKUP(Tablas!$A109,$AJ$7:$AK$145,2,FALSE),"")</f>
        <v/>
      </c>
    </row>
    <row r="116" spans="1:38" ht="12.75" customHeight="1" x14ac:dyDescent="0.2">
      <c r="A116" s="865">
        <v>116</v>
      </c>
      <c r="B116" s="860">
        <f>IF(OR(S116=0),0,SUM($S$6:S116))</f>
        <v>0</v>
      </c>
      <c r="C116" s="422"/>
      <c r="D116" s="287" t="s">
        <v>225</v>
      </c>
      <c r="E116" s="439" t="s">
        <v>113</v>
      </c>
      <c r="F116" s="415">
        <v>1</v>
      </c>
      <c r="G116" s="415" t="s">
        <v>2656</v>
      </c>
      <c r="H116" s="416" t="s">
        <v>1312</v>
      </c>
      <c r="I116" s="414" t="s">
        <v>5877</v>
      </c>
      <c r="J116" s="414" t="s">
        <v>5841</v>
      </c>
      <c r="K116" s="414" t="s">
        <v>5842</v>
      </c>
      <c r="L116" s="414" t="s">
        <v>6258</v>
      </c>
      <c r="M116" s="414" t="s">
        <v>6259</v>
      </c>
      <c r="N116" s="414" t="s">
        <v>6260</v>
      </c>
      <c r="O116" s="414" t="s">
        <v>6261</v>
      </c>
      <c r="P116" s="414" t="s">
        <v>6262</v>
      </c>
      <c r="Q116" s="414" t="s">
        <v>6263</v>
      </c>
      <c r="R116" s="438" t="s">
        <v>6264</v>
      </c>
      <c r="S116" s="864">
        <f>S117</f>
        <v>0</v>
      </c>
      <c r="U116" s="1880" t="s">
        <v>121</v>
      </c>
      <c r="V116" s="1881" t="s">
        <v>137</v>
      </c>
      <c r="W116" s="1881" t="s">
        <v>152</v>
      </c>
      <c r="X116" s="1881" t="s">
        <v>164</v>
      </c>
      <c r="Y116" s="1881" t="s">
        <v>178</v>
      </c>
      <c r="Z116" s="1881" t="s">
        <v>190</v>
      </c>
      <c r="AA116" s="1881" t="s">
        <v>202</v>
      </c>
      <c r="AB116" s="1881" t="s">
        <v>212</v>
      </c>
      <c r="AC116" s="1881" t="s">
        <v>217</v>
      </c>
      <c r="AD116" s="1881" t="s">
        <v>223</v>
      </c>
      <c r="AE116" s="1882" t="s">
        <v>233</v>
      </c>
      <c r="AF116" s="1882" t="s">
        <v>240</v>
      </c>
      <c r="AG116" s="1882" t="s">
        <v>247</v>
      </c>
      <c r="AH116" s="2310" t="s">
        <v>251</v>
      </c>
      <c r="AJ116" s="2647" t="str">
        <f>IFERROR(IF(VLOOKUP(AK116,$D$7:$G$145,4,FALSE)&lt;&gt;"No",MAX(AJ$5:AJ115)+1,0),"")</f>
        <v/>
      </c>
      <c r="AK116" s="2648" t="str">
        <f t="shared" si="14"/>
        <v/>
      </c>
      <c r="AL116" s="2651" t="str">
        <f>IFERROR(VLOOKUP(Tablas!$A110,$AJ$7:$AK$145,2,FALSE),"")</f>
        <v/>
      </c>
    </row>
    <row r="117" spans="1:38" ht="12.75" customHeight="1" x14ac:dyDescent="0.2">
      <c r="A117" s="865">
        <v>117</v>
      </c>
      <c r="B117" s="860">
        <f>IF(OR(S117=0),0,SUM($S$6:S117))</f>
        <v>0</v>
      </c>
      <c r="C117" s="422"/>
      <c r="D117" s="287" t="s">
        <v>226</v>
      </c>
      <c r="E117" s="439" t="s">
        <v>113</v>
      </c>
      <c r="F117" s="415">
        <v>2</v>
      </c>
      <c r="G117" s="415" t="s">
        <v>2656</v>
      </c>
      <c r="H117" s="416" t="s">
        <v>1313</v>
      </c>
      <c r="I117" s="414" t="s">
        <v>5877</v>
      </c>
      <c r="J117" s="414" t="s">
        <v>5841</v>
      </c>
      <c r="K117" s="414" t="s">
        <v>5842</v>
      </c>
      <c r="L117" s="414" t="s">
        <v>6039</v>
      </c>
      <c r="M117" s="414" t="s">
        <v>6040</v>
      </c>
      <c r="N117" s="414" t="s">
        <v>6041</v>
      </c>
      <c r="O117" s="414" t="s">
        <v>6265</v>
      </c>
      <c r="P117" s="414" t="s">
        <v>6266</v>
      </c>
      <c r="Q117" s="414" t="s">
        <v>6267</v>
      </c>
      <c r="R117" s="414" t="s">
        <v>6268</v>
      </c>
      <c r="S117" s="862">
        <f>IF(COUNTIF(Psíquicos!$C$25:$E$36,E117)=0,0,1)</f>
        <v>0</v>
      </c>
      <c r="U117" s="1880" t="s">
        <v>122</v>
      </c>
      <c r="V117" s="1881" t="s">
        <v>138</v>
      </c>
      <c r="W117" s="1881" t="s">
        <v>153</v>
      </c>
      <c r="X117" s="1881" t="s">
        <v>165</v>
      </c>
      <c r="Y117" s="1881" t="s">
        <v>179</v>
      </c>
      <c r="Z117" s="1881" t="s">
        <v>191</v>
      </c>
      <c r="AA117" s="1881" t="s">
        <v>203</v>
      </c>
      <c r="AB117" s="1881" t="s">
        <v>213</v>
      </c>
      <c r="AC117" s="1881" t="s">
        <v>218</v>
      </c>
      <c r="AD117" s="1881" t="s">
        <v>224</v>
      </c>
      <c r="AE117" s="1882" t="s">
        <v>234</v>
      </c>
      <c r="AF117" s="1882" t="s">
        <v>241</v>
      </c>
      <c r="AG117" s="1882" t="s">
        <v>248</v>
      </c>
      <c r="AH117" s="2310" t="s">
        <v>252</v>
      </c>
      <c r="AJ117" s="2647" t="str">
        <f>IFERROR(IF(VLOOKUP(AK117,$D$7:$G$145,4,FALSE)&lt;&gt;"No",MAX(AJ$5:AJ116)+1,0),"")</f>
        <v/>
      </c>
      <c r="AK117" s="2648" t="str">
        <f t="shared" si="14"/>
        <v/>
      </c>
      <c r="AL117" s="2651" t="str">
        <f>IFERROR(VLOOKUP(Tablas!$A111,$AJ$7:$AK$145,2,FALSE),"")</f>
        <v/>
      </c>
    </row>
    <row r="118" spans="1:38" ht="12.75" customHeight="1" x14ac:dyDescent="0.2">
      <c r="A118" s="865">
        <v>118</v>
      </c>
      <c r="B118" s="860">
        <f>IF(OR(S118=0),0,SUM($S$6:S118))</f>
        <v>0</v>
      </c>
      <c r="C118" s="422"/>
      <c r="D118" s="287" t="s">
        <v>227</v>
      </c>
      <c r="E118" s="439" t="s">
        <v>113</v>
      </c>
      <c r="F118" s="415">
        <v>2</v>
      </c>
      <c r="G118" s="415" t="s">
        <v>2656</v>
      </c>
      <c r="H118" s="416" t="s">
        <v>1312</v>
      </c>
      <c r="I118" s="414" t="s">
        <v>5877</v>
      </c>
      <c r="J118" s="414" t="s">
        <v>5841</v>
      </c>
      <c r="K118" s="414" t="s">
        <v>5842</v>
      </c>
      <c r="L118" s="414" t="s">
        <v>6269</v>
      </c>
      <c r="M118" s="414" t="s">
        <v>6270</v>
      </c>
      <c r="N118" s="414" t="s">
        <v>6271</v>
      </c>
      <c r="O118" s="414" t="s">
        <v>6272</v>
      </c>
      <c r="P118" s="414" t="s">
        <v>6273</v>
      </c>
      <c r="Q118" s="414" t="s">
        <v>6274</v>
      </c>
      <c r="R118" s="414" t="s">
        <v>6275</v>
      </c>
      <c r="S118" s="862">
        <f>IF(COUNTIF(Psíquicos!$C$25:$E$36,E118)=0,0,1)</f>
        <v>0</v>
      </c>
      <c r="U118" s="1880" t="s">
        <v>123</v>
      </c>
      <c r="V118" s="1881" t="s">
        <v>139</v>
      </c>
      <c r="W118" s="1881" t="s">
        <v>154</v>
      </c>
      <c r="X118" s="1881" t="s">
        <v>166</v>
      </c>
      <c r="Y118" s="1881" t="s">
        <v>1691</v>
      </c>
      <c r="Z118" s="1881" t="s">
        <v>192</v>
      </c>
      <c r="AA118" s="1881" t="s">
        <v>204</v>
      </c>
      <c r="AB118" s="1881" t="s">
        <v>214</v>
      </c>
      <c r="AC118" s="1881" t="s">
        <v>219</v>
      </c>
      <c r="AD118" s="1881" t="s">
        <v>225</v>
      </c>
      <c r="AE118" s="1882" t="s">
        <v>235</v>
      </c>
      <c r="AF118" s="1882" t="s">
        <v>242</v>
      </c>
      <c r="AG118" s="1882"/>
      <c r="AH118" s="2310" t="s">
        <v>253</v>
      </c>
      <c r="AJ118" s="2647" t="str">
        <f>IFERROR(IF(VLOOKUP(AK118,$D$7:$G$145,4,FALSE)&lt;&gt;"No",MAX(AJ$5:AJ117)+1,0),"")</f>
        <v/>
      </c>
      <c r="AK118" s="2648" t="str">
        <f t="shared" si="14"/>
        <v/>
      </c>
      <c r="AL118" s="2651"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5877</v>
      </c>
      <c r="J119" s="414" t="s">
        <v>5841</v>
      </c>
      <c r="K119" s="414" t="s">
        <v>5842</v>
      </c>
      <c r="L119" s="414" t="s">
        <v>5004</v>
      </c>
      <c r="M119" s="414" t="s">
        <v>4744</v>
      </c>
      <c r="N119" s="414" t="s">
        <v>3515</v>
      </c>
      <c r="O119" s="414" t="s">
        <v>4745</v>
      </c>
      <c r="P119" s="414" t="s">
        <v>6276</v>
      </c>
      <c r="Q119" s="414" t="s">
        <v>4746</v>
      </c>
      <c r="R119" s="414" t="s">
        <v>3842</v>
      </c>
      <c r="S119" s="862">
        <f>IF(COUNTIF(Psíquicos!$C$25:$E$36,E119)=0,0,1)</f>
        <v>0</v>
      </c>
      <c r="U119" s="1880" t="s">
        <v>124</v>
      </c>
      <c r="V119" s="1881" t="s">
        <v>140</v>
      </c>
      <c r="W119" s="1881" t="s">
        <v>155</v>
      </c>
      <c r="X119" s="1881" t="s">
        <v>167</v>
      </c>
      <c r="Y119" s="1881" t="s">
        <v>180</v>
      </c>
      <c r="Z119" s="1881" t="s">
        <v>193</v>
      </c>
      <c r="AA119" s="1881" t="s">
        <v>205</v>
      </c>
      <c r="AB119" s="1882"/>
      <c r="AC119" s="1881" t="s">
        <v>220</v>
      </c>
      <c r="AD119" s="1881" t="s">
        <v>226</v>
      </c>
      <c r="AE119" s="1882" t="s">
        <v>236</v>
      </c>
      <c r="AF119" s="1882" t="s">
        <v>243</v>
      </c>
      <c r="AG119" s="1882"/>
      <c r="AH119" s="2310"/>
      <c r="AJ119" s="2647" t="str">
        <f>IFERROR(IF(VLOOKUP(AK119,$D$7:$G$145,4,FALSE)&lt;&gt;"No",MAX(AJ$5:AJ118)+1,0),"")</f>
        <v/>
      </c>
      <c r="AK119" s="2648" t="str">
        <f t="shared" si="14"/>
        <v/>
      </c>
      <c r="AL119" s="2651"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5892</v>
      </c>
      <c r="J120" s="414" t="s">
        <v>6277</v>
      </c>
      <c r="K120" s="414" t="s">
        <v>5879</v>
      </c>
      <c r="L120" s="414" t="s">
        <v>5878</v>
      </c>
      <c r="M120" s="414" t="s">
        <v>5877</v>
      </c>
      <c r="N120" s="414" t="s">
        <v>5841</v>
      </c>
      <c r="O120" s="425" t="s">
        <v>6278</v>
      </c>
      <c r="P120" s="425" t="s">
        <v>6279</v>
      </c>
      <c r="Q120" s="425" t="s">
        <v>6280</v>
      </c>
      <c r="R120" s="425" t="s">
        <v>6281</v>
      </c>
      <c r="S120" s="862">
        <f>IF(COUNTIF(Psíquicos!$C$25:$E$36,E120)=0,0,1)</f>
        <v>0</v>
      </c>
      <c r="U120" s="1880" t="s">
        <v>125</v>
      </c>
      <c r="V120" s="1881" t="s">
        <v>141</v>
      </c>
      <c r="W120" s="1881" t="s">
        <v>156</v>
      </c>
      <c r="X120" s="1881" t="s">
        <v>168</v>
      </c>
      <c r="Y120" s="1881" t="s">
        <v>181</v>
      </c>
      <c r="Z120" s="1881" t="s">
        <v>194</v>
      </c>
      <c r="AA120" s="1881" t="s">
        <v>206</v>
      </c>
      <c r="AB120" s="1882"/>
      <c r="AC120" s="1882"/>
      <c r="AD120" s="1881" t="s">
        <v>227</v>
      </c>
      <c r="AE120" s="1882" t="s">
        <v>237</v>
      </c>
      <c r="AF120" s="1882" t="s">
        <v>244</v>
      </c>
      <c r="AG120" s="1882"/>
      <c r="AH120" s="2310"/>
      <c r="AJ120" s="2647" t="str">
        <f>IFERROR(IF(VLOOKUP(AK120,$D$7:$G$145,4,FALSE)&lt;&gt;"No",MAX(AJ$5:AJ119)+1,0),"")</f>
        <v/>
      </c>
      <c r="AK120" s="2648" t="str">
        <f t="shared" si="14"/>
        <v/>
      </c>
      <c r="AL120" s="2651"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5892</v>
      </c>
      <c r="J121" s="414" t="s">
        <v>6277</v>
      </c>
      <c r="K121" s="414" t="s">
        <v>5879</v>
      </c>
      <c r="L121" s="414" t="s">
        <v>5878</v>
      </c>
      <c r="M121" s="414" t="s">
        <v>5877</v>
      </c>
      <c r="N121" s="414" t="s">
        <v>5841</v>
      </c>
      <c r="O121" s="425" t="s">
        <v>6282</v>
      </c>
      <c r="P121" s="425" t="s">
        <v>6283</v>
      </c>
      <c r="Q121" s="414" t="s">
        <v>6284</v>
      </c>
      <c r="R121" s="414" t="s">
        <v>6285</v>
      </c>
      <c r="S121" s="862">
        <f>IF(COUNTIF(Psíquicos!$C$25:$E$36,E121)=0,0,1)</f>
        <v>0</v>
      </c>
      <c r="U121" s="1880" t="s">
        <v>126</v>
      </c>
      <c r="V121" s="1881" t="s">
        <v>142</v>
      </c>
      <c r="W121" s="1881" t="s">
        <v>157</v>
      </c>
      <c r="X121" s="1881" t="s">
        <v>169</v>
      </c>
      <c r="Y121" s="1881" t="s">
        <v>182</v>
      </c>
      <c r="Z121" s="1881" t="s">
        <v>195</v>
      </c>
      <c r="AA121" s="1881" t="s">
        <v>207</v>
      </c>
      <c r="AB121" s="1882"/>
      <c r="AC121" s="1882"/>
      <c r="AD121" s="1881" t="s">
        <v>228</v>
      </c>
      <c r="AE121" s="1882" t="s">
        <v>115</v>
      </c>
      <c r="AF121" s="1882"/>
      <c r="AG121" s="1882"/>
      <c r="AH121" s="2310"/>
      <c r="AJ121" s="2647" t="str">
        <f>IFERROR(IF(VLOOKUP(AK121,$D$7:$G$145,4,FALSE)&lt;&gt;"No",MAX(AJ$5:AJ120)+1,0),"")</f>
        <v/>
      </c>
      <c r="AK121" s="2648" t="str">
        <f t="shared" si="14"/>
        <v/>
      </c>
      <c r="AL121" s="2651"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80" t="s">
        <v>127</v>
      </c>
      <c r="V122" s="1881" t="s">
        <v>143</v>
      </c>
      <c r="W122" s="1881" t="s">
        <v>158</v>
      </c>
      <c r="X122" s="1881" t="s">
        <v>170</v>
      </c>
      <c r="Y122" s="1881" t="s">
        <v>183</v>
      </c>
      <c r="Z122" s="1881" t="s">
        <v>196</v>
      </c>
      <c r="AA122" s="1881" t="s">
        <v>208</v>
      </c>
      <c r="AB122" s="1882"/>
      <c r="AC122" s="1882"/>
      <c r="AD122" s="1881" t="s">
        <v>229</v>
      </c>
      <c r="AE122" s="1882"/>
      <c r="AF122" s="1882"/>
      <c r="AG122" s="1882"/>
      <c r="AH122" s="2310"/>
      <c r="AJ122" s="2647" t="str">
        <f>IFERROR(IF(VLOOKUP(AK122,$D$7:$G$145,4,FALSE)&lt;&gt;"No",MAX(AJ$5:AJ121)+1,0),"")</f>
        <v/>
      </c>
      <c r="AK122" s="2648" t="str">
        <f t="shared" si="14"/>
        <v/>
      </c>
      <c r="AL122" s="2651"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5841</v>
      </c>
      <c r="J123" s="414" t="s">
        <v>5842</v>
      </c>
      <c r="K123" s="414" t="s">
        <v>6286</v>
      </c>
      <c r="L123" s="414" t="s">
        <v>6287</v>
      </c>
      <c r="M123" s="414" t="s">
        <v>6288</v>
      </c>
      <c r="N123" s="414" t="s">
        <v>6289</v>
      </c>
      <c r="O123" s="414" t="s">
        <v>6290</v>
      </c>
      <c r="P123" s="414" t="s">
        <v>6291</v>
      </c>
      <c r="Q123" s="414" t="s">
        <v>6292</v>
      </c>
      <c r="R123" s="414" t="s">
        <v>6293</v>
      </c>
      <c r="S123" s="862">
        <f>IF(COUNTIF(Psíquicos!$C$25:$E$36,E123)=0,0,1)</f>
        <v>0</v>
      </c>
      <c r="U123" s="1880" t="s">
        <v>128</v>
      </c>
      <c r="V123" s="1881" t="s">
        <v>144</v>
      </c>
      <c r="W123" s="1881" t="s">
        <v>159</v>
      </c>
      <c r="X123" s="1881" t="s">
        <v>171</v>
      </c>
      <c r="Y123" s="1881" t="s">
        <v>184</v>
      </c>
      <c r="Z123" s="1881" t="s">
        <v>197</v>
      </c>
      <c r="AA123" s="1881" t="s">
        <v>209</v>
      </c>
      <c r="AB123" s="1882"/>
      <c r="AC123" s="1882"/>
      <c r="AD123" s="1881" t="s">
        <v>230</v>
      </c>
      <c r="AE123" s="1882"/>
      <c r="AF123" s="1882"/>
      <c r="AG123" s="1882"/>
      <c r="AH123" s="2310"/>
      <c r="AJ123" s="2647" t="str">
        <f>IFERROR(IF(VLOOKUP(AK123,$D$7:$G$145,4,FALSE)&lt;&gt;"No",MAX(AJ$5:AJ122)+1,0),"")</f>
        <v/>
      </c>
      <c r="AK123" s="2648" t="str">
        <f t="shared" si="14"/>
        <v/>
      </c>
      <c r="AL123" s="2651"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5878</v>
      </c>
      <c r="J124" s="414" t="s">
        <v>5877</v>
      </c>
      <c r="K124" s="414" t="s">
        <v>5841</v>
      </c>
      <c r="L124" s="414" t="s">
        <v>6294</v>
      </c>
      <c r="M124" s="414" t="s">
        <v>6295</v>
      </c>
      <c r="N124" s="414" t="s">
        <v>5894</v>
      </c>
      <c r="O124" s="414" t="s">
        <v>6296</v>
      </c>
      <c r="P124" s="414" t="s">
        <v>6224</v>
      </c>
      <c r="Q124" s="414" t="s">
        <v>5851</v>
      </c>
      <c r="R124" s="414" t="s">
        <v>6297</v>
      </c>
      <c r="S124" s="862">
        <f>IF(COUNTIF(Psíquicos!$C$25:$E$36,E124)=0,0,1)</f>
        <v>0</v>
      </c>
      <c r="U124" s="1880" t="s">
        <v>129</v>
      </c>
      <c r="V124" s="1881" t="s">
        <v>145</v>
      </c>
      <c r="W124" s="1881" t="s">
        <v>160</v>
      </c>
      <c r="X124" s="1881" t="s">
        <v>172</v>
      </c>
      <c r="Y124" s="1881" t="s">
        <v>1376</v>
      </c>
      <c r="Z124" s="1881" t="s">
        <v>198</v>
      </c>
      <c r="AA124" s="1881" t="s">
        <v>134</v>
      </c>
      <c r="AB124" s="1882"/>
      <c r="AC124" s="1882"/>
      <c r="AD124" s="1882"/>
      <c r="AE124" s="1882"/>
      <c r="AF124" s="1882"/>
      <c r="AG124" s="1882"/>
      <c r="AH124" s="2310"/>
      <c r="AJ124" s="2647" t="str">
        <f>IFERROR(IF(VLOOKUP(AK124,$D$7:$G$145,4,FALSE)&lt;&gt;"No",MAX(AJ$5:AJ123)+1,0),"")</f>
        <v/>
      </c>
      <c r="AK124" s="2648" t="str">
        <f t="shared" si="14"/>
        <v/>
      </c>
      <c r="AL124" s="2651" t="str">
        <f>IFERROR(VLOOKUP(Tablas!$A118,$AJ$7:$AK$145,2,FALSE),"")</f>
        <v/>
      </c>
    </row>
    <row r="125" spans="1:38" ht="12.75" customHeight="1" x14ac:dyDescent="0.2">
      <c r="A125" s="865">
        <v>125</v>
      </c>
      <c r="B125" s="860">
        <f>IF(OR(S125=0),0,SUM($S$6:S125))</f>
        <v>0</v>
      </c>
      <c r="C125" s="422"/>
      <c r="D125" s="287" t="s">
        <v>234</v>
      </c>
      <c r="E125" s="439" t="s">
        <v>115</v>
      </c>
      <c r="F125" s="415">
        <v>1</v>
      </c>
      <c r="G125" s="415" t="s">
        <v>2656</v>
      </c>
      <c r="H125" s="416" t="s">
        <v>1313</v>
      </c>
      <c r="I125" s="414" t="s">
        <v>5878</v>
      </c>
      <c r="J125" s="414" t="s">
        <v>5877</v>
      </c>
      <c r="K125" s="414" t="s">
        <v>5841</v>
      </c>
      <c r="L125" s="414" t="s">
        <v>6298</v>
      </c>
      <c r="M125" s="414" t="s">
        <v>6299</v>
      </c>
      <c r="N125" s="414" t="s">
        <v>6300</v>
      </c>
      <c r="O125" s="414" t="s">
        <v>6301</v>
      </c>
      <c r="P125" s="414" t="s">
        <v>6302</v>
      </c>
      <c r="Q125" s="414" t="s">
        <v>6303</v>
      </c>
      <c r="R125" s="414" t="s">
        <v>6304</v>
      </c>
      <c r="S125" s="862">
        <f>IF(COUNTIF(Psíquicos!$C$25:$E$36,E125)=0,0,1)</f>
        <v>0</v>
      </c>
      <c r="U125" s="1880" t="s">
        <v>130</v>
      </c>
      <c r="V125" s="1881" t="s">
        <v>146</v>
      </c>
      <c r="W125" s="1881" t="s">
        <v>161</v>
      </c>
      <c r="X125" s="1881" t="s">
        <v>173</v>
      </c>
      <c r="Y125" s="1881" t="s">
        <v>185</v>
      </c>
      <c r="Z125" s="1881" t="s">
        <v>199</v>
      </c>
      <c r="AA125" s="1882"/>
      <c r="AB125" s="1882"/>
      <c r="AC125" s="1882"/>
      <c r="AD125" s="1882"/>
      <c r="AE125" s="1882"/>
      <c r="AF125" s="1882"/>
      <c r="AG125" s="1882"/>
      <c r="AH125" s="2310"/>
      <c r="AJ125" s="2647" t="str">
        <f>IFERROR(IF(VLOOKUP(AK125,$D$7:$G$145,4,FALSE)&lt;&gt;"No",MAX(AJ$5:AJ124)+1,0),"")</f>
        <v/>
      </c>
      <c r="AK125" s="2648" t="str">
        <f t="shared" si="14"/>
        <v/>
      </c>
      <c r="AL125" s="2651"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5892</v>
      </c>
      <c r="J126" s="414" t="s">
        <v>5879</v>
      </c>
      <c r="K126" s="414" t="s">
        <v>5878</v>
      </c>
      <c r="L126" s="414" t="s">
        <v>5877</v>
      </c>
      <c r="M126" s="414" t="s">
        <v>5841</v>
      </c>
      <c r="N126" s="414" t="s">
        <v>6209</v>
      </c>
      <c r="O126" s="414" t="s">
        <v>5854</v>
      </c>
      <c r="P126" s="414" t="s">
        <v>5855</v>
      </c>
      <c r="Q126" s="414" t="s">
        <v>5856</v>
      </c>
      <c r="R126" s="438" t="s">
        <v>5858</v>
      </c>
      <c r="S126" s="862">
        <f>IF(COUNTIF(Psíquicos!$C$25:$E$36,E126)=0,0,1)</f>
        <v>0</v>
      </c>
      <c r="U126" s="1880" t="s">
        <v>131</v>
      </c>
      <c r="V126" s="1881" t="s">
        <v>147</v>
      </c>
      <c r="W126" s="1882"/>
      <c r="X126" s="1881" t="s">
        <v>174</v>
      </c>
      <c r="Y126" s="1881" t="s">
        <v>186</v>
      </c>
      <c r="Z126" s="1882"/>
      <c r="AA126" s="1882"/>
      <c r="AB126" s="1882"/>
      <c r="AC126" s="1882"/>
      <c r="AD126" s="1882"/>
      <c r="AE126" s="1882"/>
      <c r="AF126" s="1882"/>
      <c r="AG126" s="1882"/>
      <c r="AH126" s="2310"/>
      <c r="AJ126" s="2647" t="str">
        <f>IFERROR(IF(VLOOKUP(AK126,$D$7:$G$145,4,FALSE)&lt;&gt;"No",MAX(AJ$5:AJ125)+1,0),"")</f>
        <v/>
      </c>
      <c r="AK126" s="2648" t="str">
        <f t="shared" si="14"/>
        <v/>
      </c>
      <c r="AL126" s="2651" t="str">
        <f>IFERROR(VLOOKUP(Tablas!$A120,$AJ$7:$AK$145,2,FALSE),"")</f>
        <v/>
      </c>
    </row>
    <row r="127" spans="1:38" ht="12.75" customHeight="1" x14ac:dyDescent="0.2">
      <c r="A127" s="865">
        <v>127</v>
      </c>
      <c r="B127" s="860">
        <f>IF(OR(S127=0),0,SUM($S$6:S127))</f>
        <v>0</v>
      </c>
      <c r="C127" s="422"/>
      <c r="D127" s="287" t="s">
        <v>236</v>
      </c>
      <c r="E127" s="439" t="s">
        <v>115</v>
      </c>
      <c r="F127" s="415">
        <v>3</v>
      </c>
      <c r="G127" s="415" t="s">
        <v>2656</v>
      </c>
      <c r="H127" s="416" t="s">
        <v>1312</v>
      </c>
      <c r="I127" s="414" t="s">
        <v>5893</v>
      </c>
      <c r="J127" s="414" t="s">
        <v>5892</v>
      </c>
      <c r="K127" s="414" t="s">
        <v>5879</v>
      </c>
      <c r="L127" s="414" t="s">
        <v>5878</v>
      </c>
      <c r="M127" s="414" t="s">
        <v>5877</v>
      </c>
      <c r="N127" s="414" t="s">
        <v>6305</v>
      </c>
      <c r="O127" s="414" t="s">
        <v>6306</v>
      </c>
      <c r="P127" s="414" t="s">
        <v>6307</v>
      </c>
      <c r="Q127" s="414" t="s">
        <v>6308</v>
      </c>
      <c r="R127" s="414" t="s">
        <v>6309</v>
      </c>
      <c r="S127" s="862">
        <f>IF(COUNTIF(Psíquicos!$C$25:$E$36,E127)=0,0,1)</f>
        <v>0</v>
      </c>
      <c r="U127" s="1880" t="s">
        <v>132</v>
      </c>
      <c r="V127" s="1881" t="s">
        <v>148</v>
      </c>
      <c r="W127" s="1882"/>
      <c r="X127" s="1881" t="s">
        <v>175</v>
      </c>
      <c r="Y127" s="1881" t="s">
        <v>187</v>
      </c>
      <c r="Z127" s="1882"/>
      <c r="AA127" s="1882"/>
      <c r="AB127" s="1882"/>
      <c r="AC127" s="1882"/>
      <c r="AD127" s="1882"/>
      <c r="AE127" s="1882"/>
      <c r="AF127" s="1882"/>
      <c r="AG127" s="1882"/>
      <c r="AH127" s="2310"/>
      <c r="AJ127" s="2647" t="str">
        <f>IFERROR(IF(VLOOKUP(AK127,$D$7:$G$145,4,FALSE)&lt;&gt;"No",MAX(AJ$5:AJ126)+1,0),"")</f>
        <v/>
      </c>
      <c r="AK127" s="2648" t="str">
        <f t="shared" si="14"/>
        <v/>
      </c>
      <c r="AL127" s="2651"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5966</v>
      </c>
      <c r="J128" s="414" t="s">
        <v>5967</v>
      </c>
      <c r="K128" s="414" t="s">
        <v>5893</v>
      </c>
      <c r="L128" s="414" t="s">
        <v>5892</v>
      </c>
      <c r="M128" s="414" t="s">
        <v>5879</v>
      </c>
      <c r="N128" s="414" t="s">
        <v>5877</v>
      </c>
      <c r="O128" s="414" t="s">
        <v>6310</v>
      </c>
      <c r="P128" s="414" t="s">
        <v>6311</v>
      </c>
      <c r="Q128" s="414" t="s">
        <v>6312</v>
      </c>
      <c r="R128" s="414" t="s">
        <v>6313</v>
      </c>
      <c r="S128" s="862">
        <f>IF(COUNTIF(Psíquicos!$C$25:$E$36,E128)=0,0,1)</f>
        <v>0</v>
      </c>
      <c r="U128" s="1880" t="s">
        <v>133</v>
      </c>
      <c r="V128" s="1881" t="s">
        <v>149</v>
      </c>
      <c r="W128" s="1882"/>
      <c r="X128" s="1882"/>
      <c r="Y128" s="1882"/>
      <c r="Z128" s="1882"/>
      <c r="AA128" s="1882"/>
      <c r="AB128" s="1882"/>
      <c r="AC128" s="1882"/>
      <c r="AD128" s="1882"/>
      <c r="AE128" s="1882"/>
      <c r="AF128" s="1882"/>
      <c r="AG128" s="1882"/>
      <c r="AH128" s="2310"/>
      <c r="AJ128" s="2647" t="str">
        <f>IFERROR(IF(VLOOKUP(AK128,$D$7:$G$145,4,FALSE)&lt;&gt;"No",MAX(AJ$5:AJ127)+1,0),"")</f>
        <v/>
      </c>
      <c r="AK128" s="2648" t="str">
        <f t="shared" si="14"/>
        <v/>
      </c>
      <c r="AL128" s="2651"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5892</v>
      </c>
      <c r="J129" s="414" t="s">
        <v>5879</v>
      </c>
      <c r="K129" s="414" t="s">
        <v>5878</v>
      </c>
      <c r="L129" s="414" t="s">
        <v>5877</v>
      </c>
      <c r="M129" s="414" t="s">
        <v>5841</v>
      </c>
      <c r="N129" s="414" t="s">
        <v>6314</v>
      </c>
      <c r="O129" s="414" t="s">
        <v>6315</v>
      </c>
      <c r="P129" s="414" t="s">
        <v>6316</v>
      </c>
      <c r="Q129" s="414" t="s">
        <v>6317</v>
      </c>
      <c r="R129" s="414" t="s">
        <v>6318</v>
      </c>
      <c r="S129" s="862">
        <f>IF(COUNTIF(Psíquicos!$C$25:$E$36,E129)=0,0,1)</f>
        <v>0</v>
      </c>
      <c r="U129" s="1883" t="s">
        <v>134</v>
      </c>
      <c r="V129" s="1884"/>
      <c r="W129" s="1884"/>
      <c r="X129" s="1884"/>
      <c r="Y129" s="1884"/>
      <c r="Z129" s="1884"/>
      <c r="AA129" s="1884"/>
      <c r="AB129" s="1884"/>
      <c r="AC129" s="1884"/>
      <c r="AD129" s="1884"/>
      <c r="AE129" s="1884"/>
      <c r="AF129" s="1884"/>
      <c r="AG129" s="1884"/>
      <c r="AH129" s="2311"/>
      <c r="AJ129" s="2647" t="str">
        <f>IFERROR(IF(VLOOKUP(AK129,$D$7:$G$145,4,FALSE)&lt;&gt;"No",MAX(AJ$5:AJ128)+1,0),"")</f>
        <v/>
      </c>
      <c r="AK129" s="2648" t="str">
        <f t="shared" si="14"/>
        <v/>
      </c>
      <c r="AL129" s="2651"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7" t="str">
        <f>IFERROR(IF(VLOOKUP(AK130,$D$7:$G$145,4,FALSE)&lt;&gt;"No",MAX(AJ$5:AJ129)+1,0),"")</f>
        <v/>
      </c>
      <c r="AK130" s="2648" t="str">
        <f t="shared" si="14"/>
        <v/>
      </c>
      <c r="AL130" s="2651" t="str">
        <f>IFERROR(VLOOKUP(Tablas!$A124,$AJ$7:$AK$145,2,FALSE),"")</f>
        <v/>
      </c>
    </row>
    <row r="131" spans="1:38" ht="12.75" customHeight="1" x14ac:dyDescent="0.2">
      <c r="A131" s="865">
        <v>131</v>
      </c>
      <c r="B131" s="860">
        <f>IF(OR(S131=0),0,SUM($S$6:S131))</f>
        <v>0</v>
      </c>
      <c r="C131" s="422"/>
      <c r="D131" s="287" t="s">
        <v>239</v>
      </c>
      <c r="E131" s="439" t="s">
        <v>1708</v>
      </c>
      <c r="F131" s="415">
        <v>1</v>
      </c>
      <c r="G131" s="415" t="s">
        <v>2656</v>
      </c>
      <c r="H131" s="416" t="s">
        <v>1312</v>
      </c>
      <c r="I131" s="414" t="s">
        <v>5877</v>
      </c>
      <c r="J131" s="414" t="s">
        <v>5841</v>
      </c>
      <c r="K131" s="414" t="s">
        <v>5842</v>
      </c>
      <c r="L131" s="414" t="s">
        <v>6319</v>
      </c>
      <c r="M131" s="414" t="s">
        <v>6320</v>
      </c>
      <c r="N131" s="414" t="s">
        <v>6321</v>
      </c>
      <c r="O131" s="414" t="s">
        <v>6322</v>
      </c>
      <c r="P131" s="414" t="s">
        <v>6323</v>
      </c>
      <c r="Q131" s="414" t="s">
        <v>6324</v>
      </c>
      <c r="R131" s="414" t="s">
        <v>6325</v>
      </c>
      <c r="S131" s="862">
        <f>IF(COUNTIF(Psíquicos!$C$25:$E$36,E131)=0,0,1)</f>
        <v>0</v>
      </c>
      <c r="AJ131" s="2647" t="str">
        <f>IFERROR(IF(VLOOKUP(AK131,$D$7:$G$145,4,FALSE)&lt;&gt;"No",MAX(AJ$5:AJ130)+1,0),"")</f>
        <v/>
      </c>
      <c r="AK131" s="2648" t="str">
        <f t="shared" si="14"/>
        <v/>
      </c>
      <c r="AL131" s="2651" t="str">
        <f>IFERROR(VLOOKUP(Tablas!$A125,$AJ$7:$AK$145,2,FALSE),"")</f>
        <v/>
      </c>
    </row>
    <row r="132" spans="1:38" ht="12.75" customHeight="1" x14ac:dyDescent="0.2">
      <c r="A132" s="865">
        <v>132</v>
      </c>
      <c r="B132" s="860">
        <f>IF(OR(S132=0),0,SUM($S$6:S132))</f>
        <v>0</v>
      </c>
      <c r="C132" s="422"/>
      <c r="D132" s="287" t="s">
        <v>240</v>
      </c>
      <c r="E132" s="439" t="s">
        <v>1708</v>
      </c>
      <c r="F132" s="415">
        <v>1</v>
      </c>
      <c r="G132" s="415" t="s">
        <v>2656</v>
      </c>
      <c r="H132" s="416" t="s">
        <v>1312</v>
      </c>
      <c r="I132" s="414" t="s">
        <v>5841</v>
      </c>
      <c r="J132" s="414" t="s">
        <v>5842</v>
      </c>
      <c r="K132" s="414" t="s">
        <v>6326</v>
      </c>
      <c r="L132" s="414" t="s">
        <v>6327</v>
      </c>
      <c r="M132" s="414" t="s">
        <v>6026</v>
      </c>
      <c r="N132" s="414" t="s">
        <v>6245</v>
      </c>
      <c r="O132" s="414" t="s">
        <v>6027</v>
      </c>
      <c r="P132" s="414" t="s">
        <v>6028</v>
      </c>
      <c r="Q132" s="414" t="s">
        <v>6146</v>
      </c>
      <c r="R132" s="414" t="s">
        <v>6029</v>
      </c>
      <c r="S132" s="862">
        <f>IF(COUNTIF(Psíquicos!$C$25:$E$36,E132)=0,0,1)</f>
        <v>0</v>
      </c>
      <c r="AJ132" s="2647" t="str">
        <f>IFERROR(IF(VLOOKUP(AK132,$D$7:$G$145,4,FALSE)&lt;&gt;"No",MAX(AJ$5:AJ131)+1,0),"")</f>
        <v/>
      </c>
      <c r="AK132" s="2648" t="str">
        <f t="shared" si="14"/>
        <v/>
      </c>
      <c r="AL132" s="2651"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5841</v>
      </c>
      <c r="J133" s="414" t="s">
        <v>5842</v>
      </c>
      <c r="K133" s="414" t="s">
        <v>6328</v>
      </c>
      <c r="L133" s="414" t="s">
        <v>6329</v>
      </c>
      <c r="M133" s="414" t="s">
        <v>6330</v>
      </c>
      <c r="N133" s="414" t="s">
        <v>6331</v>
      </c>
      <c r="O133" s="414" t="s">
        <v>6332</v>
      </c>
      <c r="P133" s="414" t="s">
        <v>6333</v>
      </c>
      <c r="Q133" s="414" t="s">
        <v>6334</v>
      </c>
      <c r="R133" s="414" t="s">
        <v>6335</v>
      </c>
      <c r="S133" s="862">
        <f>IF(COUNTIF(Psíquicos!$C$25:$E$36,E133)=0,0,1)</f>
        <v>0</v>
      </c>
      <c r="AJ133" s="2647" t="str">
        <f>IFERROR(IF(VLOOKUP(AK133,$D$7:$G$145,4,FALSE)&lt;&gt;"No",MAX(AJ$5:AJ132)+1,0),"")</f>
        <v/>
      </c>
      <c r="AK133" s="2648" t="str">
        <f t="shared" si="14"/>
        <v/>
      </c>
      <c r="AL133" s="2651" t="str">
        <f>IFERROR(VLOOKUP(Tablas!$A127,$AJ$7:$AK$145,2,FALSE),"")</f>
        <v/>
      </c>
    </row>
    <row r="134" spans="1:38" ht="12.75" customHeight="1" x14ac:dyDescent="0.2">
      <c r="A134" s="865">
        <v>134</v>
      </c>
      <c r="B134" s="860">
        <f>IF(OR(S134=0),0,SUM($S$6:S134))</f>
        <v>0</v>
      </c>
      <c r="C134" s="422"/>
      <c r="D134" s="287" t="s">
        <v>242</v>
      </c>
      <c r="E134" s="439" t="s">
        <v>1708</v>
      </c>
      <c r="F134" s="415">
        <v>2</v>
      </c>
      <c r="G134" s="415" t="s">
        <v>2656</v>
      </c>
      <c r="H134" s="416" t="s">
        <v>1313</v>
      </c>
      <c r="I134" s="414" t="s">
        <v>5878</v>
      </c>
      <c r="J134" s="414" t="s">
        <v>5877</v>
      </c>
      <c r="K134" s="414" t="s">
        <v>5841</v>
      </c>
      <c r="L134" s="414" t="s">
        <v>5842</v>
      </c>
      <c r="M134" s="414" t="s">
        <v>5914</v>
      </c>
      <c r="N134" s="414" t="s">
        <v>6040</v>
      </c>
      <c r="O134" s="414" t="s">
        <v>5916</v>
      </c>
      <c r="P134" s="414" t="s">
        <v>6336</v>
      </c>
      <c r="Q134" s="414" t="s">
        <v>6155</v>
      </c>
      <c r="R134" s="438" t="s">
        <v>6156</v>
      </c>
      <c r="S134" s="862">
        <f>IF(COUNTIF(Psíquicos!$C$25:$E$36,E134)=0,0,1)</f>
        <v>0</v>
      </c>
      <c r="AJ134" s="2647" t="str">
        <f>IFERROR(IF(VLOOKUP(AK134,$D$7:$G$145,4,FALSE)&lt;&gt;"No",MAX(AJ$5:AJ133)+1,0),"")</f>
        <v/>
      </c>
      <c r="AK134" s="2648" t="str">
        <f t="shared" si="14"/>
        <v/>
      </c>
      <c r="AL134" s="2651" t="str">
        <f>IFERROR(VLOOKUP(Tablas!$A128,$AJ$7:$AK$145,2,FALSE),"")</f>
        <v/>
      </c>
    </row>
    <row r="135" spans="1:38" ht="12.75" customHeight="1" x14ac:dyDescent="0.2">
      <c r="A135" s="865">
        <v>135</v>
      </c>
      <c r="B135" s="860">
        <f>IF(OR(S135=0),0,SUM($S$6:S135))</f>
        <v>0</v>
      </c>
      <c r="C135" s="422"/>
      <c r="D135" s="287" t="s">
        <v>243</v>
      </c>
      <c r="E135" s="439" t="s">
        <v>1708</v>
      </c>
      <c r="F135" s="415">
        <v>2</v>
      </c>
      <c r="G135" s="415" t="s">
        <v>2656</v>
      </c>
      <c r="H135" s="416" t="s">
        <v>1312</v>
      </c>
      <c r="I135" s="414" t="s">
        <v>5879</v>
      </c>
      <c r="J135" s="414" t="s">
        <v>5878</v>
      </c>
      <c r="K135" s="414" t="s">
        <v>5877</v>
      </c>
      <c r="L135" s="414" t="s">
        <v>5841</v>
      </c>
      <c r="M135" s="414" t="s">
        <v>5842</v>
      </c>
      <c r="N135" s="414" t="s">
        <v>6337</v>
      </c>
      <c r="O135" s="414" t="s">
        <v>6338</v>
      </c>
      <c r="P135" s="414" t="s">
        <v>6339</v>
      </c>
      <c r="Q135" s="414" t="s">
        <v>6340</v>
      </c>
      <c r="R135" s="438" t="s">
        <v>6341</v>
      </c>
      <c r="S135" s="862">
        <f>IF(COUNTIF(Psíquicos!$C$25:$E$36,E135)=0,0,1)</f>
        <v>0</v>
      </c>
      <c r="AJ135" s="2647" t="str">
        <f>IFERROR(IF(VLOOKUP(AK135,$D$7:$G$145,4,FALSE)&lt;&gt;"No",MAX(AJ$5:AJ134)+1,0),"")</f>
        <v/>
      </c>
      <c r="AK135" s="2648" t="str">
        <f t="shared" ref="AK135:AK145" si="15">IF(ISNA(VLOOKUP(A129,$B$7:$D$145,3,FALSE)),"",VLOOKUP(A129,$B$7:$D$145,3,FALSE))</f>
        <v/>
      </c>
      <c r="AL135" s="2651"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5893</v>
      </c>
      <c r="J136" s="414" t="s">
        <v>5892</v>
      </c>
      <c r="K136" s="414" t="s">
        <v>5879</v>
      </c>
      <c r="L136" s="414" t="s">
        <v>5878</v>
      </c>
      <c r="M136" s="414" t="s">
        <v>5877</v>
      </c>
      <c r="N136" s="414" t="s">
        <v>6342</v>
      </c>
      <c r="O136" s="414" t="s">
        <v>6343</v>
      </c>
      <c r="P136" s="414" t="s">
        <v>6344</v>
      </c>
      <c r="Q136" s="414" t="s">
        <v>6345</v>
      </c>
      <c r="R136" s="414" t="s">
        <v>6346</v>
      </c>
      <c r="S136" s="862">
        <f>IF(COUNTIF(Psíquicos!$C$25:$E$36,E136)=0,0,1)</f>
        <v>0</v>
      </c>
      <c r="AJ136" s="2647" t="str">
        <f>IFERROR(IF(VLOOKUP(AK136,$D$7:$G$145,4,FALSE)&lt;&gt;"No",MAX(AJ$5:AJ135)+1,0),"")</f>
        <v/>
      </c>
      <c r="AK136" s="2648" t="str">
        <f t="shared" si="15"/>
        <v/>
      </c>
      <c r="AL136" s="2651"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7" t="str">
        <f>IFERROR(IF(VLOOKUP(AK137,$D$7:$G$145,4,FALSE)&lt;&gt;"No",MAX(AJ$5:AJ136)+1,0),"")</f>
        <v/>
      </c>
      <c r="AK137" s="2648" t="str">
        <f t="shared" si="15"/>
        <v/>
      </c>
      <c r="AL137" s="2651" t="str">
        <f>IFERROR(VLOOKUP(Tablas!$A131,$AJ$7:$AK$145,2,FALSE),"")</f>
        <v/>
      </c>
    </row>
    <row r="138" spans="1:38" ht="12.75" customHeight="1" x14ac:dyDescent="0.2">
      <c r="A138" s="865">
        <v>138</v>
      </c>
      <c r="B138" s="860">
        <f>IF(OR(S138=0),0,SUM($S$6:S138))</f>
        <v>0</v>
      </c>
      <c r="C138" s="422"/>
      <c r="D138" s="287" t="s">
        <v>246</v>
      </c>
      <c r="E138" s="439" t="s">
        <v>116</v>
      </c>
      <c r="F138" s="415">
        <v>1</v>
      </c>
      <c r="G138" s="415" t="s">
        <v>2656</v>
      </c>
      <c r="H138" s="416" t="s">
        <v>1313</v>
      </c>
      <c r="I138" s="414" t="s">
        <v>5842</v>
      </c>
      <c r="J138" s="414" t="s">
        <v>6347</v>
      </c>
      <c r="K138" s="414" t="s">
        <v>6348</v>
      </c>
      <c r="L138" s="414" t="s">
        <v>6349</v>
      </c>
      <c r="M138" s="414" t="s">
        <v>6350</v>
      </c>
      <c r="N138" s="414" t="s">
        <v>6351</v>
      </c>
      <c r="O138" s="414" t="s">
        <v>6352</v>
      </c>
      <c r="P138" s="414" t="s">
        <v>6353</v>
      </c>
      <c r="Q138" s="414" t="s">
        <v>6354</v>
      </c>
      <c r="R138" s="414" t="s">
        <v>6355</v>
      </c>
      <c r="S138" s="862">
        <f>IF(COUNTIF(Psíquicos!$C$25:$E$36,E138)=0,0,1)</f>
        <v>0</v>
      </c>
      <c r="AJ138" s="2647" t="str">
        <f>IFERROR(IF(VLOOKUP(AK138,$D$7:$G$145,4,FALSE)&lt;&gt;"No",MAX(AJ$5:AJ137)+1,0),"")</f>
        <v/>
      </c>
      <c r="AK138" s="2648" t="str">
        <f t="shared" si="15"/>
        <v/>
      </c>
      <c r="AL138" s="2651" t="str">
        <f>IFERROR(VLOOKUP(Tablas!$A132,$AJ$7:$AK$145,2,FALSE),"")</f>
        <v/>
      </c>
    </row>
    <row r="139" spans="1:38" ht="12.75" customHeight="1" x14ac:dyDescent="0.2">
      <c r="A139" s="865">
        <v>139</v>
      </c>
      <c r="B139" s="860">
        <f>IF(OR(S139=0),0,SUM($S$6:S139))</f>
        <v>0</v>
      </c>
      <c r="C139" s="422"/>
      <c r="D139" s="287" t="s">
        <v>247</v>
      </c>
      <c r="E139" s="439" t="s">
        <v>116</v>
      </c>
      <c r="F139" s="415">
        <v>2</v>
      </c>
      <c r="G139" s="415" t="s">
        <v>2656</v>
      </c>
      <c r="H139" s="416" t="s">
        <v>1312</v>
      </c>
      <c r="I139" s="414" t="s">
        <v>5877</v>
      </c>
      <c r="J139" s="414" t="s">
        <v>5841</v>
      </c>
      <c r="K139" s="414" t="s">
        <v>6294</v>
      </c>
      <c r="L139" s="414" t="s">
        <v>6295</v>
      </c>
      <c r="M139" s="414" t="s">
        <v>5894</v>
      </c>
      <c r="N139" s="414" t="s">
        <v>6296</v>
      </c>
      <c r="O139" s="414" t="s">
        <v>6224</v>
      </c>
      <c r="P139" s="414" t="s">
        <v>5851</v>
      </c>
      <c r="Q139" s="414" t="s">
        <v>6297</v>
      </c>
      <c r="R139" s="438" t="s">
        <v>5852</v>
      </c>
      <c r="S139" s="862">
        <f>IF(COUNTIF(Psíquicos!$C$25:$E$36,E139)=0,0,1)</f>
        <v>0</v>
      </c>
      <c r="AJ139" s="2647" t="str">
        <f>IFERROR(IF(VLOOKUP(AK139,$D$7:$G$145,4,FALSE)&lt;&gt;"No",MAX(AJ$5:AJ138)+1,0),"")</f>
        <v/>
      </c>
      <c r="AK139" s="2648" t="str">
        <f t="shared" si="15"/>
        <v/>
      </c>
      <c r="AL139" s="2651" t="str">
        <f>IFERROR(VLOOKUP(Tablas!$A133,$AJ$7:$AK$145,2,FALSE),"")</f>
        <v/>
      </c>
    </row>
    <row r="140" spans="1:38" ht="12.75" customHeight="1" x14ac:dyDescent="0.2">
      <c r="A140" s="865">
        <v>140</v>
      </c>
      <c r="B140" s="860">
        <f>IF(OR(S140=0),0,SUM($S$6:S140))</f>
        <v>0</v>
      </c>
      <c r="C140" s="422"/>
      <c r="D140" s="287" t="s">
        <v>248</v>
      </c>
      <c r="E140" s="439" t="s">
        <v>116</v>
      </c>
      <c r="F140" s="415">
        <v>3</v>
      </c>
      <c r="G140" s="415" t="s">
        <v>2656</v>
      </c>
      <c r="H140" s="416" t="s">
        <v>1312</v>
      </c>
      <c r="I140" s="414" t="s">
        <v>5892</v>
      </c>
      <c r="J140" s="414" t="s">
        <v>6277</v>
      </c>
      <c r="K140" s="414" t="s">
        <v>5879</v>
      </c>
      <c r="L140" s="414" t="s">
        <v>5878</v>
      </c>
      <c r="M140" s="414" t="s">
        <v>5877</v>
      </c>
      <c r="N140" s="414" t="s">
        <v>6356</v>
      </c>
      <c r="O140" s="414" t="s">
        <v>251</v>
      </c>
      <c r="P140" s="414" t="s">
        <v>6357</v>
      </c>
      <c r="Q140" s="414" t="s">
        <v>6358</v>
      </c>
      <c r="R140" s="438" t="s">
        <v>6359</v>
      </c>
      <c r="S140" s="862">
        <f>IF(COUNTIF(Psíquicos!$C$25:$E$36,E140)=0,0,1)</f>
        <v>0</v>
      </c>
      <c r="AJ140" s="2647" t="str">
        <f>IFERROR(IF(VLOOKUP(AK140,$D$7:$G$145,4,FALSE)&lt;&gt;"No",MAX(AJ$5:AJ139)+1,0),"")</f>
        <v/>
      </c>
      <c r="AK140" s="2648" t="str">
        <f t="shared" si="15"/>
        <v/>
      </c>
      <c r="AL140" s="2651"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7" t="str">
        <f>IFERROR(IF(VLOOKUP(AK141,$D$7:$G$145,4,FALSE)&lt;&gt;"No",MAX(AJ$5:AJ140)+1,0),"")</f>
        <v/>
      </c>
      <c r="AK141" s="2648" t="str">
        <f t="shared" si="15"/>
        <v/>
      </c>
      <c r="AL141" s="2651" t="str">
        <f>IFERROR(VLOOKUP(Tablas!$A135,$AJ$7:$AK$145,2,FALSE),"")</f>
        <v/>
      </c>
    </row>
    <row r="142" spans="1:38" ht="12.75" customHeight="1" x14ac:dyDescent="0.2">
      <c r="A142" s="865">
        <v>142</v>
      </c>
      <c r="B142" s="860">
        <f>IF(OR(S142=0),0,SUM($S$6:S142))</f>
        <v>2</v>
      </c>
      <c r="C142" s="422"/>
      <c r="D142" s="287" t="s">
        <v>250</v>
      </c>
      <c r="E142" s="414" t="s">
        <v>6360</v>
      </c>
      <c r="F142" s="415" t="s">
        <v>1464</v>
      </c>
      <c r="G142" s="415" t="s">
        <v>2656</v>
      </c>
      <c r="H142" s="416" t="s">
        <v>1312</v>
      </c>
      <c r="I142" s="414" t="s">
        <v>5878</v>
      </c>
      <c r="J142" s="414" t="s">
        <v>5877</v>
      </c>
      <c r="K142" s="414" t="s">
        <v>5841</v>
      </c>
      <c r="L142" s="414" t="s">
        <v>6361</v>
      </c>
      <c r="M142" s="414" t="s">
        <v>6362</v>
      </c>
      <c r="N142" s="414" t="s">
        <v>6141</v>
      </c>
      <c r="O142" s="414" t="s">
        <v>6142</v>
      </c>
      <c r="P142" s="414" t="s">
        <v>6143</v>
      </c>
      <c r="Q142" s="414" t="s">
        <v>6144</v>
      </c>
      <c r="R142" s="438" t="s">
        <v>6145</v>
      </c>
      <c r="S142" s="862">
        <v>1</v>
      </c>
      <c r="AJ142" s="2647" t="str">
        <f>IFERROR(IF(VLOOKUP(AK142,$D$7:$G$145,4,FALSE)&lt;&gt;"No",MAX(AJ$5:AJ141)+1,0),"")</f>
        <v/>
      </c>
      <c r="AK142" s="2648" t="str">
        <f t="shared" si="15"/>
        <v/>
      </c>
      <c r="AL142" s="2651" t="str">
        <f>IFERROR(VLOOKUP(Tablas!$A136,$AJ$7:$AK$145,2,FALSE),"")</f>
        <v/>
      </c>
    </row>
    <row r="143" spans="1:38" ht="12.75" customHeight="1" x14ac:dyDescent="0.2">
      <c r="A143" s="865">
        <v>143</v>
      </c>
      <c r="B143" s="860">
        <f>IF(OR(S143=0),0,SUM($S$6:S143))</f>
        <v>3</v>
      </c>
      <c r="C143" s="422"/>
      <c r="D143" s="287" t="s">
        <v>251</v>
      </c>
      <c r="E143" s="414" t="s">
        <v>6360</v>
      </c>
      <c r="F143" s="415" t="s">
        <v>1464</v>
      </c>
      <c r="G143" s="415" t="s">
        <v>2656</v>
      </c>
      <c r="H143" s="416" t="s">
        <v>1312</v>
      </c>
      <c r="I143" s="414" t="s">
        <v>5842</v>
      </c>
      <c r="J143" s="414" t="s">
        <v>6363</v>
      </c>
      <c r="K143" s="414" t="s">
        <v>6364</v>
      </c>
      <c r="L143" s="414" t="s">
        <v>6365</v>
      </c>
      <c r="M143" s="414" t="s">
        <v>5851</v>
      </c>
      <c r="N143" s="414" t="s">
        <v>6366</v>
      </c>
      <c r="O143" s="414" t="s">
        <v>6367</v>
      </c>
      <c r="P143" s="414" t="s">
        <v>6368</v>
      </c>
      <c r="Q143" s="414" t="s">
        <v>6369</v>
      </c>
      <c r="R143" s="438" t="s">
        <v>6370</v>
      </c>
      <c r="S143" s="862">
        <v>1</v>
      </c>
      <c r="AJ143" s="2647" t="str">
        <f>IFERROR(IF(VLOOKUP(AK143,$D$7:$G$145,4,FALSE)&lt;&gt;"No",MAX(AJ$5:AJ142)+1,0),"")</f>
        <v/>
      </c>
      <c r="AK143" s="2648" t="str">
        <f t="shared" si="15"/>
        <v/>
      </c>
      <c r="AL143" s="2651" t="str">
        <f>IFERROR(VLOOKUP(Tablas!$A137,$AJ$7:$AK$145,2,FALSE),"")</f>
        <v/>
      </c>
    </row>
    <row r="144" spans="1:38" ht="12.75" customHeight="1" x14ac:dyDescent="0.2">
      <c r="A144" s="865">
        <v>144</v>
      </c>
      <c r="B144" s="860">
        <f>IF(OR(S144=0),0,SUM($S$6:S144))</f>
        <v>4</v>
      </c>
      <c r="C144" s="422"/>
      <c r="D144" s="287" t="s">
        <v>252</v>
      </c>
      <c r="E144" s="414" t="s">
        <v>6360</v>
      </c>
      <c r="F144" s="415" t="s">
        <v>1464</v>
      </c>
      <c r="G144" s="415" t="s">
        <v>2656</v>
      </c>
      <c r="H144" s="416" t="s">
        <v>1313</v>
      </c>
      <c r="I144" s="414" t="s">
        <v>5841</v>
      </c>
      <c r="J144" s="414" t="s">
        <v>5842</v>
      </c>
      <c r="K144" s="414" t="s">
        <v>6371</v>
      </c>
      <c r="L144" s="414" t="s">
        <v>6372</v>
      </c>
      <c r="M144" s="414" t="s">
        <v>6373</v>
      </c>
      <c r="N144" s="414" t="s">
        <v>6374</v>
      </c>
      <c r="O144" s="414" t="s">
        <v>6375</v>
      </c>
      <c r="P144" s="414" t="s">
        <v>6376</v>
      </c>
      <c r="Q144" s="414" t="s">
        <v>6377</v>
      </c>
      <c r="R144" s="438" t="s">
        <v>6378</v>
      </c>
      <c r="S144" s="862">
        <v>1</v>
      </c>
      <c r="AJ144" s="2647" t="str">
        <f>IFERROR(IF(VLOOKUP(AK144,$D$7:$G$145,4,FALSE)&lt;&gt;"No",MAX(AJ$5:AJ143)+1,0),"")</f>
        <v/>
      </c>
      <c r="AK144" s="2648" t="str">
        <f t="shared" si="15"/>
        <v/>
      </c>
      <c r="AL144" s="2651" t="str">
        <f>IFERROR(VLOOKUP(Tablas!$A138,$AJ$7:$AK$145,2,FALSE),"")</f>
        <v/>
      </c>
    </row>
    <row r="145" spans="1:38" ht="12.75" customHeight="1" thickBot="1" x14ac:dyDescent="0.25">
      <c r="A145" s="865">
        <v>145</v>
      </c>
      <c r="B145" s="861">
        <f>IF(OR(S145=0),0,SUM($S$6:S145))</f>
        <v>5</v>
      </c>
      <c r="C145" s="430"/>
      <c r="D145" s="289" t="s">
        <v>253</v>
      </c>
      <c r="E145" s="440" t="s">
        <v>6360</v>
      </c>
      <c r="F145" s="441" t="s">
        <v>1464</v>
      </c>
      <c r="G145" s="441" t="s">
        <v>2656</v>
      </c>
      <c r="H145" s="442" t="s">
        <v>1312</v>
      </c>
      <c r="I145" s="440" t="s">
        <v>5878</v>
      </c>
      <c r="J145" s="440" t="s">
        <v>5877</v>
      </c>
      <c r="K145" s="440" t="s">
        <v>5841</v>
      </c>
      <c r="L145" s="440" t="s">
        <v>6379</v>
      </c>
      <c r="M145" s="440" t="s">
        <v>6380</v>
      </c>
      <c r="N145" s="440" t="s">
        <v>6381</v>
      </c>
      <c r="O145" s="440" t="s">
        <v>6382</v>
      </c>
      <c r="P145" s="440" t="s">
        <v>6383</v>
      </c>
      <c r="Q145" s="440" t="s">
        <v>6384</v>
      </c>
      <c r="R145" s="443" t="s">
        <v>6385</v>
      </c>
      <c r="S145" s="863">
        <v>1</v>
      </c>
      <c r="AJ145" s="2652" t="str">
        <f>IFERROR(IF(VLOOKUP(AK145,$D$7:$G$145,4,FALSE)&lt;&gt;"No",MAX(AJ$5:AJ144)+1,0),"")</f>
        <v/>
      </c>
      <c r="AK145" s="2653" t="str">
        <f t="shared" si="15"/>
        <v/>
      </c>
      <c r="AL145" s="2654" t="str">
        <f>IFERROR(VLOOKUP(Tablas!$A139,$AJ$7:$AK$145,2,FALSE),"")</f>
        <v/>
      </c>
    </row>
  </sheetData>
  <mergeCells count="5">
    <mergeCell ref="U3:AH4"/>
    <mergeCell ref="B5:B6"/>
    <mergeCell ref="S5:S6"/>
    <mergeCell ref="U112:AH112"/>
    <mergeCell ref="AJ3:AL4"/>
  </mergeCells>
  <conditionalFormatting sqref="V7:V14">
    <cfRule type="expression" dxfId="546" priority="1" stopIfTrue="1">
      <formula>$G7&lt;&gt;"No"</formula>
    </cfRule>
  </conditionalFormatting>
  <conditionalFormatting sqref="V15">
    <cfRule type="expression" dxfId="545" priority="6876" stopIfTrue="1">
      <formula>$G16&lt;&gt;"No"</formula>
    </cfRule>
  </conditionalFormatting>
  <conditionalFormatting sqref="V16:V18">
    <cfRule type="expression" dxfId="544" priority="6881" stopIfTrue="1">
      <formula>$G18&lt;&gt;"No"</formula>
    </cfRule>
  </conditionalFormatting>
  <conditionalFormatting sqref="V19 V21">
    <cfRule type="expression" dxfId="543" priority="6886" stopIfTrue="1">
      <formula>$G22&lt;&gt;"No"</formula>
    </cfRule>
  </conditionalFormatting>
  <conditionalFormatting sqref="V22:V24">
    <cfRule type="expression" dxfId="542" priority="6891" stopIfTrue="1">
      <formula>$G26&lt;&gt;"No"</formula>
    </cfRule>
  </conditionalFormatting>
  <conditionalFormatting sqref="V25:V26">
    <cfRule type="expression" dxfId="541" priority="6896" stopIfTrue="1">
      <formula>$G30&lt;&gt;"No"</formula>
    </cfRule>
  </conditionalFormatting>
  <conditionalFormatting sqref="V27:V28">
    <cfRule type="expression" dxfId="540" priority="6901" stopIfTrue="1">
      <formula>$G33&lt;&gt;"No"</formula>
    </cfRule>
  </conditionalFormatting>
  <conditionalFormatting sqref="V29">
    <cfRule type="expression" dxfId="539" priority="6906" stopIfTrue="1">
      <formula>$G36&lt;&gt;"No"</formula>
    </cfRule>
  </conditionalFormatting>
  <conditionalFormatting sqref="V31">
    <cfRule type="expression" dxfId="538" priority="6911" stopIfTrue="1">
      <formula>$G39&lt;&gt;"No"</formula>
    </cfRule>
  </conditionalFormatting>
  <conditionalFormatting sqref="V32">
    <cfRule type="expression" dxfId="537" priority="6916" stopIfTrue="1">
      <formula>$G41&lt;&gt;"No"</formula>
    </cfRule>
  </conditionalFormatting>
  <conditionalFormatting sqref="V33:V36">
    <cfRule type="expression" dxfId="536" priority="6921" stopIfTrue="1">
      <formula>$G43&lt;&gt;"No"</formula>
    </cfRule>
  </conditionalFormatting>
  <conditionalFormatting sqref="V37:V38 V40:V42">
    <cfRule type="expression" dxfId="535" priority="6926" stopIfTrue="1">
      <formula>$G48&lt;&gt;"No"</formula>
    </cfRule>
  </conditionalFormatting>
  <conditionalFormatting sqref="V43">
    <cfRule type="expression" dxfId="534" priority="6931" stopIfTrue="1">
      <formula>$G55&lt;&gt;"No"</formula>
    </cfRule>
  </conditionalFormatting>
  <conditionalFormatting sqref="V44:V50 V52:V61">
    <cfRule type="expression" dxfId="533" priority="6936" stopIfTrue="1">
      <formula>$G57&lt;&gt;"No"</formula>
    </cfRule>
  </conditionalFormatting>
  <conditionalFormatting sqref="V62:V63 V65:V68">
    <cfRule type="expression" dxfId="532" priority="6945" stopIfTrue="1">
      <formula>$G76&lt;&gt;"No"</formula>
    </cfRule>
  </conditionalFormatting>
  <conditionalFormatting sqref="V69:V70">
    <cfRule type="expression" dxfId="531" priority="6950" stopIfTrue="1">
      <formula>$G85&lt;&gt;"No"</formula>
    </cfRule>
  </conditionalFormatting>
  <conditionalFormatting sqref="V71:V76">
    <cfRule type="expression" dxfId="530" priority="6955" stopIfTrue="1">
      <formula>$G89&lt;&gt;"No"</formula>
    </cfRule>
  </conditionalFormatting>
  <conditionalFormatting sqref="V77:V79">
    <cfRule type="expression" dxfId="529" priority="6960" stopIfTrue="1">
      <formula>$G96&lt;&gt;"No"</formula>
    </cfRule>
  </conditionalFormatting>
  <conditionalFormatting sqref="V80:V82">
    <cfRule type="expression" dxfId="528" priority="6965" stopIfTrue="1">
      <formula>$G100&lt;&gt;"No"</formula>
    </cfRule>
  </conditionalFormatting>
  <conditionalFormatting sqref="V83:V86">
    <cfRule type="expression" dxfId="527" priority="6970" stopIfTrue="1">
      <formula>$G105&lt;&gt;"No"</formula>
    </cfRule>
  </conditionalFormatting>
  <conditionalFormatting sqref="V87">
    <cfRule type="expression" dxfId="526" priority="6975" stopIfTrue="1">
      <formula>$G110&lt;&gt;"No"</formula>
    </cfRule>
  </conditionalFormatting>
  <conditionalFormatting sqref="V89:V93">
    <cfRule type="expression" dxfId="525" priority="6980" stopIfTrue="1">
      <formula>$G114&lt;&gt;"No"</formula>
    </cfRule>
  </conditionalFormatting>
  <conditionalFormatting sqref="V95">
    <cfRule type="expression" dxfId="524" priority="6985" stopIfTrue="1">
      <formula>$G125&lt;&gt;"No"</formula>
    </cfRule>
  </conditionalFormatting>
  <conditionalFormatting sqref="V96">
    <cfRule type="expression" dxfId="523" priority="6990" stopIfTrue="1">
      <formula>$G127&lt;&gt;"No"</formula>
    </cfRule>
  </conditionalFormatting>
  <conditionalFormatting sqref="V98:V99">
    <cfRule type="expression" dxfId="522" priority="6995" stopIfTrue="1">
      <formula>$G131&lt;&gt;"No"</formula>
    </cfRule>
  </conditionalFormatting>
  <conditionalFormatting sqref="V100:V101">
    <cfRule type="expression" dxfId="521" priority="7000" stopIfTrue="1">
      <formula>$G134&lt;&gt;"No"</formula>
    </cfRule>
  </conditionalFormatting>
  <conditionalFormatting sqref="V103:V110">
    <cfRule type="expression" dxfId="520"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1" sqref="C11:D11"/>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4039"/>
      <c r="D3" s="4040"/>
      <c r="E3" s="4040"/>
      <c r="F3" s="4040"/>
      <c r="G3" s="4040"/>
      <c r="H3" s="4040"/>
      <c r="I3" s="448"/>
      <c r="J3" s="448"/>
      <c r="K3" s="448"/>
      <c r="L3" s="448"/>
      <c r="M3" s="448"/>
      <c r="N3" s="448"/>
      <c r="O3" s="448"/>
      <c r="P3" s="448"/>
      <c r="Q3" s="449"/>
      <c r="R3" s="450"/>
      <c r="S3" s="444"/>
      <c r="T3" s="444"/>
      <c r="U3" s="294"/>
      <c r="V3" s="4039"/>
      <c r="W3" s="4040"/>
      <c r="X3" s="4040"/>
      <c r="Y3" s="4040"/>
      <c r="Z3" s="4040"/>
      <c r="AA3" s="4040"/>
      <c r="AB3" s="448"/>
      <c r="AC3" s="448"/>
      <c r="AD3" s="448"/>
      <c r="AE3" s="448"/>
      <c r="AF3" s="448"/>
      <c r="AG3" s="448"/>
      <c r="AH3" s="448"/>
      <c r="AI3" s="448"/>
      <c r="AJ3" s="449"/>
      <c r="AK3" s="450"/>
      <c r="AL3" s="444"/>
      <c r="AM3" s="444"/>
      <c r="AN3" s="294"/>
      <c r="AO3" s="4039"/>
      <c r="AP3" s="4040"/>
      <c r="AQ3" s="4040"/>
      <c r="AR3" s="4040"/>
      <c r="AS3" s="4040"/>
      <c r="AT3" s="4040"/>
      <c r="AU3" s="448"/>
      <c r="AV3" s="448"/>
      <c r="AW3" s="448"/>
      <c r="AX3" s="448"/>
      <c r="AY3" s="448"/>
      <c r="AZ3" s="448"/>
      <c r="BA3" s="448"/>
      <c r="BB3" s="448"/>
      <c r="BC3" s="449"/>
      <c r="BD3" s="450"/>
      <c r="BE3" s="444"/>
    </row>
    <row r="4" spans="1:57" ht="12" customHeight="1" x14ac:dyDescent="0.2">
      <c r="A4" s="444"/>
      <c r="B4" s="294"/>
      <c r="C4" s="4041"/>
      <c r="D4" s="4042"/>
      <c r="E4" s="4042"/>
      <c r="F4" s="4042"/>
      <c r="G4" s="4042"/>
      <c r="H4" s="4042"/>
      <c r="I4" s="356"/>
      <c r="J4" s="4045" t="s">
        <v>1331</v>
      </c>
      <c r="K4" s="4046"/>
      <c r="L4" s="3025" t="str">
        <f>IF(OR(General!$F$22="",General!$F$22=0),"",General!$F$22)</f>
        <v/>
      </c>
      <c r="M4" s="3025"/>
      <c r="N4" s="3025"/>
      <c r="O4" s="3025"/>
      <c r="P4" s="3025"/>
      <c r="Q4" s="399"/>
      <c r="R4" s="450"/>
      <c r="S4" s="444"/>
      <c r="T4" s="444"/>
      <c r="U4" s="294"/>
      <c r="V4" s="4041"/>
      <c r="W4" s="4042"/>
      <c r="X4" s="4042"/>
      <c r="Y4" s="4042"/>
      <c r="Z4" s="4042"/>
      <c r="AA4" s="4042"/>
      <c r="AB4" s="356"/>
      <c r="AC4" s="4037" t="s">
        <v>6386</v>
      </c>
      <c r="AD4" s="4038"/>
      <c r="AE4" s="4038"/>
      <c r="AF4" s="4038"/>
      <c r="AG4" s="4038"/>
      <c r="AH4" s="4038"/>
      <c r="AI4" s="4038"/>
      <c r="AJ4" s="399"/>
      <c r="AK4" s="450"/>
      <c r="AL4" s="444"/>
      <c r="AM4" s="444"/>
      <c r="AN4" s="294"/>
      <c r="AO4" s="4041"/>
      <c r="AP4" s="4042"/>
      <c r="AQ4" s="4042"/>
      <c r="AR4" s="4042"/>
      <c r="AS4" s="4042"/>
      <c r="AT4" s="4042"/>
      <c r="AU4" s="356"/>
      <c r="AV4" s="4037" t="s">
        <v>6386</v>
      </c>
      <c r="AW4" s="4038"/>
      <c r="AX4" s="4038"/>
      <c r="AY4" s="4038"/>
      <c r="AZ4" s="4038"/>
      <c r="BA4" s="4038"/>
      <c r="BB4" s="4038"/>
      <c r="BC4" s="399"/>
      <c r="BD4" s="450"/>
      <c r="BE4" s="444"/>
    </row>
    <row r="5" spans="1:57" ht="12" customHeight="1" x14ac:dyDescent="0.2">
      <c r="A5" s="444"/>
      <c r="B5" s="294"/>
      <c r="C5" s="4041"/>
      <c r="D5" s="4042"/>
      <c r="E5" s="4042"/>
      <c r="F5" s="4042"/>
      <c r="G5" s="4042"/>
      <c r="H5" s="4042"/>
      <c r="I5" s="356"/>
      <c r="J5" s="4035" t="s">
        <v>1332</v>
      </c>
      <c r="K5" s="4036"/>
      <c r="L5" s="2838" t="str">
        <f>PDs!$J$8</f>
        <v>Novel</v>
      </c>
      <c r="M5" s="2838"/>
      <c r="N5" s="2838"/>
      <c r="O5" s="2610" t="s">
        <v>1333</v>
      </c>
      <c r="P5" s="2611" t="str">
        <f>Principal!$O$6</f>
        <v>1</v>
      </c>
      <c r="Q5" s="451"/>
      <c r="R5" s="450"/>
      <c r="S5" s="444"/>
      <c r="T5" s="444"/>
      <c r="U5" s="294"/>
      <c r="V5" s="4041"/>
      <c r="W5" s="4042"/>
      <c r="X5" s="4042"/>
      <c r="Y5" s="4042"/>
      <c r="Z5" s="4042"/>
      <c r="AA5" s="4042"/>
      <c r="AB5" s="356"/>
      <c r="AC5" s="4038"/>
      <c r="AD5" s="4038"/>
      <c r="AE5" s="4038"/>
      <c r="AF5" s="4038"/>
      <c r="AG5" s="4038"/>
      <c r="AH5" s="4038"/>
      <c r="AI5" s="4038"/>
      <c r="AJ5" s="451"/>
      <c r="AK5" s="450"/>
      <c r="AL5" s="444"/>
      <c r="AM5" s="444"/>
      <c r="AN5" s="294"/>
      <c r="AO5" s="4041"/>
      <c r="AP5" s="4042"/>
      <c r="AQ5" s="4042"/>
      <c r="AR5" s="4042"/>
      <c r="AS5" s="4042"/>
      <c r="AT5" s="4042"/>
      <c r="AU5" s="356"/>
      <c r="AV5" s="4038"/>
      <c r="AW5" s="4038"/>
      <c r="AX5" s="4038"/>
      <c r="AY5" s="4038"/>
      <c r="AZ5" s="4038"/>
      <c r="BA5" s="4038"/>
      <c r="BB5" s="4038"/>
      <c r="BC5" s="451"/>
      <c r="BD5" s="450"/>
      <c r="BE5" s="444"/>
    </row>
    <row r="6" spans="1:57" ht="12" customHeight="1" x14ac:dyDescent="0.2">
      <c r="A6" s="444"/>
      <c r="B6" s="294"/>
      <c r="C6" s="4041"/>
      <c r="D6" s="4042"/>
      <c r="E6" s="4042"/>
      <c r="F6" s="4042"/>
      <c r="G6" s="4042"/>
      <c r="H6" s="4042"/>
      <c r="I6" s="356"/>
      <c r="J6" s="4037" t="s">
        <v>6387</v>
      </c>
      <c r="K6" s="4038"/>
      <c r="L6" s="4038"/>
      <c r="M6" s="4038"/>
      <c r="N6" s="4038"/>
      <c r="O6" s="4038"/>
      <c r="P6" s="4038"/>
      <c r="Q6" s="451"/>
      <c r="R6" s="450"/>
      <c r="S6" s="444"/>
      <c r="T6" s="444"/>
      <c r="U6" s="294"/>
      <c r="V6" s="4041"/>
      <c r="W6" s="4042"/>
      <c r="X6" s="4042"/>
      <c r="Y6" s="4042"/>
      <c r="Z6" s="4042"/>
      <c r="AA6" s="4042"/>
      <c r="AB6" s="356"/>
      <c r="AC6" s="5974"/>
      <c r="AD6" s="5975"/>
      <c r="AE6" s="5975"/>
      <c r="AF6" s="5975"/>
      <c r="AG6" s="5975"/>
      <c r="AH6" s="5975"/>
      <c r="AI6" s="5975"/>
      <c r="AJ6" s="451"/>
      <c r="AK6" s="450"/>
      <c r="AL6" s="444"/>
      <c r="AM6" s="444"/>
      <c r="AN6" s="294"/>
      <c r="AO6" s="4041"/>
      <c r="AP6" s="4042"/>
      <c r="AQ6" s="4042"/>
      <c r="AR6" s="4042"/>
      <c r="AS6" s="4042"/>
      <c r="AT6" s="4042"/>
      <c r="AU6" s="356"/>
      <c r="AV6" s="5974"/>
      <c r="AW6" s="5975"/>
      <c r="AX6" s="5975"/>
      <c r="AY6" s="5975"/>
      <c r="AZ6" s="5975"/>
      <c r="BA6" s="5975"/>
      <c r="BB6" s="5975"/>
      <c r="BC6" s="451"/>
      <c r="BD6" s="450"/>
      <c r="BE6" s="444"/>
    </row>
    <row r="7" spans="1:57" ht="12" customHeight="1" x14ac:dyDescent="0.2">
      <c r="A7" s="444"/>
      <c r="B7" s="294"/>
      <c r="C7" s="4041"/>
      <c r="D7" s="4042"/>
      <c r="E7" s="4042"/>
      <c r="F7" s="4042"/>
      <c r="G7" s="4042"/>
      <c r="H7" s="4042"/>
      <c r="I7" s="356"/>
      <c r="J7" s="4038"/>
      <c r="K7" s="4038"/>
      <c r="L7" s="4038"/>
      <c r="M7" s="4038"/>
      <c r="N7" s="4038"/>
      <c r="O7" s="4038"/>
      <c r="P7" s="4038"/>
      <c r="Q7" s="451"/>
      <c r="R7" s="450"/>
      <c r="S7" s="444"/>
      <c r="T7" s="444"/>
      <c r="U7" s="294"/>
      <c r="V7" s="4041"/>
      <c r="W7" s="4042"/>
      <c r="X7" s="4042"/>
      <c r="Y7" s="4042"/>
      <c r="Z7" s="4042"/>
      <c r="AA7" s="4042"/>
      <c r="AB7" s="356"/>
      <c r="AC7" s="5975"/>
      <c r="AD7" s="5975"/>
      <c r="AE7" s="5975"/>
      <c r="AF7" s="5975"/>
      <c r="AG7" s="5975"/>
      <c r="AH7" s="5975"/>
      <c r="AI7" s="5975"/>
      <c r="AJ7" s="451"/>
      <c r="AK7" s="450"/>
      <c r="AL7" s="444"/>
      <c r="AM7" s="444"/>
      <c r="AN7" s="294"/>
      <c r="AO7" s="4041"/>
      <c r="AP7" s="4042"/>
      <c r="AQ7" s="4042"/>
      <c r="AR7" s="4042"/>
      <c r="AS7" s="4042"/>
      <c r="AT7" s="4042"/>
      <c r="AU7" s="356"/>
      <c r="AV7" s="5975"/>
      <c r="AW7" s="5975"/>
      <c r="AX7" s="5975"/>
      <c r="AY7" s="5975"/>
      <c r="AZ7" s="5975"/>
      <c r="BA7" s="5975"/>
      <c r="BB7" s="5975"/>
      <c r="BC7" s="451"/>
      <c r="BD7" s="450"/>
      <c r="BE7" s="444"/>
    </row>
    <row r="8" spans="1:57" ht="12" customHeight="1" thickBot="1" x14ac:dyDescent="0.25">
      <c r="A8" s="444"/>
      <c r="B8" s="294"/>
      <c r="C8" s="4043"/>
      <c r="D8" s="4044"/>
      <c r="E8" s="4044"/>
      <c r="F8" s="4044"/>
      <c r="G8" s="4044"/>
      <c r="H8" s="4044"/>
      <c r="I8" s="452"/>
      <c r="J8" s="452"/>
      <c r="K8" s="452"/>
      <c r="L8" s="452"/>
      <c r="M8" s="452"/>
      <c r="N8" s="452"/>
      <c r="O8" s="452"/>
      <c r="P8" s="452"/>
      <c r="Q8" s="453"/>
      <c r="R8" s="450"/>
      <c r="S8" s="444"/>
      <c r="T8" s="444"/>
      <c r="U8" s="294"/>
      <c r="V8" s="4043"/>
      <c r="W8" s="4044"/>
      <c r="X8" s="4044"/>
      <c r="Y8" s="4044"/>
      <c r="Z8" s="4044"/>
      <c r="AA8" s="4044"/>
      <c r="AB8" s="452"/>
      <c r="AC8" s="452"/>
      <c r="AD8" s="452"/>
      <c r="AE8" s="452"/>
      <c r="AF8" s="452"/>
      <c r="AG8" s="452"/>
      <c r="AH8" s="452"/>
      <c r="AI8" s="452"/>
      <c r="AJ8" s="453"/>
      <c r="AK8" s="450"/>
      <c r="AL8" s="444"/>
      <c r="AM8" s="444"/>
      <c r="AN8" s="294"/>
      <c r="AO8" s="4043"/>
      <c r="AP8" s="4044"/>
      <c r="AQ8" s="4044"/>
      <c r="AR8" s="4044"/>
      <c r="AS8" s="4044"/>
      <c r="AT8" s="4044"/>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69" t="s">
        <v>1635</v>
      </c>
      <c r="D10" s="5970"/>
      <c r="E10" s="5970"/>
      <c r="F10" s="5970"/>
      <c r="G10" s="5970"/>
      <c r="H10" s="454" t="s">
        <v>1333</v>
      </c>
      <c r="I10" s="455">
        <f>IF(C10=0,"",VLOOKUP(C10,'Tablas Magia'!$D$6:$Z$680,3,FALSE))</f>
        <v>30</v>
      </c>
      <c r="J10" s="5971" t="s">
        <v>6388</v>
      </c>
      <c r="K10" s="5971"/>
      <c r="L10" s="5971"/>
      <c r="M10" s="5972" t="str">
        <f>IF(C10=0,"",VLOOKUP(C10,'Tablas Magia'!$D$6:$Z$680,2,FALSE))</f>
        <v>Aire</v>
      </c>
      <c r="N10" s="5972"/>
      <c r="O10" s="5972"/>
      <c r="P10" s="5972"/>
      <c r="Q10" s="5973"/>
      <c r="R10" s="450"/>
      <c r="S10" s="444"/>
      <c r="T10" s="444"/>
      <c r="U10" s="294"/>
      <c r="V10" s="5969"/>
      <c r="W10" s="5970"/>
      <c r="X10" s="5970"/>
      <c r="Y10" s="5970"/>
      <c r="Z10" s="5970"/>
      <c r="AA10" s="454" t="s">
        <v>1333</v>
      </c>
      <c r="AB10" s="455" t="str">
        <f>IF(V10=0,"",VLOOKUP(V10,'Tablas Magia'!$D$6:$Z$680,3,FALSE))</f>
        <v/>
      </c>
      <c r="AC10" s="5971" t="s">
        <v>6388</v>
      </c>
      <c r="AD10" s="5971"/>
      <c r="AE10" s="5971"/>
      <c r="AF10" s="5972" t="str">
        <f>IF(V10=0,"",VLOOKUP(V10,'Tablas Magia'!$D$6:$Z$680,2,FALSE))</f>
        <v/>
      </c>
      <c r="AG10" s="5972"/>
      <c r="AH10" s="5972"/>
      <c r="AI10" s="5972"/>
      <c r="AJ10" s="5973"/>
      <c r="AK10" s="450"/>
      <c r="AL10" s="444"/>
      <c r="AM10" s="444"/>
      <c r="AN10" s="294"/>
      <c r="AO10" s="5969"/>
      <c r="AP10" s="5970"/>
      <c r="AQ10" s="5970"/>
      <c r="AR10" s="5970"/>
      <c r="AS10" s="5970"/>
      <c r="AT10" s="454" t="s">
        <v>1333</v>
      </c>
      <c r="AU10" s="455" t="str">
        <f>IF(AO10=0,"",VLOOKUP(AO10,'Tablas Magia'!$D$6:$Z$680,3,FALSE))</f>
        <v/>
      </c>
      <c r="AV10" s="5971" t="s">
        <v>6388</v>
      </c>
      <c r="AW10" s="5971"/>
      <c r="AX10" s="5971"/>
      <c r="AY10" s="5972" t="str">
        <f>IF(AO10=0,"",VLOOKUP(AO10,'Tablas Magia'!$D$6:$Z$680,2,FALSE))</f>
        <v/>
      </c>
      <c r="AZ10" s="5972"/>
      <c r="BA10" s="5972"/>
      <c r="BB10" s="5972"/>
      <c r="BC10" s="5973"/>
      <c r="BD10" s="450"/>
      <c r="BE10" s="444"/>
    </row>
    <row r="11" spans="1:57" ht="12" customHeight="1" x14ac:dyDescent="0.2">
      <c r="A11" s="444"/>
      <c r="B11" s="294"/>
      <c r="C11" s="5989" t="s">
        <v>6389</v>
      </c>
      <c r="D11" s="5990"/>
      <c r="E11" s="456" t="s">
        <v>6390</v>
      </c>
      <c r="F11" s="456" t="s">
        <v>1517</v>
      </c>
      <c r="G11" s="456" t="s">
        <v>2914</v>
      </c>
      <c r="H11" s="457" t="s">
        <v>1845</v>
      </c>
      <c r="I11" s="5986" t="str">
        <f>IF(C10=0,"",VLOOKUP(C10,'Tablas Magia'!$D$6:$Z$680,5,FALSE))</f>
        <v>Efecto</v>
      </c>
      <c r="J11" s="5986"/>
      <c r="K11" s="5987" t="s">
        <v>6391</v>
      </c>
      <c r="L11" s="5987"/>
      <c r="M11" s="5986" t="str">
        <f>IF(C10=0,"",VLOOKUP(C10,'Tablas Magia'!$D$6:$Z$680,6,FALSE))</f>
        <v>Activa</v>
      </c>
      <c r="N11" s="5986"/>
      <c r="O11" s="5988" t="s">
        <v>6392</v>
      </c>
      <c r="P11" s="5988"/>
      <c r="Q11" s="458" t="str">
        <f>IF(C10=0,"",VLOOKUP(C10,'Tablas Magia'!$D$6:$Z$680,4,FALSE))</f>
        <v>No</v>
      </c>
      <c r="R11" s="450"/>
      <c r="S11" s="444"/>
      <c r="T11" s="444"/>
      <c r="U11" s="294"/>
      <c r="V11" s="5989" t="s">
        <v>6389</v>
      </c>
      <c r="W11" s="5990"/>
      <c r="X11" s="456" t="s">
        <v>6390</v>
      </c>
      <c r="Y11" s="456" t="s">
        <v>1517</v>
      </c>
      <c r="Z11" s="456" t="s">
        <v>2914</v>
      </c>
      <c r="AA11" s="457" t="s">
        <v>1845</v>
      </c>
      <c r="AB11" s="5986" t="str">
        <f>IF(V10=0,"",VLOOKUP(V10,'Tablas Magia'!$D$6:$Z$680,5,FALSE))</f>
        <v/>
      </c>
      <c r="AC11" s="5986"/>
      <c r="AD11" s="5987" t="s">
        <v>6391</v>
      </c>
      <c r="AE11" s="5987"/>
      <c r="AF11" s="5986" t="str">
        <f>IF(V10=0,"",VLOOKUP(V10,'Tablas Magia'!$D$6:$Z$680,6,FALSE))</f>
        <v/>
      </c>
      <c r="AG11" s="5986"/>
      <c r="AH11" s="5988" t="s">
        <v>6392</v>
      </c>
      <c r="AI11" s="5988"/>
      <c r="AJ11" s="458" t="str">
        <f>IF(V10=0,"",VLOOKUP(V10,'Tablas Magia'!$D$6:$Z$680,4,FALSE))</f>
        <v/>
      </c>
      <c r="AK11" s="450"/>
      <c r="AL11" s="444"/>
      <c r="AM11" s="444"/>
      <c r="AN11" s="294"/>
      <c r="AO11" s="5989" t="s">
        <v>6389</v>
      </c>
      <c r="AP11" s="5990"/>
      <c r="AQ11" s="456" t="s">
        <v>6390</v>
      </c>
      <c r="AR11" s="456" t="s">
        <v>1517</v>
      </c>
      <c r="AS11" s="456" t="s">
        <v>2914</v>
      </c>
      <c r="AT11" s="457" t="s">
        <v>1845</v>
      </c>
      <c r="AU11" s="5986" t="str">
        <f>IF(AO10=0,"",VLOOKUP(AO10,'Tablas Magia'!$D$6:$Z$680,5,FALSE))</f>
        <v/>
      </c>
      <c r="AV11" s="5986"/>
      <c r="AW11" s="5987" t="s">
        <v>6391</v>
      </c>
      <c r="AX11" s="5987"/>
      <c r="AY11" s="5986" t="str">
        <f>IF(AO10=0,"",VLOOKUP(AO10,'Tablas Magia'!$D$6:$Z$680,6,FALSE))</f>
        <v/>
      </c>
      <c r="AZ11" s="5986"/>
      <c r="BA11" s="5988" t="s">
        <v>6392</v>
      </c>
      <c r="BB11" s="5988"/>
      <c r="BC11" s="458" t="str">
        <f>IF(AO10=0,"",VLOOKUP(AO10,'Tablas Magia'!$D$6:$Z$680,4,FALSE))</f>
        <v/>
      </c>
      <c r="BD11" s="450"/>
      <c r="BE11" s="444"/>
    </row>
    <row r="12" spans="1:57" ht="12" customHeight="1" x14ac:dyDescent="0.2">
      <c r="A12" s="444"/>
      <c r="B12" s="294"/>
      <c r="C12" s="5981" t="s">
        <v>1373</v>
      </c>
      <c r="D12" s="5982"/>
      <c r="E12" s="459">
        <f>IF(C10=0,"",VLOOKUP(C10,'Tablas Magia'!$D$6:$Z$680,7,FALSE))</f>
        <v>6</v>
      </c>
      <c r="F12" s="459">
        <f>IF(C10=0,"",VLOOKUP(C10,'Tablas Magia'!$D$6:$Z$680,11,FALSE))</f>
        <v>60</v>
      </c>
      <c r="G12" s="460">
        <f>IF(C10=0,"",VLOOKUP(C10,'Tablas Magia'!$D$6:$Z$680,15,FALSE))</f>
        <v>15</v>
      </c>
      <c r="H12" s="5983" t="str">
        <f>IF(C10=0,"",VLOOKUP(C10,'Tablas Magia'!$D$6:$Z$680,19,FALSE))</f>
        <v>tipo vuelo 4</v>
      </c>
      <c r="I12" s="5984"/>
      <c r="J12" s="5984"/>
      <c r="K12" s="5984"/>
      <c r="L12" s="5984"/>
      <c r="M12" s="5984"/>
      <c r="N12" s="5984"/>
      <c r="O12" s="5984"/>
      <c r="P12" s="5984"/>
      <c r="Q12" s="5985"/>
      <c r="R12" s="450"/>
      <c r="S12" s="444"/>
      <c r="T12" s="444"/>
      <c r="U12" s="294"/>
      <c r="V12" s="5981" t="s">
        <v>1373</v>
      </c>
      <c r="W12" s="5982"/>
      <c r="X12" s="459" t="str">
        <f>IF(V10=0,"",VLOOKUP(V10,'Tablas Magia'!$D$6:$Z$680,7,FALSE))</f>
        <v/>
      </c>
      <c r="Y12" s="459" t="str">
        <f>IF(V10=0,"",VLOOKUP(V10,'Tablas Magia'!$D$6:$Z$680,11,FALSE))</f>
        <v/>
      </c>
      <c r="Z12" s="460" t="str">
        <f>IF(V10=0,"",VLOOKUP(V10,'Tablas Magia'!$D$6:$Z$680,15,FALSE))</f>
        <v/>
      </c>
      <c r="AA12" s="5983" t="str">
        <f>IF(V10=0,"",VLOOKUP(V10,'Tablas Magia'!$D$6:$Z$680,19,FALSE))</f>
        <v/>
      </c>
      <c r="AB12" s="5984"/>
      <c r="AC12" s="5984"/>
      <c r="AD12" s="5984"/>
      <c r="AE12" s="5984"/>
      <c r="AF12" s="5984"/>
      <c r="AG12" s="5984"/>
      <c r="AH12" s="5984"/>
      <c r="AI12" s="5984"/>
      <c r="AJ12" s="5985"/>
      <c r="AK12" s="450"/>
      <c r="AL12" s="444"/>
      <c r="AM12" s="444"/>
      <c r="AN12" s="294"/>
      <c r="AO12" s="5981" t="s">
        <v>1373</v>
      </c>
      <c r="AP12" s="5982"/>
      <c r="AQ12" s="459" t="str">
        <f>IF(AO10=0,"",VLOOKUP(AO10,'Tablas Magia'!$D$6:$Z$680,7,FALSE))</f>
        <v/>
      </c>
      <c r="AR12" s="459" t="str">
        <f>IF(AO10=0,"",VLOOKUP(AO10,'Tablas Magia'!$D$6:$Z$680,11,FALSE))</f>
        <v/>
      </c>
      <c r="AS12" s="460" t="str">
        <f>IF(AO10=0,"",VLOOKUP(AO10,'Tablas Magia'!$D$6:$Z$680,15,FALSE))</f>
        <v/>
      </c>
      <c r="AT12" s="5983" t="str">
        <f>IF(AO10=0,"",VLOOKUP(AO10,'Tablas Magia'!$D$6:$Z$680,19,FALSE))</f>
        <v/>
      </c>
      <c r="AU12" s="5984"/>
      <c r="AV12" s="5984"/>
      <c r="AW12" s="5984"/>
      <c r="AX12" s="5984"/>
      <c r="AY12" s="5984"/>
      <c r="AZ12" s="5984"/>
      <c r="BA12" s="5984"/>
      <c r="BB12" s="5984"/>
      <c r="BC12" s="5985"/>
      <c r="BD12" s="450"/>
      <c r="BE12" s="444"/>
    </row>
    <row r="13" spans="1:57" ht="12" customHeight="1" x14ac:dyDescent="0.2">
      <c r="A13" s="444"/>
      <c r="B13" s="294"/>
      <c r="C13" s="5976" t="s">
        <v>3285</v>
      </c>
      <c r="D13" s="5977"/>
      <c r="E13" s="461">
        <f>IF(C10=0,"",VLOOKUP(C10,'Tablas Magia'!$D$6:$Z$680,8,FALSE))</f>
        <v>9</v>
      </c>
      <c r="F13" s="461">
        <f>IF(C10=0,"",VLOOKUP(C10,'Tablas Magia'!$D$6:$Z$680,12,FALSE))</f>
        <v>100</v>
      </c>
      <c r="G13" s="462">
        <f>IF(C10=0,"",VLOOKUP(C10,'Tablas Magia'!$D$6:$Z$680,16,FALSE))</f>
        <v>20</v>
      </c>
      <c r="H13" s="5978" t="str">
        <f>IF(C10=0,"",VLOOKUP(C10,'Tablas Magia'!$D$6:$Z$680,20,FALSE))</f>
        <v>tipo vuelo 8</v>
      </c>
      <c r="I13" s="5979"/>
      <c r="J13" s="5979"/>
      <c r="K13" s="5979"/>
      <c r="L13" s="5979"/>
      <c r="M13" s="5979"/>
      <c r="N13" s="5979"/>
      <c r="O13" s="5979"/>
      <c r="P13" s="5979"/>
      <c r="Q13" s="5980"/>
      <c r="R13" s="450"/>
      <c r="S13" s="444"/>
      <c r="T13" s="444"/>
      <c r="U13" s="294"/>
      <c r="V13" s="5976" t="s">
        <v>3285</v>
      </c>
      <c r="W13" s="5977"/>
      <c r="X13" s="461" t="str">
        <f>IF(V10=0,"",VLOOKUP(V10,'Tablas Magia'!$D$6:$Z$680,8,FALSE))</f>
        <v/>
      </c>
      <c r="Y13" s="461" t="str">
        <f>IF(V10=0,"",VLOOKUP(V10,'Tablas Magia'!$D$6:$Z$680,12,FALSE))</f>
        <v/>
      </c>
      <c r="Z13" s="462" t="str">
        <f>IF(V10=0,"",VLOOKUP(V10,'Tablas Magia'!$D$6:$Z$680,16,FALSE))</f>
        <v/>
      </c>
      <c r="AA13" s="5978" t="str">
        <f>IF(V10=0,"",VLOOKUP(V10,'Tablas Magia'!$D$6:$Z$680,20,FALSE))</f>
        <v/>
      </c>
      <c r="AB13" s="5979"/>
      <c r="AC13" s="5979"/>
      <c r="AD13" s="5979"/>
      <c r="AE13" s="5979"/>
      <c r="AF13" s="5979"/>
      <c r="AG13" s="5979"/>
      <c r="AH13" s="5979"/>
      <c r="AI13" s="5979"/>
      <c r="AJ13" s="5980"/>
      <c r="AK13" s="450"/>
      <c r="AL13" s="444"/>
      <c r="AM13" s="444"/>
      <c r="AN13" s="294"/>
      <c r="AO13" s="5976" t="s">
        <v>3285</v>
      </c>
      <c r="AP13" s="5977"/>
      <c r="AQ13" s="461" t="str">
        <f>IF(AO10=0,"",VLOOKUP(AO10,'Tablas Magia'!$D$6:$Z$680,8,FALSE))</f>
        <v/>
      </c>
      <c r="AR13" s="461" t="str">
        <f>IF(AO10=0,"",VLOOKUP(AO10,'Tablas Magia'!$D$6:$Z$680,12,FALSE))</f>
        <v/>
      </c>
      <c r="AS13" s="462" t="str">
        <f>IF(AO10=0,"",VLOOKUP(AO10,'Tablas Magia'!$D$6:$Z$680,16,FALSE))</f>
        <v/>
      </c>
      <c r="AT13" s="5978" t="str">
        <f>IF(AO10=0,"",VLOOKUP(AO10,'Tablas Magia'!$D$6:$Z$680,20,FALSE))</f>
        <v/>
      </c>
      <c r="AU13" s="5979"/>
      <c r="AV13" s="5979"/>
      <c r="AW13" s="5979"/>
      <c r="AX13" s="5979"/>
      <c r="AY13" s="5979"/>
      <c r="AZ13" s="5979"/>
      <c r="BA13" s="5979"/>
      <c r="BB13" s="5979"/>
      <c r="BC13" s="5980"/>
      <c r="BD13" s="450"/>
      <c r="BE13" s="444"/>
    </row>
    <row r="14" spans="1:57" ht="12" customHeight="1" x14ac:dyDescent="0.2">
      <c r="A14" s="444"/>
      <c r="B14" s="294"/>
      <c r="C14" s="5981" t="s">
        <v>3286</v>
      </c>
      <c r="D14" s="5982"/>
      <c r="E14" s="459">
        <f>IF(C10=0,"",VLOOKUP(C10,'Tablas Magia'!$D$6:$Z$680,9,FALSE))</f>
        <v>12</v>
      </c>
      <c r="F14" s="459">
        <f>IF(C10=0,"",VLOOKUP(C10,'Tablas Magia'!$D$6:$Z$680,13,FALSE))</f>
        <v>150</v>
      </c>
      <c r="G14" s="460">
        <f>IF(C10=0,"",VLOOKUP(C10,'Tablas Magia'!$D$6:$Z$680,17,FALSE))</f>
        <v>25</v>
      </c>
      <c r="H14" s="5983" t="str">
        <f>IF(C10=0,"",VLOOKUP(C10,'Tablas Magia'!$D$6:$Z$680,21,FALSE))</f>
        <v>tipo vuelo 12</v>
      </c>
      <c r="I14" s="5984"/>
      <c r="J14" s="5984"/>
      <c r="K14" s="5984"/>
      <c r="L14" s="5984"/>
      <c r="M14" s="5984"/>
      <c r="N14" s="5984"/>
      <c r="O14" s="5984"/>
      <c r="P14" s="5984"/>
      <c r="Q14" s="5985"/>
      <c r="R14" s="450"/>
      <c r="S14" s="444"/>
      <c r="T14" s="444"/>
      <c r="U14" s="294"/>
      <c r="V14" s="5981" t="s">
        <v>3286</v>
      </c>
      <c r="W14" s="5982"/>
      <c r="X14" s="459" t="str">
        <f>IF(V10=0,"",VLOOKUP(V10,'Tablas Magia'!$D$6:$Z$680,9,FALSE))</f>
        <v/>
      </c>
      <c r="Y14" s="459" t="str">
        <f>IF(V10=0,"",VLOOKUP(V10,'Tablas Magia'!$D$6:$Z$680,13,FALSE))</f>
        <v/>
      </c>
      <c r="Z14" s="460" t="str">
        <f>IF(V10=0,"",VLOOKUP(V10,'Tablas Magia'!$D$6:$Z$680,17,FALSE))</f>
        <v/>
      </c>
      <c r="AA14" s="5983" t="str">
        <f>IF(V10=0,"",VLOOKUP(V10,'Tablas Magia'!$D$6:$Z$680,21,FALSE))</f>
        <v/>
      </c>
      <c r="AB14" s="5984"/>
      <c r="AC14" s="5984"/>
      <c r="AD14" s="5984"/>
      <c r="AE14" s="5984"/>
      <c r="AF14" s="5984"/>
      <c r="AG14" s="5984"/>
      <c r="AH14" s="5984"/>
      <c r="AI14" s="5984"/>
      <c r="AJ14" s="5985"/>
      <c r="AK14" s="450"/>
      <c r="AL14" s="444"/>
      <c r="AM14" s="444"/>
      <c r="AN14" s="294"/>
      <c r="AO14" s="5981" t="s">
        <v>3286</v>
      </c>
      <c r="AP14" s="5982"/>
      <c r="AQ14" s="459" t="str">
        <f>IF(AO10=0,"",VLOOKUP(AO10,'Tablas Magia'!$D$6:$Z$680,9,FALSE))</f>
        <v/>
      </c>
      <c r="AR14" s="459" t="str">
        <f>IF(AO10=0,"",VLOOKUP(AO10,'Tablas Magia'!$D$6:$Z$680,13,FALSE))</f>
        <v/>
      </c>
      <c r="AS14" s="460" t="str">
        <f>IF(AO10=0,"",VLOOKUP(AO10,'Tablas Magia'!$D$6:$Z$680,17,FALSE))</f>
        <v/>
      </c>
      <c r="AT14" s="5983" t="str">
        <f>IF(AO10=0,"",VLOOKUP(AO10,'Tablas Magia'!$D$6:$Z$680,21,FALSE))</f>
        <v/>
      </c>
      <c r="AU14" s="5984"/>
      <c r="AV14" s="5984"/>
      <c r="AW14" s="5984"/>
      <c r="AX14" s="5984"/>
      <c r="AY14" s="5984"/>
      <c r="AZ14" s="5984"/>
      <c r="BA14" s="5984"/>
      <c r="BB14" s="5984"/>
      <c r="BC14" s="5985"/>
      <c r="BD14" s="450"/>
      <c r="BE14" s="444"/>
    </row>
    <row r="15" spans="1:57" ht="12" customHeight="1" thickBot="1" x14ac:dyDescent="0.25">
      <c r="A15" s="444"/>
      <c r="B15" s="294"/>
      <c r="C15" s="5991" t="s">
        <v>3287</v>
      </c>
      <c r="D15" s="5992"/>
      <c r="E15" s="463">
        <f>IF(C10=0,"",VLOOKUP(C10,'Tablas Magia'!$D$6:$Z$680,10,FALSE))</f>
        <v>15</v>
      </c>
      <c r="F15" s="463">
        <f>IF(C10=0,"",VLOOKUP(C10,'Tablas Magia'!$D$6:$Z$680,14,FALSE))</f>
        <v>240</v>
      </c>
      <c r="G15" s="464">
        <f>IF(C10=0,"",VLOOKUP(C10,'Tablas Magia'!$D$6:$Z$680,18,FALSE))</f>
        <v>30</v>
      </c>
      <c r="H15" s="5993" t="str">
        <f>IF(C10=0,"",VLOOKUP(C10,'Tablas Magia'!$D$6:$Z$680,22,FALSE))</f>
        <v>tipo vuelo 15</v>
      </c>
      <c r="I15" s="5994"/>
      <c r="J15" s="5994"/>
      <c r="K15" s="5994"/>
      <c r="L15" s="5994"/>
      <c r="M15" s="5994"/>
      <c r="N15" s="5994"/>
      <c r="O15" s="5994"/>
      <c r="P15" s="5994"/>
      <c r="Q15" s="5995"/>
      <c r="R15" s="450"/>
      <c r="S15" s="444"/>
      <c r="T15" s="444"/>
      <c r="U15" s="294"/>
      <c r="V15" s="5991" t="s">
        <v>3287</v>
      </c>
      <c r="W15" s="5992"/>
      <c r="X15" s="463" t="str">
        <f>IF(V10=0,"",VLOOKUP(V10,'Tablas Magia'!$D$6:$Z$680,10,FALSE))</f>
        <v/>
      </c>
      <c r="Y15" s="463" t="str">
        <f>IF(V10=0,"",VLOOKUP(V10,'Tablas Magia'!$D$6:$Z$680,14,FALSE))</f>
        <v/>
      </c>
      <c r="Z15" s="464" t="str">
        <f>IF(V10=0,"",VLOOKUP(V10,'Tablas Magia'!$D$6:$Z$680,18,FALSE))</f>
        <v/>
      </c>
      <c r="AA15" s="5993" t="str">
        <f>IF(V10=0,"",VLOOKUP(V10,'Tablas Magia'!$D$6:$Z$680,22,FALSE))</f>
        <v/>
      </c>
      <c r="AB15" s="5994"/>
      <c r="AC15" s="5994"/>
      <c r="AD15" s="5994"/>
      <c r="AE15" s="5994"/>
      <c r="AF15" s="5994"/>
      <c r="AG15" s="5994"/>
      <c r="AH15" s="5994"/>
      <c r="AI15" s="5994"/>
      <c r="AJ15" s="5995"/>
      <c r="AK15" s="450"/>
      <c r="AL15" s="444"/>
      <c r="AM15" s="444"/>
      <c r="AN15" s="294"/>
      <c r="AO15" s="5991" t="s">
        <v>3287</v>
      </c>
      <c r="AP15" s="5992"/>
      <c r="AQ15" s="463" t="str">
        <f>IF(AO10=0,"",VLOOKUP(AO10,'Tablas Magia'!$D$6:$Z$680,10,FALSE))</f>
        <v/>
      </c>
      <c r="AR15" s="463" t="str">
        <f>IF(AO10=0,"",VLOOKUP(AO10,'Tablas Magia'!$D$6:$Z$680,14,FALSE))</f>
        <v/>
      </c>
      <c r="AS15" s="464" t="str">
        <f>IF(AO10=0,"",VLOOKUP(AO10,'Tablas Magia'!$D$6:$Z$680,18,FALSE))</f>
        <v/>
      </c>
      <c r="AT15" s="5993" t="str">
        <f>IF(AO10=0,"",VLOOKUP(AO10,'Tablas Magia'!$D$6:$Z$680,22,FALSE))</f>
        <v/>
      </c>
      <c r="AU15" s="5994"/>
      <c r="AV15" s="5994"/>
      <c r="AW15" s="5994"/>
      <c r="AX15" s="5994"/>
      <c r="AY15" s="5994"/>
      <c r="AZ15" s="5994"/>
      <c r="BA15" s="5994"/>
      <c r="BB15" s="5994"/>
      <c r="BC15" s="5995"/>
      <c r="BD15" s="450"/>
      <c r="BE15" s="444"/>
    </row>
    <row r="16" spans="1:57" ht="12" customHeight="1" x14ac:dyDescent="0.2">
      <c r="A16" s="444"/>
      <c r="B16" s="294"/>
      <c r="C16" s="5996" t="str">
        <f>IF(C10=0,"",VLOOKUP(C10,'Tablas Magia'!$D$6:$Z$680,23,FALSE))</f>
        <v>Otorga al afectado la capacidad de moverse con un Tipo de Vuelo místico determinado por el grado del conjuro.</v>
      </c>
      <c r="D16" s="5997"/>
      <c r="E16" s="5997"/>
      <c r="F16" s="5997"/>
      <c r="G16" s="5997"/>
      <c r="H16" s="5997"/>
      <c r="I16" s="5997"/>
      <c r="J16" s="5997"/>
      <c r="K16" s="5997"/>
      <c r="L16" s="5997"/>
      <c r="M16" s="5997"/>
      <c r="N16" s="5997"/>
      <c r="O16" s="5997"/>
      <c r="P16" s="5997"/>
      <c r="Q16" s="5998"/>
      <c r="R16" s="450"/>
      <c r="S16" s="444"/>
      <c r="T16" s="444"/>
      <c r="U16" s="294"/>
      <c r="V16" s="5996" t="str">
        <f>IF(V10=0,"",VLOOKUP(V10,'Tablas Magia'!$D$6:$Z$680,23,FALSE))</f>
        <v/>
      </c>
      <c r="W16" s="5997"/>
      <c r="X16" s="5997"/>
      <c r="Y16" s="5997"/>
      <c r="Z16" s="5997"/>
      <c r="AA16" s="5997"/>
      <c r="AB16" s="5997"/>
      <c r="AC16" s="5997"/>
      <c r="AD16" s="5997"/>
      <c r="AE16" s="5997"/>
      <c r="AF16" s="5997"/>
      <c r="AG16" s="5997"/>
      <c r="AH16" s="5997"/>
      <c r="AI16" s="5997"/>
      <c r="AJ16" s="5998"/>
      <c r="AK16" s="450"/>
      <c r="AL16" s="444"/>
      <c r="AM16" s="444"/>
      <c r="AN16" s="294"/>
      <c r="AO16" s="5996" t="str">
        <f>IF(AO10=0,"",VLOOKUP(AO10,'Tablas Magia'!$D$6:$Z$680,23,FALSE))</f>
        <v/>
      </c>
      <c r="AP16" s="5997"/>
      <c r="AQ16" s="5997"/>
      <c r="AR16" s="5997"/>
      <c r="AS16" s="5997"/>
      <c r="AT16" s="5997"/>
      <c r="AU16" s="5997"/>
      <c r="AV16" s="5997"/>
      <c r="AW16" s="5997"/>
      <c r="AX16" s="5997"/>
      <c r="AY16" s="5997"/>
      <c r="AZ16" s="5997"/>
      <c r="BA16" s="5997"/>
      <c r="BB16" s="5997"/>
      <c r="BC16" s="5998"/>
      <c r="BD16" s="450"/>
      <c r="BE16" s="444"/>
    </row>
    <row r="17" spans="1:57" ht="12" customHeight="1" x14ac:dyDescent="0.2">
      <c r="A17" s="444"/>
      <c r="B17" s="294"/>
      <c r="C17" s="5999"/>
      <c r="D17" s="6000"/>
      <c r="E17" s="6000"/>
      <c r="F17" s="6000"/>
      <c r="G17" s="6000"/>
      <c r="H17" s="6000"/>
      <c r="I17" s="6000"/>
      <c r="J17" s="6000"/>
      <c r="K17" s="6000"/>
      <c r="L17" s="6000"/>
      <c r="M17" s="6000"/>
      <c r="N17" s="6000"/>
      <c r="O17" s="6000"/>
      <c r="P17" s="6000"/>
      <c r="Q17" s="6001"/>
      <c r="R17" s="450"/>
      <c r="S17" s="444"/>
      <c r="T17" s="444"/>
      <c r="U17" s="294"/>
      <c r="V17" s="5999"/>
      <c r="W17" s="6000"/>
      <c r="X17" s="6000"/>
      <c r="Y17" s="6000"/>
      <c r="Z17" s="6000"/>
      <c r="AA17" s="6000"/>
      <c r="AB17" s="6000"/>
      <c r="AC17" s="6000"/>
      <c r="AD17" s="6000"/>
      <c r="AE17" s="6000"/>
      <c r="AF17" s="6000"/>
      <c r="AG17" s="6000"/>
      <c r="AH17" s="6000"/>
      <c r="AI17" s="6000"/>
      <c r="AJ17" s="6001"/>
      <c r="AK17" s="450"/>
      <c r="AL17" s="444"/>
      <c r="AM17" s="444"/>
      <c r="AN17" s="294"/>
      <c r="AO17" s="5999"/>
      <c r="AP17" s="6000"/>
      <c r="AQ17" s="6000"/>
      <c r="AR17" s="6000"/>
      <c r="AS17" s="6000"/>
      <c r="AT17" s="6000"/>
      <c r="AU17" s="6000"/>
      <c r="AV17" s="6000"/>
      <c r="AW17" s="6000"/>
      <c r="AX17" s="6000"/>
      <c r="AY17" s="6000"/>
      <c r="AZ17" s="6000"/>
      <c r="BA17" s="6000"/>
      <c r="BB17" s="6000"/>
      <c r="BC17" s="6001"/>
      <c r="BD17" s="450"/>
      <c r="BE17" s="444"/>
    </row>
    <row r="18" spans="1:57" ht="12" customHeight="1" x14ac:dyDescent="0.2">
      <c r="A18" s="444"/>
      <c r="B18" s="294"/>
      <c r="C18" s="5999"/>
      <c r="D18" s="6000"/>
      <c r="E18" s="6000"/>
      <c r="F18" s="6000"/>
      <c r="G18" s="6000"/>
      <c r="H18" s="6000"/>
      <c r="I18" s="6000"/>
      <c r="J18" s="6000"/>
      <c r="K18" s="6000"/>
      <c r="L18" s="6000"/>
      <c r="M18" s="6000"/>
      <c r="N18" s="6000"/>
      <c r="O18" s="6000"/>
      <c r="P18" s="6000"/>
      <c r="Q18" s="6001"/>
      <c r="R18" s="450"/>
      <c r="S18" s="444"/>
      <c r="T18" s="444"/>
      <c r="U18" s="294"/>
      <c r="V18" s="5999"/>
      <c r="W18" s="6000"/>
      <c r="X18" s="6000"/>
      <c r="Y18" s="6000"/>
      <c r="Z18" s="6000"/>
      <c r="AA18" s="6000"/>
      <c r="AB18" s="6000"/>
      <c r="AC18" s="6000"/>
      <c r="AD18" s="6000"/>
      <c r="AE18" s="6000"/>
      <c r="AF18" s="6000"/>
      <c r="AG18" s="6000"/>
      <c r="AH18" s="6000"/>
      <c r="AI18" s="6000"/>
      <c r="AJ18" s="6001"/>
      <c r="AK18" s="450"/>
      <c r="AL18" s="444"/>
      <c r="AM18" s="444"/>
      <c r="AN18" s="294"/>
      <c r="AO18" s="5999"/>
      <c r="AP18" s="6000"/>
      <c r="AQ18" s="6000"/>
      <c r="AR18" s="6000"/>
      <c r="AS18" s="6000"/>
      <c r="AT18" s="6000"/>
      <c r="AU18" s="6000"/>
      <c r="AV18" s="6000"/>
      <c r="AW18" s="6000"/>
      <c r="AX18" s="6000"/>
      <c r="AY18" s="6000"/>
      <c r="AZ18" s="6000"/>
      <c r="BA18" s="6000"/>
      <c r="BB18" s="6000"/>
      <c r="BC18" s="6001"/>
      <c r="BD18" s="450"/>
      <c r="BE18" s="444"/>
    </row>
    <row r="19" spans="1:57" ht="12" customHeight="1" thickBot="1" x14ac:dyDescent="0.25">
      <c r="A19" s="444"/>
      <c r="B19" s="294"/>
      <c r="C19" s="6002"/>
      <c r="D19" s="6003"/>
      <c r="E19" s="6003"/>
      <c r="F19" s="6003"/>
      <c r="G19" s="6003"/>
      <c r="H19" s="6003"/>
      <c r="I19" s="6003"/>
      <c r="J19" s="6003"/>
      <c r="K19" s="6003"/>
      <c r="L19" s="6003"/>
      <c r="M19" s="6003"/>
      <c r="N19" s="6003"/>
      <c r="O19" s="6003"/>
      <c r="P19" s="6003"/>
      <c r="Q19" s="6004"/>
      <c r="R19" s="450"/>
      <c r="S19" s="444"/>
      <c r="T19" s="444"/>
      <c r="U19" s="294"/>
      <c r="V19" s="6002"/>
      <c r="W19" s="6003"/>
      <c r="X19" s="6003"/>
      <c r="Y19" s="6003"/>
      <c r="Z19" s="6003"/>
      <c r="AA19" s="6003"/>
      <c r="AB19" s="6003"/>
      <c r="AC19" s="6003"/>
      <c r="AD19" s="6003"/>
      <c r="AE19" s="6003"/>
      <c r="AF19" s="6003"/>
      <c r="AG19" s="6003"/>
      <c r="AH19" s="6003"/>
      <c r="AI19" s="6003"/>
      <c r="AJ19" s="6004"/>
      <c r="AK19" s="450"/>
      <c r="AL19" s="444"/>
      <c r="AM19" s="444"/>
      <c r="AN19" s="294"/>
      <c r="AO19" s="6002"/>
      <c r="AP19" s="6003"/>
      <c r="AQ19" s="6003"/>
      <c r="AR19" s="6003"/>
      <c r="AS19" s="6003"/>
      <c r="AT19" s="6003"/>
      <c r="AU19" s="6003"/>
      <c r="AV19" s="6003"/>
      <c r="AW19" s="6003"/>
      <c r="AX19" s="6003"/>
      <c r="AY19" s="6003"/>
      <c r="AZ19" s="6003"/>
      <c r="BA19" s="6003"/>
      <c r="BB19" s="6003"/>
      <c r="BC19" s="6004"/>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5"/>
      <c r="W20" s="1955"/>
      <c r="X20" s="1955"/>
      <c r="Y20" s="1955"/>
      <c r="Z20" s="1955"/>
      <c r="AA20" s="465"/>
      <c r="AB20" s="466"/>
      <c r="AC20" s="467"/>
      <c r="AD20" s="467"/>
      <c r="AE20" s="467"/>
      <c r="AF20" s="397"/>
      <c r="AG20" s="397"/>
      <c r="AH20" s="397"/>
      <c r="AI20" s="397"/>
      <c r="AJ20" s="397"/>
      <c r="AK20" s="450"/>
      <c r="AL20" s="444"/>
      <c r="AM20" s="444"/>
      <c r="AN20" s="294"/>
      <c r="AO20" s="1955"/>
      <c r="AP20" s="1955"/>
      <c r="AQ20" s="1955"/>
      <c r="AR20" s="1955"/>
      <c r="AS20" s="1955"/>
      <c r="AT20" s="465"/>
      <c r="AU20" s="466"/>
      <c r="AV20" s="467"/>
      <c r="AW20" s="467"/>
      <c r="AX20" s="467"/>
      <c r="AY20" s="397"/>
      <c r="AZ20" s="397"/>
      <c r="BA20" s="397"/>
      <c r="BB20" s="397"/>
      <c r="BC20" s="397"/>
      <c r="BD20" s="450"/>
      <c r="BE20" s="444"/>
    </row>
    <row r="21" spans="1:57" ht="12" customHeight="1" x14ac:dyDescent="0.2">
      <c r="A21" s="444"/>
      <c r="B21" s="294"/>
      <c r="C21" s="5969"/>
      <c r="D21" s="5970"/>
      <c r="E21" s="5970"/>
      <c r="F21" s="5970"/>
      <c r="G21" s="5970"/>
      <c r="H21" s="454" t="s">
        <v>1333</v>
      </c>
      <c r="I21" s="455" t="str">
        <f>IF(C21=0,"",VLOOKUP(C21,'Tablas Magia'!$D$6:$Z$680,3,FALSE))</f>
        <v/>
      </c>
      <c r="J21" s="5971" t="s">
        <v>6388</v>
      </c>
      <c r="K21" s="5971"/>
      <c r="L21" s="5971"/>
      <c r="M21" s="5972" t="str">
        <f>IF(C21=0,"",VLOOKUP(C21,'Tablas Magia'!$D$6:$Z$680,2,FALSE))</f>
        <v/>
      </c>
      <c r="N21" s="5972"/>
      <c r="O21" s="5972"/>
      <c r="P21" s="5972"/>
      <c r="Q21" s="5973"/>
      <c r="R21" s="450"/>
      <c r="S21" s="444"/>
      <c r="T21" s="444"/>
      <c r="U21" s="294"/>
      <c r="V21" s="5969"/>
      <c r="W21" s="5970"/>
      <c r="X21" s="5970"/>
      <c r="Y21" s="5970"/>
      <c r="Z21" s="5970"/>
      <c r="AA21" s="454" t="s">
        <v>1333</v>
      </c>
      <c r="AB21" s="455" t="str">
        <f>IF(V21=0,"",VLOOKUP(V21,'Tablas Magia'!$D$6:$Z$680,3,FALSE))</f>
        <v/>
      </c>
      <c r="AC21" s="5971" t="s">
        <v>6388</v>
      </c>
      <c r="AD21" s="5971"/>
      <c r="AE21" s="5971"/>
      <c r="AF21" s="5972" t="str">
        <f>IF(V21=0,"",VLOOKUP(V21,'Tablas Magia'!$D$6:$Z$680,2,FALSE))</f>
        <v/>
      </c>
      <c r="AG21" s="5972"/>
      <c r="AH21" s="5972"/>
      <c r="AI21" s="5972"/>
      <c r="AJ21" s="5973"/>
      <c r="AK21" s="450"/>
      <c r="AL21" s="444"/>
      <c r="AM21" s="444"/>
      <c r="AN21" s="294"/>
      <c r="AO21" s="5969"/>
      <c r="AP21" s="5970"/>
      <c r="AQ21" s="5970"/>
      <c r="AR21" s="5970"/>
      <c r="AS21" s="5970"/>
      <c r="AT21" s="454" t="s">
        <v>1333</v>
      </c>
      <c r="AU21" s="455" t="str">
        <f>IF(AO21=0,"",VLOOKUP(AO21,'Tablas Magia'!$D$6:$Z$680,3,FALSE))</f>
        <v/>
      </c>
      <c r="AV21" s="5971" t="s">
        <v>6388</v>
      </c>
      <c r="AW21" s="5971"/>
      <c r="AX21" s="5971"/>
      <c r="AY21" s="5972" t="str">
        <f>IF(AO21=0,"",VLOOKUP(AO21,'Tablas Magia'!$D$6:$Z$680,2,FALSE))</f>
        <v/>
      </c>
      <c r="AZ21" s="5972"/>
      <c r="BA21" s="5972"/>
      <c r="BB21" s="5972"/>
      <c r="BC21" s="5973"/>
      <c r="BD21" s="450"/>
      <c r="BE21" s="444"/>
    </row>
    <row r="22" spans="1:57" ht="12" customHeight="1" x14ac:dyDescent="0.2">
      <c r="A22" s="444"/>
      <c r="B22" s="294"/>
      <c r="C22" s="5989" t="s">
        <v>6389</v>
      </c>
      <c r="D22" s="5990"/>
      <c r="E22" s="456" t="s">
        <v>6390</v>
      </c>
      <c r="F22" s="456" t="s">
        <v>1517</v>
      </c>
      <c r="G22" s="456" t="s">
        <v>2914</v>
      </c>
      <c r="H22" s="457" t="s">
        <v>1845</v>
      </c>
      <c r="I22" s="5986" t="str">
        <f>IF(C21=0,"",VLOOKUP(C21,'Tablas Magia'!$D$6:$Z$680,5,FALSE))</f>
        <v/>
      </c>
      <c r="J22" s="5986"/>
      <c r="K22" s="5987" t="s">
        <v>6391</v>
      </c>
      <c r="L22" s="5987"/>
      <c r="M22" s="5986" t="str">
        <f>IF(C21=0,"",VLOOKUP(C21,'Tablas Magia'!$D$6:$Z$680,6,FALSE))</f>
        <v/>
      </c>
      <c r="N22" s="5986"/>
      <c r="O22" s="5988" t="s">
        <v>6392</v>
      </c>
      <c r="P22" s="5988"/>
      <c r="Q22" s="458" t="str">
        <f>IF(C21=0,"",VLOOKUP(C21,'Tablas Magia'!$D$6:$Z$680,4,FALSE))</f>
        <v/>
      </c>
      <c r="R22" s="450"/>
      <c r="S22" s="444"/>
      <c r="T22" s="444"/>
      <c r="U22" s="294"/>
      <c r="V22" s="5989" t="s">
        <v>6389</v>
      </c>
      <c r="W22" s="5990"/>
      <c r="X22" s="456" t="s">
        <v>6390</v>
      </c>
      <c r="Y22" s="456" t="s">
        <v>1517</v>
      </c>
      <c r="Z22" s="456" t="s">
        <v>2914</v>
      </c>
      <c r="AA22" s="457" t="s">
        <v>1845</v>
      </c>
      <c r="AB22" s="5986" t="str">
        <f>IF(V21=0,"",VLOOKUP(V21,'Tablas Magia'!$D$6:$Z$680,5,FALSE))</f>
        <v/>
      </c>
      <c r="AC22" s="5986"/>
      <c r="AD22" s="5987" t="s">
        <v>6391</v>
      </c>
      <c r="AE22" s="5987"/>
      <c r="AF22" s="5986" t="str">
        <f>IF(V21=0,"",VLOOKUP(V21,'Tablas Magia'!$D$6:$Z$680,6,FALSE))</f>
        <v/>
      </c>
      <c r="AG22" s="5986"/>
      <c r="AH22" s="5988" t="s">
        <v>6392</v>
      </c>
      <c r="AI22" s="5988"/>
      <c r="AJ22" s="458" t="str">
        <f>IF(V21=0,"",VLOOKUP(V21,'Tablas Magia'!$D$6:$Z$680,4,FALSE))</f>
        <v/>
      </c>
      <c r="AK22" s="450"/>
      <c r="AL22" s="444"/>
      <c r="AM22" s="444"/>
      <c r="AN22" s="294"/>
      <c r="AO22" s="5989" t="s">
        <v>6389</v>
      </c>
      <c r="AP22" s="5990"/>
      <c r="AQ22" s="456" t="s">
        <v>6390</v>
      </c>
      <c r="AR22" s="456" t="s">
        <v>1517</v>
      </c>
      <c r="AS22" s="456" t="s">
        <v>2914</v>
      </c>
      <c r="AT22" s="457" t="s">
        <v>1845</v>
      </c>
      <c r="AU22" s="5986" t="str">
        <f>IF(AO21=0,"",VLOOKUP(AO21,'Tablas Magia'!$D$6:$Z$680,5,FALSE))</f>
        <v/>
      </c>
      <c r="AV22" s="5986"/>
      <c r="AW22" s="5987" t="s">
        <v>6391</v>
      </c>
      <c r="AX22" s="5987"/>
      <c r="AY22" s="5986" t="str">
        <f>IF(AO21=0,"",VLOOKUP(AO21,'Tablas Magia'!$D$6:$Z$680,6,FALSE))</f>
        <v/>
      </c>
      <c r="AZ22" s="5986"/>
      <c r="BA22" s="5988" t="s">
        <v>6392</v>
      </c>
      <c r="BB22" s="5988"/>
      <c r="BC22" s="458" t="str">
        <f>IF(AO21=0,"",VLOOKUP(AO21,'Tablas Magia'!$D$6:$Z$680,4,FALSE))</f>
        <v/>
      </c>
      <c r="BD22" s="450"/>
      <c r="BE22" s="444"/>
    </row>
    <row r="23" spans="1:57" ht="12" customHeight="1" x14ac:dyDescent="0.2">
      <c r="A23" s="444"/>
      <c r="B23" s="294"/>
      <c r="C23" s="5981" t="s">
        <v>1373</v>
      </c>
      <c r="D23" s="5982"/>
      <c r="E23" s="459" t="str">
        <f>IF(C21=0,"",VLOOKUP(C21,'Tablas Magia'!$D$6:$Z$680,7,FALSE))</f>
        <v/>
      </c>
      <c r="F23" s="459" t="str">
        <f>IF(C21=0,"",VLOOKUP(C21,'Tablas Magia'!$D$6:$Z$680,11,FALSE))</f>
        <v/>
      </c>
      <c r="G23" s="460" t="str">
        <f>IF(C21=0,"",VLOOKUP(C21,'Tablas Magia'!$D$6:$Z$680,15,FALSE))</f>
        <v/>
      </c>
      <c r="H23" s="5983" t="str">
        <f>IF(C21=0,"",VLOOKUP(C21,'Tablas Magia'!$D$6:$Z$680,19,FALSE))</f>
        <v/>
      </c>
      <c r="I23" s="5984"/>
      <c r="J23" s="5984"/>
      <c r="K23" s="5984"/>
      <c r="L23" s="5984"/>
      <c r="M23" s="5984"/>
      <c r="N23" s="5984"/>
      <c r="O23" s="5984"/>
      <c r="P23" s="5984"/>
      <c r="Q23" s="5985"/>
      <c r="R23" s="450"/>
      <c r="S23" s="444"/>
      <c r="T23" s="444"/>
      <c r="U23" s="294"/>
      <c r="V23" s="5981" t="s">
        <v>1373</v>
      </c>
      <c r="W23" s="5982"/>
      <c r="X23" s="459" t="str">
        <f>IF(V21=0,"",VLOOKUP(V21,'Tablas Magia'!$D$6:$Z$680,7,FALSE))</f>
        <v/>
      </c>
      <c r="Y23" s="459" t="str">
        <f>IF(V21=0,"",VLOOKUP(V21,'Tablas Magia'!$D$6:$Z$680,11,FALSE))</f>
        <v/>
      </c>
      <c r="Z23" s="460" t="str">
        <f>IF(V21=0,"",VLOOKUP(V21,'Tablas Magia'!$D$6:$Z$680,15,FALSE))</f>
        <v/>
      </c>
      <c r="AA23" s="5983" t="str">
        <f>IF(V21=0,"",VLOOKUP(V21,'Tablas Magia'!$D$6:$Z$680,19,FALSE))</f>
        <v/>
      </c>
      <c r="AB23" s="5984"/>
      <c r="AC23" s="5984"/>
      <c r="AD23" s="5984"/>
      <c r="AE23" s="5984"/>
      <c r="AF23" s="5984"/>
      <c r="AG23" s="5984"/>
      <c r="AH23" s="5984"/>
      <c r="AI23" s="5984"/>
      <c r="AJ23" s="5985"/>
      <c r="AK23" s="450"/>
      <c r="AL23" s="444"/>
      <c r="AM23" s="444"/>
      <c r="AN23" s="294"/>
      <c r="AO23" s="5981" t="s">
        <v>1373</v>
      </c>
      <c r="AP23" s="5982"/>
      <c r="AQ23" s="459" t="str">
        <f>IF(AO21=0,"",VLOOKUP(AO21,'Tablas Magia'!$D$6:$Z$680,7,FALSE))</f>
        <v/>
      </c>
      <c r="AR23" s="459" t="str">
        <f>IF(AO21=0,"",VLOOKUP(AO21,'Tablas Magia'!$D$6:$Z$680,11,FALSE))</f>
        <v/>
      </c>
      <c r="AS23" s="460" t="str">
        <f>IF(AO21=0,"",VLOOKUP(AO21,'Tablas Magia'!$D$6:$Z$680,15,FALSE))</f>
        <v/>
      </c>
      <c r="AT23" s="5983" t="str">
        <f>IF(AO21=0,"",VLOOKUP(AO21,'Tablas Magia'!$D$6:$Z$680,19,FALSE))</f>
        <v/>
      </c>
      <c r="AU23" s="5984"/>
      <c r="AV23" s="5984"/>
      <c r="AW23" s="5984"/>
      <c r="AX23" s="5984"/>
      <c r="AY23" s="5984"/>
      <c r="AZ23" s="5984"/>
      <c r="BA23" s="5984"/>
      <c r="BB23" s="5984"/>
      <c r="BC23" s="5985"/>
      <c r="BD23" s="450"/>
      <c r="BE23" s="444"/>
    </row>
    <row r="24" spans="1:57" ht="12" customHeight="1" x14ac:dyDescent="0.2">
      <c r="A24" s="444"/>
      <c r="B24" s="294"/>
      <c r="C24" s="5976" t="s">
        <v>3285</v>
      </c>
      <c r="D24" s="5977"/>
      <c r="E24" s="461" t="str">
        <f>IF(C21=0,"",VLOOKUP(C21,'Tablas Magia'!$D$6:$Z$680,8,FALSE))</f>
        <v/>
      </c>
      <c r="F24" s="461" t="str">
        <f>IF(C21=0,"",VLOOKUP(C21,'Tablas Magia'!$D$6:$Z$680,12,FALSE))</f>
        <v/>
      </c>
      <c r="G24" s="462" t="str">
        <f>IF(C21=0,"",VLOOKUP(C21,'Tablas Magia'!$D$6:$Z$680,16,FALSE))</f>
        <v/>
      </c>
      <c r="H24" s="5978" t="str">
        <f>IF(C21=0,"",VLOOKUP(C21,'Tablas Magia'!$D$6:$Z$680,20,FALSE))</f>
        <v/>
      </c>
      <c r="I24" s="5979"/>
      <c r="J24" s="5979"/>
      <c r="K24" s="5979"/>
      <c r="L24" s="5979"/>
      <c r="M24" s="5979"/>
      <c r="N24" s="5979"/>
      <c r="O24" s="5979"/>
      <c r="P24" s="5979"/>
      <c r="Q24" s="5980"/>
      <c r="R24" s="450"/>
      <c r="S24" s="444"/>
      <c r="T24" s="444"/>
      <c r="U24" s="294"/>
      <c r="V24" s="5976" t="s">
        <v>3285</v>
      </c>
      <c r="W24" s="5977"/>
      <c r="X24" s="461" t="str">
        <f>IF(V21=0,"",VLOOKUP(V21,'Tablas Magia'!$D$6:$Z$680,8,FALSE))</f>
        <v/>
      </c>
      <c r="Y24" s="461" t="str">
        <f>IF(V21=0,"",VLOOKUP(V21,'Tablas Magia'!$D$6:$Z$680,12,FALSE))</f>
        <v/>
      </c>
      <c r="Z24" s="462" t="str">
        <f>IF(V21=0,"",VLOOKUP(V21,'Tablas Magia'!$D$6:$Z$680,16,FALSE))</f>
        <v/>
      </c>
      <c r="AA24" s="5978" t="str">
        <f>IF(V21=0,"",VLOOKUP(V21,'Tablas Magia'!$D$6:$Z$680,20,FALSE))</f>
        <v/>
      </c>
      <c r="AB24" s="5979"/>
      <c r="AC24" s="5979"/>
      <c r="AD24" s="5979"/>
      <c r="AE24" s="5979"/>
      <c r="AF24" s="5979"/>
      <c r="AG24" s="5979"/>
      <c r="AH24" s="5979"/>
      <c r="AI24" s="5979"/>
      <c r="AJ24" s="5980"/>
      <c r="AK24" s="450"/>
      <c r="AL24" s="444"/>
      <c r="AM24" s="444"/>
      <c r="AN24" s="294"/>
      <c r="AO24" s="5976" t="s">
        <v>3285</v>
      </c>
      <c r="AP24" s="5977"/>
      <c r="AQ24" s="461" t="str">
        <f>IF(AO21=0,"",VLOOKUP(AO21,'Tablas Magia'!$D$6:$Z$680,8,FALSE))</f>
        <v/>
      </c>
      <c r="AR24" s="461" t="str">
        <f>IF(AO21=0,"",VLOOKUP(AO21,'Tablas Magia'!$D$6:$Z$680,12,FALSE))</f>
        <v/>
      </c>
      <c r="AS24" s="462" t="str">
        <f>IF(AO21=0,"",VLOOKUP(AO21,'Tablas Magia'!$D$6:$Z$680,16,FALSE))</f>
        <v/>
      </c>
      <c r="AT24" s="5978" t="str">
        <f>IF(AO21=0,"",VLOOKUP(AO21,'Tablas Magia'!$D$6:$Z$680,20,FALSE))</f>
        <v/>
      </c>
      <c r="AU24" s="5979"/>
      <c r="AV24" s="5979"/>
      <c r="AW24" s="5979"/>
      <c r="AX24" s="5979"/>
      <c r="AY24" s="5979"/>
      <c r="AZ24" s="5979"/>
      <c r="BA24" s="5979"/>
      <c r="BB24" s="5979"/>
      <c r="BC24" s="5980"/>
      <c r="BD24" s="450"/>
      <c r="BE24" s="444"/>
    </row>
    <row r="25" spans="1:57" ht="12" customHeight="1" x14ac:dyDescent="0.2">
      <c r="A25" s="444"/>
      <c r="B25" s="294"/>
      <c r="C25" s="5981" t="s">
        <v>3286</v>
      </c>
      <c r="D25" s="5982"/>
      <c r="E25" s="459" t="str">
        <f>IF(C21=0,"",VLOOKUP(C21,'Tablas Magia'!$D$6:$Z$680,9,FALSE))</f>
        <v/>
      </c>
      <c r="F25" s="459" t="str">
        <f>IF(C21=0,"",VLOOKUP(C21,'Tablas Magia'!$D$6:$Z$680,13,FALSE))</f>
        <v/>
      </c>
      <c r="G25" s="460" t="str">
        <f>IF(C21=0,"",VLOOKUP(C21,'Tablas Magia'!$D$6:$Z$680,17,FALSE))</f>
        <v/>
      </c>
      <c r="H25" s="5983" t="str">
        <f>IF(C21=0,"",VLOOKUP(C21,'Tablas Magia'!$D$6:$Z$680,21,FALSE))</f>
        <v/>
      </c>
      <c r="I25" s="5984"/>
      <c r="J25" s="5984"/>
      <c r="K25" s="5984"/>
      <c r="L25" s="5984"/>
      <c r="M25" s="5984"/>
      <c r="N25" s="5984"/>
      <c r="O25" s="5984"/>
      <c r="P25" s="5984"/>
      <c r="Q25" s="5985"/>
      <c r="R25" s="450"/>
      <c r="S25" s="444"/>
      <c r="T25" s="444"/>
      <c r="U25" s="294"/>
      <c r="V25" s="5981" t="s">
        <v>3286</v>
      </c>
      <c r="W25" s="5982"/>
      <c r="X25" s="459" t="str">
        <f>IF(V21=0,"",VLOOKUP(V21,'Tablas Magia'!$D$6:$Z$680,9,FALSE))</f>
        <v/>
      </c>
      <c r="Y25" s="459" t="str">
        <f>IF(V21=0,"",VLOOKUP(V21,'Tablas Magia'!$D$6:$Z$680,13,FALSE))</f>
        <v/>
      </c>
      <c r="Z25" s="460" t="str">
        <f>IF(V21=0,"",VLOOKUP(V21,'Tablas Magia'!$D$6:$Z$680,17,FALSE))</f>
        <v/>
      </c>
      <c r="AA25" s="5983" t="str">
        <f>IF(V21=0,"",VLOOKUP(V21,'Tablas Magia'!$D$6:$Z$680,21,FALSE))</f>
        <v/>
      </c>
      <c r="AB25" s="5984"/>
      <c r="AC25" s="5984"/>
      <c r="AD25" s="5984"/>
      <c r="AE25" s="5984"/>
      <c r="AF25" s="5984"/>
      <c r="AG25" s="5984"/>
      <c r="AH25" s="5984"/>
      <c r="AI25" s="5984"/>
      <c r="AJ25" s="5985"/>
      <c r="AK25" s="450"/>
      <c r="AL25" s="444"/>
      <c r="AM25" s="444"/>
      <c r="AN25" s="294"/>
      <c r="AO25" s="5981" t="s">
        <v>3286</v>
      </c>
      <c r="AP25" s="5982"/>
      <c r="AQ25" s="459" t="str">
        <f>IF(AO21=0,"",VLOOKUP(AO21,'Tablas Magia'!$D$6:$Z$680,9,FALSE))</f>
        <v/>
      </c>
      <c r="AR25" s="459" t="str">
        <f>IF(AO21=0,"",VLOOKUP(AO21,'Tablas Magia'!$D$6:$Z$680,13,FALSE))</f>
        <v/>
      </c>
      <c r="AS25" s="460" t="str">
        <f>IF(AO21=0,"",VLOOKUP(AO21,'Tablas Magia'!$D$6:$Z$680,17,FALSE))</f>
        <v/>
      </c>
      <c r="AT25" s="5983" t="str">
        <f>IF(AO21=0,"",VLOOKUP(AO21,'Tablas Magia'!$D$6:$Z$680,21,FALSE))</f>
        <v/>
      </c>
      <c r="AU25" s="5984"/>
      <c r="AV25" s="5984"/>
      <c r="AW25" s="5984"/>
      <c r="AX25" s="5984"/>
      <c r="AY25" s="5984"/>
      <c r="AZ25" s="5984"/>
      <c r="BA25" s="5984"/>
      <c r="BB25" s="5984"/>
      <c r="BC25" s="5985"/>
      <c r="BD25" s="450"/>
      <c r="BE25" s="444"/>
    </row>
    <row r="26" spans="1:57" ht="12" customHeight="1" thickBot="1" x14ac:dyDescent="0.25">
      <c r="A26" s="444"/>
      <c r="B26" s="294"/>
      <c r="C26" s="5991" t="s">
        <v>3287</v>
      </c>
      <c r="D26" s="5992"/>
      <c r="E26" s="463" t="str">
        <f>IF(C21=0,"",VLOOKUP(C21,'Tablas Magia'!$D$6:$Z$680,10,FALSE))</f>
        <v/>
      </c>
      <c r="F26" s="463" t="str">
        <f>IF(C21=0,"",VLOOKUP(C21,'Tablas Magia'!$D$6:$Z$680,14,FALSE))</f>
        <v/>
      </c>
      <c r="G26" s="464" t="str">
        <f>IF(C21=0,"",VLOOKUP(C21,'Tablas Magia'!$D$6:$Z$680,18,FALSE))</f>
        <v/>
      </c>
      <c r="H26" s="5993" t="str">
        <f>IF(C21=0,"",VLOOKUP(C21,'Tablas Magia'!$D$6:$Z$680,22,FALSE))</f>
        <v/>
      </c>
      <c r="I26" s="5994"/>
      <c r="J26" s="5994"/>
      <c r="K26" s="5994"/>
      <c r="L26" s="5994"/>
      <c r="M26" s="5994"/>
      <c r="N26" s="5994"/>
      <c r="O26" s="5994"/>
      <c r="P26" s="5994"/>
      <c r="Q26" s="5995"/>
      <c r="R26" s="450"/>
      <c r="S26" s="444"/>
      <c r="T26" s="444"/>
      <c r="U26" s="294"/>
      <c r="V26" s="5991" t="s">
        <v>3287</v>
      </c>
      <c r="W26" s="5992"/>
      <c r="X26" s="463" t="str">
        <f>IF(V21=0,"",VLOOKUP(V21,'Tablas Magia'!$D$6:$Z$680,10,FALSE))</f>
        <v/>
      </c>
      <c r="Y26" s="463" t="str">
        <f>IF(V21=0,"",VLOOKUP(V21,'Tablas Magia'!$D$6:$Z$680,14,FALSE))</f>
        <v/>
      </c>
      <c r="Z26" s="464" t="str">
        <f>IF(V21=0,"",VLOOKUP(V21,'Tablas Magia'!$D$6:$Z$680,18,FALSE))</f>
        <v/>
      </c>
      <c r="AA26" s="5993" t="str">
        <f>IF(V21=0,"",VLOOKUP(V21,'Tablas Magia'!$D$6:$Z$680,22,FALSE))</f>
        <v/>
      </c>
      <c r="AB26" s="5994"/>
      <c r="AC26" s="5994"/>
      <c r="AD26" s="5994"/>
      <c r="AE26" s="5994"/>
      <c r="AF26" s="5994"/>
      <c r="AG26" s="5994"/>
      <c r="AH26" s="5994"/>
      <c r="AI26" s="5994"/>
      <c r="AJ26" s="5995"/>
      <c r="AK26" s="450"/>
      <c r="AL26" s="444"/>
      <c r="AM26" s="444"/>
      <c r="AN26" s="294"/>
      <c r="AO26" s="5991" t="s">
        <v>3287</v>
      </c>
      <c r="AP26" s="5992"/>
      <c r="AQ26" s="463" t="str">
        <f>IF(AO21=0,"",VLOOKUP(AO21,'Tablas Magia'!$D$6:$Z$680,10,FALSE))</f>
        <v/>
      </c>
      <c r="AR26" s="463" t="str">
        <f>IF(AO21=0,"",VLOOKUP(AO21,'Tablas Magia'!$D$6:$Z$680,14,FALSE))</f>
        <v/>
      </c>
      <c r="AS26" s="464" t="str">
        <f>IF(AO21=0,"",VLOOKUP(AO21,'Tablas Magia'!$D$6:$Z$680,18,FALSE))</f>
        <v/>
      </c>
      <c r="AT26" s="5993" t="str">
        <f>IF(AO21=0,"",VLOOKUP(AO21,'Tablas Magia'!$D$6:$Z$680,22,FALSE))</f>
        <v/>
      </c>
      <c r="AU26" s="5994"/>
      <c r="AV26" s="5994"/>
      <c r="AW26" s="5994"/>
      <c r="AX26" s="5994"/>
      <c r="AY26" s="5994"/>
      <c r="AZ26" s="5994"/>
      <c r="BA26" s="5994"/>
      <c r="BB26" s="5994"/>
      <c r="BC26" s="5995"/>
      <c r="BD26" s="450"/>
      <c r="BE26" s="444"/>
    </row>
    <row r="27" spans="1:57" ht="12" customHeight="1" x14ac:dyDescent="0.2">
      <c r="A27" s="444"/>
      <c r="B27" s="294"/>
      <c r="C27" s="5996" t="str">
        <f>IF(C21=0,"",VLOOKUP(C21,'Tablas Magia'!$D$6:$Z$680,23,FALSE))</f>
        <v/>
      </c>
      <c r="D27" s="5997"/>
      <c r="E27" s="5997"/>
      <c r="F27" s="5997"/>
      <c r="G27" s="5997"/>
      <c r="H27" s="5997"/>
      <c r="I27" s="5997"/>
      <c r="J27" s="5997"/>
      <c r="K27" s="5997"/>
      <c r="L27" s="5997"/>
      <c r="M27" s="5997"/>
      <c r="N27" s="5997"/>
      <c r="O27" s="5997"/>
      <c r="P27" s="5997"/>
      <c r="Q27" s="5998"/>
      <c r="R27" s="450"/>
      <c r="S27" s="444"/>
      <c r="T27" s="444"/>
      <c r="U27" s="294"/>
      <c r="V27" s="5996" t="str">
        <f>IF(V21=0,"",VLOOKUP(V21,'Tablas Magia'!$D$6:$Z$680,23,FALSE))</f>
        <v/>
      </c>
      <c r="W27" s="5997"/>
      <c r="X27" s="5997"/>
      <c r="Y27" s="5997"/>
      <c r="Z27" s="5997"/>
      <c r="AA27" s="5997"/>
      <c r="AB27" s="5997"/>
      <c r="AC27" s="5997"/>
      <c r="AD27" s="5997"/>
      <c r="AE27" s="5997"/>
      <c r="AF27" s="5997"/>
      <c r="AG27" s="5997"/>
      <c r="AH27" s="5997"/>
      <c r="AI27" s="5997"/>
      <c r="AJ27" s="5998"/>
      <c r="AK27" s="450"/>
      <c r="AL27" s="444"/>
      <c r="AM27" s="444"/>
      <c r="AN27" s="294"/>
      <c r="AO27" s="5996" t="str">
        <f>IF(AO21=0,"",VLOOKUP(AO21,'Tablas Magia'!$D$6:$Z$680,23,FALSE))</f>
        <v/>
      </c>
      <c r="AP27" s="5997"/>
      <c r="AQ27" s="5997"/>
      <c r="AR27" s="5997"/>
      <c r="AS27" s="5997"/>
      <c r="AT27" s="5997"/>
      <c r="AU27" s="5997"/>
      <c r="AV27" s="5997"/>
      <c r="AW27" s="5997"/>
      <c r="AX27" s="5997"/>
      <c r="AY27" s="5997"/>
      <c r="AZ27" s="5997"/>
      <c r="BA27" s="5997"/>
      <c r="BB27" s="5997"/>
      <c r="BC27" s="5998"/>
      <c r="BD27" s="450"/>
      <c r="BE27" s="444"/>
    </row>
    <row r="28" spans="1:57" ht="12" customHeight="1" x14ac:dyDescent="0.2">
      <c r="A28" s="444"/>
      <c r="B28" s="294"/>
      <c r="C28" s="5999"/>
      <c r="D28" s="6000"/>
      <c r="E28" s="6000"/>
      <c r="F28" s="6000"/>
      <c r="G28" s="6000"/>
      <c r="H28" s="6000"/>
      <c r="I28" s="6000"/>
      <c r="J28" s="6000"/>
      <c r="K28" s="6000"/>
      <c r="L28" s="6000"/>
      <c r="M28" s="6000"/>
      <c r="N28" s="6000"/>
      <c r="O28" s="6000"/>
      <c r="P28" s="6000"/>
      <c r="Q28" s="6001"/>
      <c r="R28" s="450"/>
      <c r="S28" s="444"/>
      <c r="T28" s="444"/>
      <c r="U28" s="294"/>
      <c r="V28" s="5999"/>
      <c r="W28" s="6000"/>
      <c r="X28" s="6000"/>
      <c r="Y28" s="6000"/>
      <c r="Z28" s="6000"/>
      <c r="AA28" s="6000"/>
      <c r="AB28" s="6000"/>
      <c r="AC28" s="6000"/>
      <c r="AD28" s="6000"/>
      <c r="AE28" s="6000"/>
      <c r="AF28" s="6000"/>
      <c r="AG28" s="6000"/>
      <c r="AH28" s="6000"/>
      <c r="AI28" s="6000"/>
      <c r="AJ28" s="6001"/>
      <c r="AK28" s="450"/>
      <c r="AL28" s="444"/>
      <c r="AM28" s="444"/>
      <c r="AN28" s="294"/>
      <c r="AO28" s="5999"/>
      <c r="AP28" s="6000"/>
      <c r="AQ28" s="6000"/>
      <c r="AR28" s="6000"/>
      <c r="AS28" s="6000"/>
      <c r="AT28" s="6000"/>
      <c r="AU28" s="6000"/>
      <c r="AV28" s="6000"/>
      <c r="AW28" s="6000"/>
      <c r="AX28" s="6000"/>
      <c r="AY28" s="6000"/>
      <c r="AZ28" s="6000"/>
      <c r="BA28" s="6000"/>
      <c r="BB28" s="6000"/>
      <c r="BC28" s="6001"/>
      <c r="BD28" s="450"/>
      <c r="BE28" s="444"/>
    </row>
    <row r="29" spans="1:57" ht="12" customHeight="1" x14ac:dyDescent="0.2">
      <c r="A29" s="444"/>
      <c r="B29" s="294"/>
      <c r="C29" s="5999"/>
      <c r="D29" s="6000"/>
      <c r="E29" s="6000"/>
      <c r="F29" s="6000"/>
      <c r="G29" s="6000"/>
      <c r="H29" s="6000"/>
      <c r="I29" s="6000"/>
      <c r="J29" s="6000"/>
      <c r="K29" s="6000"/>
      <c r="L29" s="6000"/>
      <c r="M29" s="6000"/>
      <c r="N29" s="6000"/>
      <c r="O29" s="6000"/>
      <c r="P29" s="6000"/>
      <c r="Q29" s="6001"/>
      <c r="R29" s="450"/>
      <c r="S29" s="444"/>
      <c r="T29" s="444"/>
      <c r="U29" s="294"/>
      <c r="V29" s="5999"/>
      <c r="W29" s="6000"/>
      <c r="X29" s="6000"/>
      <c r="Y29" s="6000"/>
      <c r="Z29" s="6000"/>
      <c r="AA29" s="6000"/>
      <c r="AB29" s="6000"/>
      <c r="AC29" s="6000"/>
      <c r="AD29" s="6000"/>
      <c r="AE29" s="6000"/>
      <c r="AF29" s="6000"/>
      <c r="AG29" s="6000"/>
      <c r="AH29" s="6000"/>
      <c r="AI29" s="6000"/>
      <c r="AJ29" s="6001"/>
      <c r="AK29" s="450"/>
      <c r="AL29" s="444"/>
      <c r="AM29" s="444"/>
      <c r="AN29" s="294"/>
      <c r="AO29" s="5999"/>
      <c r="AP29" s="6000"/>
      <c r="AQ29" s="6000"/>
      <c r="AR29" s="6000"/>
      <c r="AS29" s="6000"/>
      <c r="AT29" s="6000"/>
      <c r="AU29" s="6000"/>
      <c r="AV29" s="6000"/>
      <c r="AW29" s="6000"/>
      <c r="AX29" s="6000"/>
      <c r="AY29" s="6000"/>
      <c r="AZ29" s="6000"/>
      <c r="BA29" s="6000"/>
      <c r="BB29" s="6000"/>
      <c r="BC29" s="6001"/>
      <c r="BD29" s="450"/>
      <c r="BE29" s="444"/>
    </row>
    <row r="30" spans="1:57" ht="12" customHeight="1" thickBot="1" x14ac:dyDescent="0.25">
      <c r="A30" s="444"/>
      <c r="B30" s="294"/>
      <c r="C30" s="6002"/>
      <c r="D30" s="6003"/>
      <c r="E30" s="6003"/>
      <c r="F30" s="6003"/>
      <c r="G30" s="6003"/>
      <c r="H30" s="6003"/>
      <c r="I30" s="6003"/>
      <c r="J30" s="6003"/>
      <c r="K30" s="6003"/>
      <c r="L30" s="6003"/>
      <c r="M30" s="6003"/>
      <c r="N30" s="6003"/>
      <c r="O30" s="6003"/>
      <c r="P30" s="6003"/>
      <c r="Q30" s="6004"/>
      <c r="R30" s="450"/>
      <c r="S30" s="444"/>
      <c r="T30" s="444"/>
      <c r="U30" s="294"/>
      <c r="V30" s="6002"/>
      <c r="W30" s="6003"/>
      <c r="X30" s="6003"/>
      <c r="Y30" s="6003"/>
      <c r="Z30" s="6003"/>
      <c r="AA30" s="6003"/>
      <c r="AB30" s="6003"/>
      <c r="AC30" s="6003"/>
      <c r="AD30" s="6003"/>
      <c r="AE30" s="6003"/>
      <c r="AF30" s="6003"/>
      <c r="AG30" s="6003"/>
      <c r="AH30" s="6003"/>
      <c r="AI30" s="6003"/>
      <c r="AJ30" s="6004"/>
      <c r="AK30" s="450"/>
      <c r="AL30" s="444"/>
      <c r="AM30" s="444"/>
      <c r="AN30" s="294"/>
      <c r="AO30" s="6002"/>
      <c r="AP30" s="6003"/>
      <c r="AQ30" s="6003"/>
      <c r="AR30" s="6003"/>
      <c r="AS30" s="6003"/>
      <c r="AT30" s="6003"/>
      <c r="AU30" s="6003"/>
      <c r="AV30" s="6003"/>
      <c r="AW30" s="6003"/>
      <c r="AX30" s="6003"/>
      <c r="AY30" s="6003"/>
      <c r="AZ30" s="6003"/>
      <c r="BA30" s="6003"/>
      <c r="BB30" s="6003"/>
      <c r="BC30" s="6004"/>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69"/>
      <c r="D32" s="5970"/>
      <c r="E32" s="5970"/>
      <c r="F32" s="5970"/>
      <c r="G32" s="5970"/>
      <c r="H32" s="454" t="s">
        <v>1333</v>
      </c>
      <c r="I32" s="455" t="str">
        <f>IF(C32=0,"",VLOOKUP(C32,'Tablas Magia'!$D$6:$Z$680,3,FALSE))</f>
        <v/>
      </c>
      <c r="J32" s="5971" t="s">
        <v>6388</v>
      </c>
      <c r="K32" s="5971"/>
      <c r="L32" s="5971"/>
      <c r="M32" s="5972" t="str">
        <f>IF(C32=0,"",VLOOKUP(C32,'Tablas Magia'!$D$6:$Z$680,2,FALSE))</f>
        <v/>
      </c>
      <c r="N32" s="5972"/>
      <c r="O32" s="5972"/>
      <c r="P32" s="5972"/>
      <c r="Q32" s="5973"/>
      <c r="R32" s="450"/>
      <c r="S32" s="444"/>
      <c r="T32" s="444"/>
      <c r="U32" s="294"/>
      <c r="V32" s="5969"/>
      <c r="W32" s="5970"/>
      <c r="X32" s="5970"/>
      <c r="Y32" s="5970"/>
      <c r="Z32" s="5970"/>
      <c r="AA32" s="454" t="s">
        <v>1333</v>
      </c>
      <c r="AB32" s="455" t="str">
        <f>IF(V32=0,"",VLOOKUP(V32,'Tablas Magia'!$D$6:$Z$680,3,FALSE))</f>
        <v/>
      </c>
      <c r="AC32" s="5971" t="s">
        <v>6388</v>
      </c>
      <c r="AD32" s="5971"/>
      <c r="AE32" s="5971"/>
      <c r="AF32" s="5972" t="str">
        <f>IF(V32=0,"",VLOOKUP(V32,'Tablas Magia'!$D$6:$Z$680,2,FALSE))</f>
        <v/>
      </c>
      <c r="AG32" s="5972"/>
      <c r="AH32" s="5972"/>
      <c r="AI32" s="5972"/>
      <c r="AJ32" s="5973"/>
      <c r="AK32" s="450"/>
      <c r="AL32" s="444"/>
      <c r="AM32" s="444"/>
      <c r="AN32" s="294"/>
      <c r="AO32" s="5969"/>
      <c r="AP32" s="5970"/>
      <c r="AQ32" s="5970"/>
      <c r="AR32" s="5970"/>
      <c r="AS32" s="5970"/>
      <c r="AT32" s="454" t="s">
        <v>1333</v>
      </c>
      <c r="AU32" s="455" t="str">
        <f>IF(AO32=0,"",VLOOKUP(AO32,'Tablas Magia'!$D$6:$Z$680,3,FALSE))</f>
        <v/>
      </c>
      <c r="AV32" s="5971" t="s">
        <v>6388</v>
      </c>
      <c r="AW32" s="5971"/>
      <c r="AX32" s="5971"/>
      <c r="AY32" s="5972" t="str">
        <f>IF(AO32=0,"",VLOOKUP(AO32,'Tablas Magia'!$D$6:$Z$680,2,FALSE))</f>
        <v/>
      </c>
      <c r="AZ32" s="5972"/>
      <c r="BA32" s="5972"/>
      <c r="BB32" s="5972"/>
      <c r="BC32" s="5973"/>
      <c r="BD32" s="450"/>
      <c r="BE32" s="444"/>
    </row>
    <row r="33" spans="1:57" ht="12" customHeight="1" x14ac:dyDescent="0.2">
      <c r="A33" s="444"/>
      <c r="B33" s="294"/>
      <c r="C33" s="5989" t="s">
        <v>6389</v>
      </c>
      <c r="D33" s="5990"/>
      <c r="E33" s="456" t="s">
        <v>6390</v>
      </c>
      <c r="F33" s="456" t="s">
        <v>1517</v>
      </c>
      <c r="G33" s="456" t="s">
        <v>2914</v>
      </c>
      <c r="H33" s="457" t="s">
        <v>1845</v>
      </c>
      <c r="I33" s="5986" t="str">
        <f>IF(C32=0,"",VLOOKUP(C32,'Tablas Magia'!$D$6:$Z$680,5,FALSE))</f>
        <v/>
      </c>
      <c r="J33" s="5986"/>
      <c r="K33" s="5987" t="s">
        <v>6391</v>
      </c>
      <c r="L33" s="5987"/>
      <c r="M33" s="5986" t="str">
        <f>IF(C32=0,"",VLOOKUP(C32,'Tablas Magia'!$D$6:$Z$680,6,FALSE))</f>
        <v/>
      </c>
      <c r="N33" s="5986"/>
      <c r="O33" s="5988" t="s">
        <v>6392</v>
      </c>
      <c r="P33" s="5988"/>
      <c r="Q33" s="458" t="str">
        <f>IF(C32=0,"",VLOOKUP(C32,'Tablas Magia'!$D$6:$Z$680,4,FALSE))</f>
        <v/>
      </c>
      <c r="R33" s="450"/>
      <c r="S33" s="444"/>
      <c r="T33" s="444"/>
      <c r="U33" s="294"/>
      <c r="V33" s="5989" t="s">
        <v>6389</v>
      </c>
      <c r="W33" s="5990"/>
      <c r="X33" s="456" t="s">
        <v>6390</v>
      </c>
      <c r="Y33" s="456" t="s">
        <v>1517</v>
      </c>
      <c r="Z33" s="456" t="s">
        <v>2914</v>
      </c>
      <c r="AA33" s="457" t="s">
        <v>1845</v>
      </c>
      <c r="AB33" s="5986" t="str">
        <f>IF(V32=0,"",VLOOKUP(V32,'Tablas Magia'!$D$6:$Z$680,5,FALSE))</f>
        <v/>
      </c>
      <c r="AC33" s="5986"/>
      <c r="AD33" s="5987" t="s">
        <v>6391</v>
      </c>
      <c r="AE33" s="5987"/>
      <c r="AF33" s="5986" t="str">
        <f>IF(V32=0,"",VLOOKUP(V32,'Tablas Magia'!$D$6:$Z$680,6,FALSE))</f>
        <v/>
      </c>
      <c r="AG33" s="5986"/>
      <c r="AH33" s="5988" t="s">
        <v>6392</v>
      </c>
      <c r="AI33" s="5988"/>
      <c r="AJ33" s="458" t="str">
        <f>IF(V32=0,"",VLOOKUP(V32,'Tablas Magia'!$D$6:$Z$680,4,FALSE))</f>
        <v/>
      </c>
      <c r="AK33" s="450"/>
      <c r="AL33" s="444"/>
      <c r="AM33" s="444"/>
      <c r="AN33" s="294"/>
      <c r="AO33" s="5989" t="s">
        <v>6389</v>
      </c>
      <c r="AP33" s="5990"/>
      <c r="AQ33" s="456" t="s">
        <v>6390</v>
      </c>
      <c r="AR33" s="456" t="s">
        <v>1517</v>
      </c>
      <c r="AS33" s="456" t="s">
        <v>2914</v>
      </c>
      <c r="AT33" s="457" t="s">
        <v>1845</v>
      </c>
      <c r="AU33" s="5986" t="str">
        <f>IF(AO32=0,"",VLOOKUP(AO32,'Tablas Magia'!$D$6:$Z$680,5,FALSE))</f>
        <v/>
      </c>
      <c r="AV33" s="5986"/>
      <c r="AW33" s="5987" t="s">
        <v>6391</v>
      </c>
      <c r="AX33" s="5987"/>
      <c r="AY33" s="5986" t="str">
        <f>IF(AO32=0,"",VLOOKUP(AO32,'Tablas Magia'!$D$6:$Z$680,6,FALSE))</f>
        <v/>
      </c>
      <c r="AZ33" s="5986"/>
      <c r="BA33" s="5988" t="s">
        <v>6392</v>
      </c>
      <c r="BB33" s="5988"/>
      <c r="BC33" s="458" t="str">
        <f>IF(AO32=0,"",VLOOKUP(AO32,'Tablas Magia'!$D$6:$Z$680,4,FALSE))</f>
        <v/>
      </c>
      <c r="BD33" s="450"/>
      <c r="BE33" s="444"/>
    </row>
    <row r="34" spans="1:57" ht="12" customHeight="1" x14ac:dyDescent="0.2">
      <c r="A34" s="444"/>
      <c r="B34" s="294"/>
      <c r="C34" s="5981" t="s">
        <v>1373</v>
      </c>
      <c r="D34" s="5982"/>
      <c r="E34" s="459" t="str">
        <f>IF(C32=0,"",VLOOKUP(C32,'Tablas Magia'!$D$6:$Z$680,7,FALSE))</f>
        <v/>
      </c>
      <c r="F34" s="459" t="str">
        <f>IF(C32=0,"",VLOOKUP(C32,'Tablas Magia'!$D$6:$Z$680,11,FALSE))</f>
        <v/>
      </c>
      <c r="G34" s="460" t="str">
        <f>IF(C32=0,"",VLOOKUP(C32,'Tablas Magia'!$D$6:$Z$680,15,FALSE))</f>
        <v/>
      </c>
      <c r="H34" s="5983" t="str">
        <f>IF(C32=0,"",VLOOKUP(C32,'Tablas Magia'!$D$6:$Z$680,19,FALSE))</f>
        <v/>
      </c>
      <c r="I34" s="5984"/>
      <c r="J34" s="5984"/>
      <c r="K34" s="5984"/>
      <c r="L34" s="5984"/>
      <c r="M34" s="5984"/>
      <c r="N34" s="5984"/>
      <c r="O34" s="5984"/>
      <c r="P34" s="5984"/>
      <c r="Q34" s="5985"/>
      <c r="R34" s="450"/>
      <c r="S34" s="444"/>
      <c r="T34" s="444"/>
      <c r="U34" s="294"/>
      <c r="V34" s="5981" t="s">
        <v>1373</v>
      </c>
      <c r="W34" s="5982"/>
      <c r="X34" s="459" t="str">
        <f>IF(V32=0,"",VLOOKUP(V32,'Tablas Magia'!$D$6:$Z$680,7,FALSE))</f>
        <v/>
      </c>
      <c r="Y34" s="459" t="str">
        <f>IF(V32=0,"",VLOOKUP(V32,'Tablas Magia'!$D$6:$Z$680,11,FALSE))</f>
        <v/>
      </c>
      <c r="Z34" s="460" t="str">
        <f>IF(V32=0,"",VLOOKUP(V32,'Tablas Magia'!$D$6:$Z$680,15,FALSE))</f>
        <v/>
      </c>
      <c r="AA34" s="5983" t="str">
        <f>IF(V32=0,"",VLOOKUP(V32,'Tablas Magia'!$D$6:$Z$680,19,FALSE))</f>
        <v/>
      </c>
      <c r="AB34" s="5984"/>
      <c r="AC34" s="5984"/>
      <c r="AD34" s="5984"/>
      <c r="AE34" s="5984"/>
      <c r="AF34" s="5984"/>
      <c r="AG34" s="5984"/>
      <c r="AH34" s="5984"/>
      <c r="AI34" s="5984"/>
      <c r="AJ34" s="5985"/>
      <c r="AK34" s="450"/>
      <c r="AL34" s="444"/>
      <c r="AM34" s="444"/>
      <c r="AN34" s="294"/>
      <c r="AO34" s="5981" t="s">
        <v>1373</v>
      </c>
      <c r="AP34" s="5982"/>
      <c r="AQ34" s="459" t="str">
        <f>IF(AO32=0,"",VLOOKUP(AO32,'Tablas Magia'!$D$6:$Z$680,7,FALSE))</f>
        <v/>
      </c>
      <c r="AR34" s="459" t="str">
        <f>IF(AO32=0,"",VLOOKUP(AO32,'Tablas Magia'!$D$6:$Z$680,11,FALSE))</f>
        <v/>
      </c>
      <c r="AS34" s="460" t="str">
        <f>IF(AO32=0,"",VLOOKUP(AO32,'Tablas Magia'!$D$6:$Z$680,15,FALSE))</f>
        <v/>
      </c>
      <c r="AT34" s="5983" t="str">
        <f>IF(AO32=0,"",VLOOKUP(AO32,'Tablas Magia'!$D$6:$Z$680,19,FALSE))</f>
        <v/>
      </c>
      <c r="AU34" s="5984"/>
      <c r="AV34" s="5984"/>
      <c r="AW34" s="5984"/>
      <c r="AX34" s="5984"/>
      <c r="AY34" s="5984"/>
      <c r="AZ34" s="5984"/>
      <c r="BA34" s="5984"/>
      <c r="BB34" s="5984"/>
      <c r="BC34" s="5985"/>
      <c r="BD34" s="450"/>
      <c r="BE34" s="444"/>
    </row>
    <row r="35" spans="1:57" ht="12" customHeight="1" x14ac:dyDescent="0.2">
      <c r="A35" s="444"/>
      <c r="B35" s="294"/>
      <c r="C35" s="5976" t="s">
        <v>3285</v>
      </c>
      <c r="D35" s="5977"/>
      <c r="E35" s="461" t="str">
        <f>IF(C32=0,"",VLOOKUP(C32,'Tablas Magia'!$D$6:$Z$680,8,FALSE))</f>
        <v/>
      </c>
      <c r="F35" s="461" t="str">
        <f>IF(C32=0,"",VLOOKUP(C32,'Tablas Magia'!$D$6:$Z$680,12,FALSE))</f>
        <v/>
      </c>
      <c r="G35" s="462" t="str">
        <f>IF(C32=0,"",VLOOKUP(C32,'Tablas Magia'!$D$6:$Z$680,16,FALSE))</f>
        <v/>
      </c>
      <c r="H35" s="5978" t="str">
        <f>IF(C32=0,"",VLOOKUP(C32,'Tablas Magia'!$D$6:$Z$680,20,FALSE))</f>
        <v/>
      </c>
      <c r="I35" s="5979"/>
      <c r="J35" s="5979"/>
      <c r="K35" s="5979"/>
      <c r="L35" s="5979"/>
      <c r="M35" s="5979"/>
      <c r="N35" s="5979"/>
      <c r="O35" s="5979"/>
      <c r="P35" s="5979"/>
      <c r="Q35" s="5980"/>
      <c r="R35" s="450"/>
      <c r="S35" s="444"/>
      <c r="T35" s="444"/>
      <c r="U35" s="294"/>
      <c r="V35" s="5976" t="s">
        <v>3285</v>
      </c>
      <c r="W35" s="5977"/>
      <c r="X35" s="461" t="str">
        <f>IF(V32=0,"",VLOOKUP(V32,'Tablas Magia'!$D$6:$Z$680,8,FALSE))</f>
        <v/>
      </c>
      <c r="Y35" s="461" t="str">
        <f>IF(V32=0,"",VLOOKUP(V32,'Tablas Magia'!$D$6:$Z$680,12,FALSE))</f>
        <v/>
      </c>
      <c r="Z35" s="462" t="str">
        <f>IF(V32=0,"",VLOOKUP(V32,'Tablas Magia'!$D$6:$Z$680,16,FALSE))</f>
        <v/>
      </c>
      <c r="AA35" s="5978" t="str">
        <f>IF(V32=0,"",VLOOKUP(V32,'Tablas Magia'!$D$6:$Z$680,20,FALSE))</f>
        <v/>
      </c>
      <c r="AB35" s="5979"/>
      <c r="AC35" s="5979"/>
      <c r="AD35" s="5979"/>
      <c r="AE35" s="5979"/>
      <c r="AF35" s="5979"/>
      <c r="AG35" s="5979"/>
      <c r="AH35" s="5979"/>
      <c r="AI35" s="5979"/>
      <c r="AJ35" s="5980"/>
      <c r="AK35" s="450"/>
      <c r="AL35" s="444"/>
      <c r="AM35" s="444"/>
      <c r="AN35" s="294"/>
      <c r="AO35" s="5976" t="s">
        <v>3285</v>
      </c>
      <c r="AP35" s="5977"/>
      <c r="AQ35" s="461" t="str">
        <f>IF(AO32=0,"",VLOOKUP(AO32,'Tablas Magia'!$D$6:$Z$680,8,FALSE))</f>
        <v/>
      </c>
      <c r="AR35" s="461" t="str">
        <f>IF(AO32=0,"",VLOOKUP(AO32,'Tablas Magia'!$D$6:$Z$680,12,FALSE))</f>
        <v/>
      </c>
      <c r="AS35" s="462" t="str">
        <f>IF(AO32=0,"",VLOOKUP(AO32,'Tablas Magia'!$D$6:$Z$680,16,FALSE))</f>
        <v/>
      </c>
      <c r="AT35" s="5978" t="str">
        <f>IF(AO32=0,"",VLOOKUP(AO32,'Tablas Magia'!$D$6:$Z$680,20,FALSE))</f>
        <v/>
      </c>
      <c r="AU35" s="5979"/>
      <c r="AV35" s="5979"/>
      <c r="AW35" s="5979"/>
      <c r="AX35" s="5979"/>
      <c r="AY35" s="5979"/>
      <c r="AZ35" s="5979"/>
      <c r="BA35" s="5979"/>
      <c r="BB35" s="5979"/>
      <c r="BC35" s="5980"/>
      <c r="BD35" s="450"/>
      <c r="BE35" s="444"/>
    </row>
    <row r="36" spans="1:57" ht="12" customHeight="1" x14ac:dyDescent="0.2">
      <c r="A36" s="444"/>
      <c r="B36" s="294"/>
      <c r="C36" s="5981" t="s">
        <v>3286</v>
      </c>
      <c r="D36" s="5982"/>
      <c r="E36" s="459" t="str">
        <f>IF(C32=0,"",VLOOKUP(C32,'Tablas Magia'!$D$6:$Z$680,9,FALSE))</f>
        <v/>
      </c>
      <c r="F36" s="459" t="str">
        <f>IF(C32=0,"",VLOOKUP(C32,'Tablas Magia'!$D$6:$Z$680,13,FALSE))</f>
        <v/>
      </c>
      <c r="G36" s="460" t="str">
        <f>IF(C32=0,"",VLOOKUP(C32,'Tablas Magia'!$D$6:$Z$680,17,FALSE))</f>
        <v/>
      </c>
      <c r="H36" s="5983" t="str">
        <f>IF(C32=0,"",VLOOKUP(C32,'Tablas Magia'!$D$6:$Z$680,21,FALSE))</f>
        <v/>
      </c>
      <c r="I36" s="5984"/>
      <c r="J36" s="5984"/>
      <c r="K36" s="5984"/>
      <c r="L36" s="5984"/>
      <c r="M36" s="5984"/>
      <c r="N36" s="5984"/>
      <c r="O36" s="5984"/>
      <c r="P36" s="5984"/>
      <c r="Q36" s="5985"/>
      <c r="R36" s="450"/>
      <c r="S36" s="444"/>
      <c r="T36" s="444"/>
      <c r="U36" s="294"/>
      <c r="V36" s="5981" t="s">
        <v>3286</v>
      </c>
      <c r="W36" s="5982"/>
      <c r="X36" s="459" t="str">
        <f>IF(V32=0,"",VLOOKUP(V32,'Tablas Magia'!$D$6:$Z$680,9,FALSE))</f>
        <v/>
      </c>
      <c r="Y36" s="459" t="str">
        <f>IF(V32=0,"",VLOOKUP(V32,'Tablas Magia'!$D$6:$Z$680,13,FALSE))</f>
        <v/>
      </c>
      <c r="Z36" s="460" t="str">
        <f>IF(V32=0,"",VLOOKUP(V32,'Tablas Magia'!$D$6:$Z$680,17,FALSE))</f>
        <v/>
      </c>
      <c r="AA36" s="5983" t="str">
        <f>IF(V32=0,"",VLOOKUP(V32,'Tablas Magia'!$D$6:$Z$680,21,FALSE))</f>
        <v/>
      </c>
      <c r="AB36" s="5984"/>
      <c r="AC36" s="5984"/>
      <c r="AD36" s="5984"/>
      <c r="AE36" s="5984"/>
      <c r="AF36" s="5984"/>
      <c r="AG36" s="5984"/>
      <c r="AH36" s="5984"/>
      <c r="AI36" s="5984"/>
      <c r="AJ36" s="5985"/>
      <c r="AK36" s="450"/>
      <c r="AL36" s="444"/>
      <c r="AM36" s="444"/>
      <c r="AN36" s="294"/>
      <c r="AO36" s="5981" t="s">
        <v>3286</v>
      </c>
      <c r="AP36" s="5982"/>
      <c r="AQ36" s="459" t="str">
        <f>IF(AO32=0,"",VLOOKUP(AO32,'Tablas Magia'!$D$6:$Z$680,9,FALSE))</f>
        <v/>
      </c>
      <c r="AR36" s="459" t="str">
        <f>IF(AO32=0,"",VLOOKUP(AO32,'Tablas Magia'!$D$6:$Z$680,13,FALSE))</f>
        <v/>
      </c>
      <c r="AS36" s="460" t="str">
        <f>IF(AO32=0,"",VLOOKUP(AO32,'Tablas Magia'!$D$6:$Z$680,17,FALSE))</f>
        <v/>
      </c>
      <c r="AT36" s="5983" t="str">
        <f>IF(AO32=0,"",VLOOKUP(AO32,'Tablas Magia'!$D$6:$Z$680,21,FALSE))</f>
        <v/>
      </c>
      <c r="AU36" s="5984"/>
      <c r="AV36" s="5984"/>
      <c r="AW36" s="5984"/>
      <c r="AX36" s="5984"/>
      <c r="AY36" s="5984"/>
      <c r="AZ36" s="5984"/>
      <c r="BA36" s="5984"/>
      <c r="BB36" s="5984"/>
      <c r="BC36" s="5985"/>
      <c r="BD36" s="450"/>
      <c r="BE36" s="444"/>
    </row>
    <row r="37" spans="1:57" ht="12" customHeight="1" thickBot="1" x14ac:dyDescent="0.25">
      <c r="A37" s="444"/>
      <c r="B37" s="294"/>
      <c r="C37" s="5991" t="s">
        <v>3287</v>
      </c>
      <c r="D37" s="5992"/>
      <c r="E37" s="463" t="str">
        <f>IF(C32=0,"",VLOOKUP(C32,'Tablas Magia'!$D$6:$Z$680,10,FALSE))</f>
        <v/>
      </c>
      <c r="F37" s="463" t="str">
        <f>IF(C32=0,"",VLOOKUP(C32,'Tablas Magia'!$D$6:$Z$680,14,FALSE))</f>
        <v/>
      </c>
      <c r="G37" s="464" t="str">
        <f>IF(C32=0,"",VLOOKUP(C32,'Tablas Magia'!$D$6:$Z$680,18,FALSE))</f>
        <v/>
      </c>
      <c r="H37" s="5993" t="str">
        <f>IF(C32=0,"",VLOOKUP(C32,'Tablas Magia'!$D$6:$Z$680,22,FALSE))</f>
        <v/>
      </c>
      <c r="I37" s="5994"/>
      <c r="J37" s="5994"/>
      <c r="K37" s="5994"/>
      <c r="L37" s="5994"/>
      <c r="M37" s="5994"/>
      <c r="N37" s="5994"/>
      <c r="O37" s="5994"/>
      <c r="P37" s="5994"/>
      <c r="Q37" s="5995"/>
      <c r="R37" s="450"/>
      <c r="S37" s="444"/>
      <c r="T37" s="444"/>
      <c r="U37" s="294"/>
      <c r="V37" s="5991" t="s">
        <v>3287</v>
      </c>
      <c r="W37" s="5992"/>
      <c r="X37" s="463" t="str">
        <f>IF(V32=0,"",VLOOKUP(V32,'Tablas Magia'!$D$6:$Z$680,10,FALSE))</f>
        <v/>
      </c>
      <c r="Y37" s="463" t="str">
        <f>IF(V32=0,"",VLOOKUP(V32,'Tablas Magia'!$D$6:$Z$680,14,FALSE))</f>
        <v/>
      </c>
      <c r="Z37" s="464" t="str">
        <f>IF(V32=0,"",VLOOKUP(V32,'Tablas Magia'!$D$6:$Z$680,18,FALSE))</f>
        <v/>
      </c>
      <c r="AA37" s="5993" t="str">
        <f>IF(V32=0,"",VLOOKUP(V32,'Tablas Magia'!$D$6:$Z$680,22,FALSE))</f>
        <v/>
      </c>
      <c r="AB37" s="5994"/>
      <c r="AC37" s="5994"/>
      <c r="AD37" s="5994"/>
      <c r="AE37" s="5994"/>
      <c r="AF37" s="5994"/>
      <c r="AG37" s="5994"/>
      <c r="AH37" s="5994"/>
      <c r="AI37" s="5994"/>
      <c r="AJ37" s="5995"/>
      <c r="AK37" s="450"/>
      <c r="AL37" s="444"/>
      <c r="AM37" s="444"/>
      <c r="AN37" s="294"/>
      <c r="AO37" s="5991" t="s">
        <v>3287</v>
      </c>
      <c r="AP37" s="5992"/>
      <c r="AQ37" s="463" t="str">
        <f>IF(AO32=0,"",VLOOKUP(AO32,'Tablas Magia'!$D$6:$Z$680,10,FALSE))</f>
        <v/>
      </c>
      <c r="AR37" s="463" t="str">
        <f>IF(AO32=0,"",VLOOKUP(AO32,'Tablas Magia'!$D$6:$Z$680,14,FALSE))</f>
        <v/>
      </c>
      <c r="AS37" s="464" t="str">
        <f>IF(AO32=0,"",VLOOKUP(AO32,'Tablas Magia'!$D$6:$Z$680,18,FALSE))</f>
        <v/>
      </c>
      <c r="AT37" s="5993" t="str">
        <f>IF(AO32=0,"",VLOOKUP(AO32,'Tablas Magia'!$D$6:$Z$680,22,FALSE))</f>
        <v/>
      </c>
      <c r="AU37" s="5994"/>
      <c r="AV37" s="5994"/>
      <c r="AW37" s="5994"/>
      <c r="AX37" s="5994"/>
      <c r="AY37" s="5994"/>
      <c r="AZ37" s="5994"/>
      <c r="BA37" s="5994"/>
      <c r="BB37" s="5994"/>
      <c r="BC37" s="5995"/>
      <c r="BD37" s="450"/>
      <c r="BE37" s="444"/>
    </row>
    <row r="38" spans="1:57" ht="12" customHeight="1" x14ac:dyDescent="0.2">
      <c r="A38" s="444"/>
      <c r="B38" s="294"/>
      <c r="C38" s="5996" t="str">
        <f>IF(C32=0,"",VLOOKUP(C32,'Tablas Magia'!$D$6:$Z$680,23,FALSE))</f>
        <v/>
      </c>
      <c r="D38" s="5997"/>
      <c r="E38" s="5997"/>
      <c r="F38" s="5997"/>
      <c r="G38" s="5997"/>
      <c r="H38" s="5997"/>
      <c r="I38" s="5997"/>
      <c r="J38" s="5997"/>
      <c r="K38" s="5997"/>
      <c r="L38" s="5997"/>
      <c r="M38" s="5997"/>
      <c r="N38" s="5997"/>
      <c r="O38" s="5997"/>
      <c r="P38" s="5997"/>
      <c r="Q38" s="5998"/>
      <c r="R38" s="450"/>
      <c r="S38" s="444"/>
      <c r="T38" s="444"/>
      <c r="U38" s="294"/>
      <c r="V38" s="5996" t="str">
        <f>IF(V32=0,"",VLOOKUP(V32,'Tablas Magia'!$D$6:$Z$680,23,FALSE))</f>
        <v/>
      </c>
      <c r="W38" s="5997"/>
      <c r="X38" s="5997"/>
      <c r="Y38" s="5997"/>
      <c r="Z38" s="5997"/>
      <c r="AA38" s="5997"/>
      <c r="AB38" s="5997"/>
      <c r="AC38" s="5997"/>
      <c r="AD38" s="5997"/>
      <c r="AE38" s="5997"/>
      <c r="AF38" s="5997"/>
      <c r="AG38" s="5997"/>
      <c r="AH38" s="5997"/>
      <c r="AI38" s="5997"/>
      <c r="AJ38" s="5998"/>
      <c r="AK38" s="450"/>
      <c r="AL38" s="444"/>
      <c r="AM38" s="444"/>
      <c r="AN38" s="294"/>
      <c r="AO38" s="5996" t="str">
        <f>IF(AO32=0,"",VLOOKUP(AO32,'Tablas Magia'!$D$6:$Z$680,23,FALSE))</f>
        <v/>
      </c>
      <c r="AP38" s="5997"/>
      <c r="AQ38" s="5997"/>
      <c r="AR38" s="5997"/>
      <c r="AS38" s="5997"/>
      <c r="AT38" s="5997"/>
      <c r="AU38" s="5997"/>
      <c r="AV38" s="5997"/>
      <c r="AW38" s="5997"/>
      <c r="AX38" s="5997"/>
      <c r="AY38" s="5997"/>
      <c r="AZ38" s="5997"/>
      <c r="BA38" s="5997"/>
      <c r="BB38" s="5997"/>
      <c r="BC38" s="5998"/>
      <c r="BD38" s="450"/>
      <c r="BE38" s="444"/>
    </row>
    <row r="39" spans="1:57" ht="12" customHeight="1" x14ac:dyDescent="0.2">
      <c r="A39" s="444"/>
      <c r="B39" s="294"/>
      <c r="C39" s="5999"/>
      <c r="D39" s="6000"/>
      <c r="E39" s="6000"/>
      <c r="F39" s="6000"/>
      <c r="G39" s="6000"/>
      <c r="H39" s="6000"/>
      <c r="I39" s="6000"/>
      <c r="J39" s="6000"/>
      <c r="K39" s="6000"/>
      <c r="L39" s="6000"/>
      <c r="M39" s="6000"/>
      <c r="N39" s="6000"/>
      <c r="O39" s="6000"/>
      <c r="P39" s="6000"/>
      <c r="Q39" s="6001"/>
      <c r="R39" s="450"/>
      <c r="S39" s="444"/>
      <c r="T39" s="444"/>
      <c r="U39" s="294"/>
      <c r="V39" s="5999"/>
      <c r="W39" s="6000"/>
      <c r="X39" s="6000"/>
      <c r="Y39" s="6000"/>
      <c r="Z39" s="6000"/>
      <c r="AA39" s="6000"/>
      <c r="AB39" s="6000"/>
      <c r="AC39" s="6000"/>
      <c r="AD39" s="6000"/>
      <c r="AE39" s="6000"/>
      <c r="AF39" s="6000"/>
      <c r="AG39" s="6000"/>
      <c r="AH39" s="6000"/>
      <c r="AI39" s="6000"/>
      <c r="AJ39" s="6001"/>
      <c r="AK39" s="450"/>
      <c r="AL39" s="444"/>
      <c r="AM39" s="444"/>
      <c r="AN39" s="294"/>
      <c r="AO39" s="5999"/>
      <c r="AP39" s="6000"/>
      <c r="AQ39" s="6000"/>
      <c r="AR39" s="6000"/>
      <c r="AS39" s="6000"/>
      <c r="AT39" s="6000"/>
      <c r="AU39" s="6000"/>
      <c r="AV39" s="6000"/>
      <c r="AW39" s="6000"/>
      <c r="AX39" s="6000"/>
      <c r="AY39" s="6000"/>
      <c r="AZ39" s="6000"/>
      <c r="BA39" s="6000"/>
      <c r="BB39" s="6000"/>
      <c r="BC39" s="6001"/>
      <c r="BD39" s="450"/>
      <c r="BE39" s="444"/>
    </row>
    <row r="40" spans="1:57" ht="12" customHeight="1" x14ac:dyDescent="0.2">
      <c r="A40" s="444"/>
      <c r="B40" s="294"/>
      <c r="C40" s="5999"/>
      <c r="D40" s="6000"/>
      <c r="E40" s="6000"/>
      <c r="F40" s="6000"/>
      <c r="G40" s="6000"/>
      <c r="H40" s="6000"/>
      <c r="I40" s="6000"/>
      <c r="J40" s="6000"/>
      <c r="K40" s="6000"/>
      <c r="L40" s="6000"/>
      <c r="M40" s="6000"/>
      <c r="N40" s="6000"/>
      <c r="O40" s="6000"/>
      <c r="P40" s="6000"/>
      <c r="Q40" s="6001"/>
      <c r="R40" s="450"/>
      <c r="S40" s="444"/>
      <c r="T40" s="444"/>
      <c r="U40" s="294"/>
      <c r="V40" s="5999"/>
      <c r="W40" s="6000"/>
      <c r="X40" s="6000"/>
      <c r="Y40" s="6000"/>
      <c r="Z40" s="6000"/>
      <c r="AA40" s="6000"/>
      <c r="AB40" s="6000"/>
      <c r="AC40" s="6000"/>
      <c r="AD40" s="6000"/>
      <c r="AE40" s="6000"/>
      <c r="AF40" s="6000"/>
      <c r="AG40" s="6000"/>
      <c r="AH40" s="6000"/>
      <c r="AI40" s="6000"/>
      <c r="AJ40" s="6001"/>
      <c r="AK40" s="450"/>
      <c r="AL40" s="444"/>
      <c r="AM40" s="444"/>
      <c r="AN40" s="294"/>
      <c r="AO40" s="5999"/>
      <c r="AP40" s="6000"/>
      <c r="AQ40" s="6000"/>
      <c r="AR40" s="6000"/>
      <c r="AS40" s="6000"/>
      <c r="AT40" s="6000"/>
      <c r="AU40" s="6000"/>
      <c r="AV40" s="6000"/>
      <c r="AW40" s="6000"/>
      <c r="AX40" s="6000"/>
      <c r="AY40" s="6000"/>
      <c r="AZ40" s="6000"/>
      <c r="BA40" s="6000"/>
      <c r="BB40" s="6000"/>
      <c r="BC40" s="6001"/>
      <c r="BD40" s="450"/>
      <c r="BE40" s="444"/>
    </row>
    <row r="41" spans="1:57" ht="12" customHeight="1" thickBot="1" x14ac:dyDescent="0.25">
      <c r="A41" s="444"/>
      <c r="B41" s="294"/>
      <c r="C41" s="6002"/>
      <c r="D41" s="6003"/>
      <c r="E41" s="6003"/>
      <c r="F41" s="6003"/>
      <c r="G41" s="6003"/>
      <c r="H41" s="6003"/>
      <c r="I41" s="6003"/>
      <c r="J41" s="6003"/>
      <c r="K41" s="6003"/>
      <c r="L41" s="6003"/>
      <c r="M41" s="6003"/>
      <c r="N41" s="6003"/>
      <c r="O41" s="6003"/>
      <c r="P41" s="6003"/>
      <c r="Q41" s="6004"/>
      <c r="R41" s="450"/>
      <c r="S41" s="444"/>
      <c r="T41" s="444"/>
      <c r="U41" s="294"/>
      <c r="V41" s="6002"/>
      <c r="W41" s="6003"/>
      <c r="X41" s="6003"/>
      <c r="Y41" s="6003"/>
      <c r="Z41" s="6003"/>
      <c r="AA41" s="6003"/>
      <c r="AB41" s="6003"/>
      <c r="AC41" s="6003"/>
      <c r="AD41" s="6003"/>
      <c r="AE41" s="6003"/>
      <c r="AF41" s="6003"/>
      <c r="AG41" s="6003"/>
      <c r="AH41" s="6003"/>
      <c r="AI41" s="6003"/>
      <c r="AJ41" s="6004"/>
      <c r="AK41" s="450"/>
      <c r="AL41" s="444"/>
      <c r="AM41" s="444"/>
      <c r="AN41" s="294"/>
      <c r="AO41" s="6002"/>
      <c r="AP41" s="6003"/>
      <c r="AQ41" s="6003"/>
      <c r="AR41" s="6003"/>
      <c r="AS41" s="6003"/>
      <c r="AT41" s="6003"/>
      <c r="AU41" s="6003"/>
      <c r="AV41" s="6003"/>
      <c r="AW41" s="6003"/>
      <c r="AX41" s="6003"/>
      <c r="AY41" s="6003"/>
      <c r="AZ41" s="6003"/>
      <c r="BA41" s="6003"/>
      <c r="BB41" s="6003"/>
      <c r="BC41" s="6004"/>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69"/>
      <c r="D43" s="5970"/>
      <c r="E43" s="5970"/>
      <c r="F43" s="5970"/>
      <c r="G43" s="5970"/>
      <c r="H43" s="454" t="s">
        <v>1333</v>
      </c>
      <c r="I43" s="455" t="str">
        <f>IF(C43=0,"",VLOOKUP(C43,'Tablas Magia'!$D$6:$Z$680,3,FALSE))</f>
        <v/>
      </c>
      <c r="J43" s="5971" t="s">
        <v>6388</v>
      </c>
      <c r="K43" s="5971"/>
      <c r="L43" s="5971"/>
      <c r="M43" s="5972" t="str">
        <f>IF(C43=0,"",VLOOKUP(C43,'Tablas Magia'!$D$6:$Z$680,2,FALSE))</f>
        <v/>
      </c>
      <c r="N43" s="5972"/>
      <c r="O43" s="5972"/>
      <c r="P43" s="5972"/>
      <c r="Q43" s="5973"/>
      <c r="R43" s="450"/>
      <c r="S43" s="444"/>
      <c r="T43" s="444"/>
      <c r="U43" s="294"/>
      <c r="V43" s="5969"/>
      <c r="W43" s="5970"/>
      <c r="X43" s="5970"/>
      <c r="Y43" s="5970"/>
      <c r="Z43" s="5970"/>
      <c r="AA43" s="454" t="s">
        <v>1333</v>
      </c>
      <c r="AB43" s="455" t="str">
        <f>IF(V43=0,"",VLOOKUP(V43,'Tablas Magia'!$D$6:$Z$680,3,FALSE))</f>
        <v/>
      </c>
      <c r="AC43" s="5971" t="s">
        <v>6388</v>
      </c>
      <c r="AD43" s="5971"/>
      <c r="AE43" s="5971"/>
      <c r="AF43" s="5972" t="str">
        <f>IF(V43=0,"",VLOOKUP(V43,'Tablas Magia'!$D$6:$Z$680,2,FALSE))</f>
        <v/>
      </c>
      <c r="AG43" s="5972"/>
      <c r="AH43" s="5972"/>
      <c r="AI43" s="5972"/>
      <c r="AJ43" s="5973"/>
      <c r="AK43" s="450"/>
      <c r="AL43" s="444"/>
      <c r="AM43" s="444"/>
      <c r="AN43" s="294"/>
      <c r="AO43" s="5969"/>
      <c r="AP43" s="5970"/>
      <c r="AQ43" s="5970"/>
      <c r="AR43" s="5970"/>
      <c r="AS43" s="5970"/>
      <c r="AT43" s="454" t="s">
        <v>1333</v>
      </c>
      <c r="AU43" s="455" t="str">
        <f>IF(AO43=0,"",VLOOKUP(AO43,'Tablas Magia'!$D$6:$Z$680,3,FALSE))</f>
        <v/>
      </c>
      <c r="AV43" s="5971" t="s">
        <v>6388</v>
      </c>
      <c r="AW43" s="5971"/>
      <c r="AX43" s="5971"/>
      <c r="AY43" s="5972" t="str">
        <f>IF(AO43=0,"",VLOOKUP(AO43,'Tablas Magia'!$D$6:$Z$680,2,FALSE))</f>
        <v/>
      </c>
      <c r="AZ43" s="5972"/>
      <c r="BA43" s="5972"/>
      <c r="BB43" s="5972"/>
      <c r="BC43" s="5973"/>
      <c r="BD43" s="450"/>
      <c r="BE43" s="444"/>
    </row>
    <row r="44" spans="1:57" ht="12" customHeight="1" x14ac:dyDescent="0.2">
      <c r="A44" s="444"/>
      <c r="B44" s="294"/>
      <c r="C44" s="5989" t="s">
        <v>6389</v>
      </c>
      <c r="D44" s="5990"/>
      <c r="E44" s="456" t="s">
        <v>6390</v>
      </c>
      <c r="F44" s="456" t="s">
        <v>1517</v>
      </c>
      <c r="G44" s="456" t="s">
        <v>2914</v>
      </c>
      <c r="H44" s="457" t="s">
        <v>1845</v>
      </c>
      <c r="I44" s="5986" t="str">
        <f>IF(C43=0,"",VLOOKUP(C43,'Tablas Magia'!$D$6:$Z$680,5,FALSE))</f>
        <v/>
      </c>
      <c r="J44" s="5986"/>
      <c r="K44" s="5987" t="s">
        <v>6391</v>
      </c>
      <c r="L44" s="5987"/>
      <c r="M44" s="5986" t="str">
        <f>IF(C43=0,"",VLOOKUP(C43,'Tablas Magia'!$D$6:$Z$680,6,FALSE))</f>
        <v/>
      </c>
      <c r="N44" s="5986"/>
      <c r="O44" s="5988" t="s">
        <v>6392</v>
      </c>
      <c r="P44" s="5988"/>
      <c r="Q44" s="458" t="str">
        <f>IF(C43=0,"",VLOOKUP(C43,'Tablas Magia'!$D$6:$Z$680,4,FALSE))</f>
        <v/>
      </c>
      <c r="R44" s="450"/>
      <c r="S44" s="444"/>
      <c r="T44" s="444"/>
      <c r="U44" s="294"/>
      <c r="V44" s="5989" t="s">
        <v>6389</v>
      </c>
      <c r="W44" s="5990"/>
      <c r="X44" s="456" t="s">
        <v>6390</v>
      </c>
      <c r="Y44" s="456" t="s">
        <v>1517</v>
      </c>
      <c r="Z44" s="456" t="s">
        <v>2914</v>
      </c>
      <c r="AA44" s="457" t="s">
        <v>1845</v>
      </c>
      <c r="AB44" s="5986" t="str">
        <f>IF(V43=0,"",VLOOKUP(V43,'Tablas Magia'!$D$6:$Z$680,5,FALSE))</f>
        <v/>
      </c>
      <c r="AC44" s="5986"/>
      <c r="AD44" s="5987" t="s">
        <v>6391</v>
      </c>
      <c r="AE44" s="5987"/>
      <c r="AF44" s="5986" t="str">
        <f>IF(V43=0,"",VLOOKUP(V43,'Tablas Magia'!$D$6:$Z$680,6,FALSE))</f>
        <v/>
      </c>
      <c r="AG44" s="5986"/>
      <c r="AH44" s="5988" t="s">
        <v>6392</v>
      </c>
      <c r="AI44" s="5988"/>
      <c r="AJ44" s="458" t="str">
        <f>IF(V43=0,"",VLOOKUP(V43,'Tablas Magia'!$D$6:$Z$680,4,FALSE))</f>
        <v/>
      </c>
      <c r="AK44" s="450"/>
      <c r="AL44" s="444"/>
      <c r="AM44" s="444"/>
      <c r="AN44" s="294"/>
      <c r="AO44" s="5989" t="s">
        <v>6389</v>
      </c>
      <c r="AP44" s="5990"/>
      <c r="AQ44" s="456" t="s">
        <v>6390</v>
      </c>
      <c r="AR44" s="456" t="s">
        <v>1517</v>
      </c>
      <c r="AS44" s="456" t="s">
        <v>2914</v>
      </c>
      <c r="AT44" s="457" t="s">
        <v>1845</v>
      </c>
      <c r="AU44" s="5986" t="str">
        <f>IF(AO43=0,"",VLOOKUP(AO43,'Tablas Magia'!$D$6:$Z$680,5,FALSE))</f>
        <v/>
      </c>
      <c r="AV44" s="5986"/>
      <c r="AW44" s="5987" t="s">
        <v>6391</v>
      </c>
      <c r="AX44" s="5987"/>
      <c r="AY44" s="5986" t="str">
        <f>IF(AO43=0,"",VLOOKUP(AO43,'Tablas Magia'!$D$6:$Z$680,6,FALSE))</f>
        <v/>
      </c>
      <c r="AZ44" s="5986"/>
      <c r="BA44" s="5988" t="s">
        <v>6392</v>
      </c>
      <c r="BB44" s="5988"/>
      <c r="BC44" s="458" t="str">
        <f>IF(AO43=0,"",VLOOKUP(AO43,'Tablas Magia'!$D$6:$Z$680,4,FALSE))</f>
        <v/>
      </c>
      <c r="BD44" s="450"/>
      <c r="BE44" s="444"/>
    </row>
    <row r="45" spans="1:57" ht="12" customHeight="1" x14ac:dyDescent="0.2">
      <c r="A45" s="444"/>
      <c r="B45" s="294"/>
      <c r="C45" s="5981" t="s">
        <v>1373</v>
      </c>
      <c r="D45" s="5982"/>
      <c r="E45" s="459" t="str">
        <f>IF(C43=0,"",VLOOKUP(C43,'Tablas Magia'!$D$6:$Z$680,7,FALSE))</f>
        <v/>
      </c>
      <c r="F45" s="459" t="str">
        <f>IF(C43=0,"",VLOOKUP(C43,'Tablas Magia'!$D$6:$Z$680,11,FALSE))</f>
        <v/>
      </c>
      <c r="G45" s="460" t="str">
        <f>IF(C43=0,"",VLOOKUP(C43,'Tablas Magia'!$D$6:$Z$680,15,FALSE))</f>
        <v/>
      </c>
      <c r="H45" s="5983" t="str">
        <f>IF(C43=0,"",VLOOKUP(C43,'Tablas Magia'!$D$6:$Z$680,19,FALSE))</f>
        <v/>
      </c>
      <c r="I45" s="5984"/>
      <c r="J45" s="5984"/>
      <c r="K45" s="5984"/>
      <c r="L45" s="5984"/>
      <c r="M45" s="5984"/>
      <c r="N45" s="5984"/>
      <c r="O45" s="5984"/>
      <c r="P45" s="5984"/>
      <c r="Q45" s="5985"/>
      <c r="R45" s="450"/>
      <c r="S45" s="444"/>
      <c r="T45" s="444"/>
      <c r="U45" s="294"/>
      <c r="V45" s="5981" t="s">
        <v>1373</v>
      </c>
      <c r="W45" s="5982"/>
      <c r="X45" s="459" t="str">
        <f>IF(V43=0,"",VLOOKUP(V43,'Tablas Magia'!$D$6:$Z$680,7,FALSE))</f>
        <v/>
      </c>
      <c r="Y45" s="459" t="str">
        <f>IF(V43=0,"",VLOOKUP(V43,'Tablas Magia'!$D$6:$Z$680,11,FALSE))</f>
        <v/>
      </c>
      <c r="Z45" s="460" t="str">
        <f>IF(V43=0,"",VLOOKUP(V43,'Tablas Magia'!$D$6:$Z$680,15,FALSE))</f>
        <v/>
      </c>
      <c r="AA45" s="5983" t="str">
        <f>IF(V43=0,"",VLOOKUP(V43,'Tablas Magia'!$D$6:$Z$680,19,FALSE))</f>
        <v/>
      </c>
      <c r="AB45" s="5984"/>
      <c r="AC45" s="5984"/>
      <c r="AD45" s="5984"/>
      <c r="AE45" s="5984"/>
      <c r="AF45" s="5984"/>
      <c r="AG45" s="5984"/>
      <c r="AH45" s="5984"/>
      <c r="AI45" s="5984"/>
      <c r="AJ45" s="5985"/>
      <c r="AK45" s="450"/>
      <c r="AL45" s="444"/>
      <c r="AM45" s="444"/>
      <c r="AN45" s="294"/>
      <c r="AO45" s="5981" t="s">
        <v>1373</v>
      </c>
      <c r="AP45" s="5982"/>
      <c r="AQ45" s="459" t="str">
        <f>IF(AO43=0,"",VLOOKUP(AO43,'Tablas Magia'!$D$6:$Z$680,7,FALSE))</f>
        <v/>
      </c>
      <c r="AR45" s="459" t="str">
        <f>IF(AO43=0,"",VLOOKUP(AO43,'Tablas Magia'!$D$6:$Z$680,11,FALSE))</f>
        <v/>
      </c>
      <c r="AS45" s="460" t="str">
        <f>IF(AO43=0,"",VLOOKUP(AO43,'Tablas Magia'!$D$6:$Z$680,15,FALSE))</f>
        <v/>
      </c>
      <c r="AT45" s="5983" t="str">
        <f>IF(AO43=0,"",VLOOKUP(AO43,'Tablas Magia'!$D$6:$Z$680,19,FALSE))</f>
        <v/>
      </c>
      <c r="AU45" s="5984"/>
      <c r="AV45" s="5984"/>
      <c r="AW45" s="5984"/>
      <c r="AX45" s="5984"/>
      <c r="AY45" s="5984"/>
      <c r="AZ45" s="5984"/>
      <c r="BA45" s="5984"/>
      <c r="BB45" s="5984"/>
      <c r="BC45" s="5985"/>
      <c r="BD45" s="450"/>
      <c r="BE45" s="444"/>
    </row>
    <row r="46" spans="1:57" ht="12" customHeight="1" x14ac:dyDescent="0.2">
      <c r="A46" s="444"/>
      <c r="B46" s="294"/>
      <c r="C46" s="5976" t="s">
        <v>3285</v>
      </c>
      <c r="D46" s="5977"/>
      <c r="E46" s="461" t="str">
        <f>IF(C43=0,"",VLOOKUP(C43,'Tablas Magia'!$D$6:$Z$680,8,FALSE))</f>
        <v/>
      </c>
      <c r="F46" s="461" t="str">
        <f>IF(C43=0,"",VLOOKUP(C43,'Tablas Magia'!$D$6:$Z$680,12,FALSE))</f>
        <v/>
      </c>
      <c r="G46" s="462" t="str">
        <f>IF(C43=0,"",VLOOKUP(C43,'Tablas Magia'!$D$6:$Z$680,16,FALSE))</f>
        <v/>
      </c>
      <c r="H46" s="5978" t="str">
        <f>IF(C43=0,"",VLOOKUP(C43,'Tablas Magia'!$D$6:$Z$680,20,FALSE))</f>
        <v/>
      </c>
      <c r="I46" s="5979"/>
      <c r="J46" s="5979"/>
      <c r="K46" s="5979"/>
      <c r="L46" s="5979"/>
      <c r="M46" s="5979"/>
      <c r="N46" s="5979"/>
      <c r="O46" s="5979"/>
      <c r="P46" s="5979"/>
      <c r="Q46" s="5980"/>
      <c r="R46" s="450"/>
      <c r="S46" s="444"/>
      <c r="T46" s="444"/>
      <c r="U46" s="294"/>
      <c r="V46" s="5976" t="s">
        <v>3285</v>
      </c>
      <c r="W46" s="5977"/>
      <c r="X46" s="461" t="str">
        <f>IF(V43=0,"",VLOOKUP(V43,'Tablas Magia'!$D$6:$Z$680,8,FALSE))</f>
        <v/>
      </c>
      <c r="Y46" s="461" t="str">
        <f>IF(V43=0,"",VLOOKUP(V43,'Tablas Magia'!$D$6:$Z$680,12,FALSE))</f>
        <v/>
      </c>
      <c r="Z46" s="462" t="str">
        <f>IF(V43=0,"",VLOOKUP(V43,'Tablas Magia'!$D$6:$Z$680,16,FALSE))</f>
        <v/>
      </c>
      <c r="AA46" s="5978" t="str">
        <f>IF(V43=0,"",VLOOKUP(V43,'Tablas Magia'!$D$6:$Z$680,20,FALSE))</f>
        <v/>
      </c>
      <c r="AB46" s="5979"/>
      <c r="AC46" s="5979"/>
      <c r="AD46" s="5979"/>
      <c r="AE46" s="5979"/>
      <c r="AF46" s="5979"/>
      <c r="AG46" s="5979"/>
      <c r="AH46" s="5979"/>
      <c r="AI46" s="5979"/>
      <c r="AJ46" s="5980"/>
      <c r="AK46" s="450"/>
      <c r="AL46" s="444"/>
      <c r="AM46" s="444"/>
      <c r="AN46" s="294"/>
      <c r="AO46" s="5976" t="s">
        <v>3285</v>
      </c>
      <c r="AP46" s="5977"/>
      <c r="AQ46" s="461" t="str">
        <f>IF(AO43=0,"",VLOOKUP(AO43,'Tablas Magia'!$D$6:$Z$680,8,FALSE))</f>
        <v/>
      </c>
      <c r="AR46" s="461" t="str">
        <f>IF(AO43=0,"",VLOOKUP(AO43,'Tablas Magia'!$D$6:$Z$680,12,FALSE))</f>
        <v/>
      </c>
      <c r="AS46" s="462" t="str">
        <f>IF(AO43=0,"",VLOOKUP(AO43,'Tablas Magia'!$D$6:$Z$680,16,FALSE))</f>
        <v/>
      </c>
      <c r="AT46" s="5978" t="str">
        <f>IF(AO43=0,"",VLOOKUP(AO43,'Tablas Magia'!$D$6:$Z$680,20,FALSE))</f>
        <v/>
      </c>
      <c r="AU46" s="5979"/>
      <c r="AV46" s="5979"/>
      <c r="AW46" s="5979"/>
      <c r="AX46" s="5979"/>
      <c r="AY46" s="5979"/>
      <c r="AZ46" s="5979"/>
      <c r="BA46" s="5979"/>
      <c r="BB46" s="5979"/>
      <c r="BC46" s="5980"/>
      <c r="BD46" s="450"/>
      <c r="BE46" s="444"/>
    </row>
    <row r="47" spans="1:57" ht="12" customHeight="1" x14ac:dyDescent="0.2">
      <c r="A47" s="444"/>
      <c r="B47" s="294"/>
      <c r="C47" s="5981" t="s">
        <v>3286</v>
      </c>
      <c r="D47" s="5982"/>
      <c r="E47" s="459" t="str">
        <f>IF(C43=0,"",VLOOKUP(C43,'Tablas Magia'!$D$6:$Z$680,9,FALSE))</f>
        <v/>
      </c>
      <c r="F47" s="459" t="str">
        <f>IF(C43=0,"",VLOOKUP(C43,'Tablas Magia'!$D$6:$Z$680,13,FALSE))</f>
        <v/>
      </c>
      <c r="G47" s="460" t="str">
        <f>IF(C43=0,"",VLOOKUP(C43,'Tablas Magia'!$D$6:$Z$680,17,FALSE))</f>
        <v/>
      </c>
      <c r="H47" s="5983" t="str">
        <f>IF(C43=0,"",VLOOKUP(C43,'Tablas Magia'!$D$6:$Z$680,21,FALSE))</f>
        <v/>
      </c>
      <c r="I47" s="5984"/>
      <c r="J47" s="5984"/>
      <c r="K47" s="5984"/>
      <c r="L47" s="5984"/>
      <c r="M47" s="5984"/>
      <c r="N47" s="5984"/>
      <c r="O47" s="5984"/>
      <c r="P47" s="5984"/>
      <c r="Q47" s="5985"/>
      <c r="R47" s="450"/>
      <c r="S47" s="444"/>
      <c r="T47" s="444"/>
      <c r="U47" s="294"/>
      <c r="V47" s="5981" t="s">
        <v>3286</v>
      </c>
      <c r="W47" s="5982"/>
      <c r="X47" s="459" t="str">
        <f>IF(V43=0,"",VLOOKUP(V43,'Tablas Magia'!$D$6:$Z$680,9,FALSE))</f>
        <v/>
      </c>
      <c r="Y47" s="459" t="str">
        <f>IF(V43=0,"",VLOOKUP(V43,'Tablas Magia'!$D$6:$Z$680,13,FALSE))</f>
        <v/>
      </c>
      <c r="Z47" s="460" t="str">
        <f>IF(V43=0,"",VLOOKUP(V43,'Tablas Magia'!$D$6:$Z$680,17,FALSE))</f>
        <v/>
      </c>
      <c r="AA47" s="5983" t="str">
        <f>IF(V43=0,"",VLOOKUP(V43,'Tablas Magia'!$D$6:$Z$680,21,FALSE))</f>
        <v/>
      </c>
      <c r="AB47" s="5984"/>
      <c r="AC47" s="5984"/>
      <c r="AD47" s="5984"/>
      <c r="AE47" s="5984"/>
      <c r="AF47" s="5984"/>
      <c r="AG47" s="5984"/>
      <c r="AH47" s="5984"/>
      <c r="AI47" s="5984"/>
      <c r="AJ47" s="5985"/>
      <c r="AK47" s="450"/>
      <c r="AL47" s="444"/>
      <c r="AM47" s="444"/>
      <c r="AN47" s="294"/>
      <c r="AO47" s="5981" t="s">
        <v>3286</v>
      </c>
      <c r="AP47" s="5982"/>
      <c r="AQ47" s="459" t="str">
        <f>IF(AO43=0,"",VLOOKUP(AO43,'Tablas Magia'!$D$6:$Z$680,9,FALSE))</f>
        <v/>
      </c>
      <c r="AR47" s="459" t="str">
        <f>IF(AO43=0,"",VLOOKUP(AO43,'Tablas Magia'!$D$6:$Z$680,13,FALSE))</f>
        <v/>
      </c>
      <c r="AS47" s="460" t="str">
        <f>IF(AO43=0,"",VLOOKUP(AO43,'Tablas Magia'!$D$6:$Z$680,17,FALSE))</f>
        <v/>
      </c>
      <c r="AT47" s="5983" t="str">
        <f>IF(AO43=0,"",VLOOKUP(AO43,'Tablas Magia'!$D$6:$Z$680,21,FALSE))</f>
        <v/>
      </c>
      <c r="AU47" s="5984"/>
      <c r="AV47" s="5984"/>
      <c r="AW47" s="5984"/>
      <c r="AX47" s="5984"/>
      <c r="AY47" s="5984"/>
      <c r="AZ47" s="5984"/>
      <c r="BA47" s="5984"/>
      <c r="BB47" s="5984"/>
      <c r="BC47" s="5985"/>
      <c r="BD47" s="450"/>
      <c r="BE47" s="444"/>
    </row>
    <row r="48" spans="1:57" ht="12" customHeight="1" thickBot="1" x14ac:dyDescent="0.25">
      <c r="A48" s="444"/>
      <c r="B48" s="294"/>
      <c r="C48" s="5991" t="s">
        <v>3287</v>
      </c>
      <c r="D48" s="5992"/>
      <c r="E48" s="463" t="str">
        <f>IF(C43=0,"",VLOOKUP(C43,'Tablas Magia'!$D$6:$Z$680,10,FALSE))</f>
        <v/>
      </c>
      <c r="F48" s="463" t="str">
        <f>IF(C43=0,"",VLOOKUP(C43,'Tablas Magia'!$D$6:$Z$680,14,FALSE))</f>
        <v/>
      </c>
      <c r="G48" s="464" t="str">
        <f>IF(C43=0,"",VLOOKUP(C43,'Tablas Magia'!$D$6:$Z$680,18,FALSE))</f>
        <v/>
      </c>
      <c r="H48" s="5993" t="str">
        <f>IF(C43=0,"",VLOOKUP(C43,'Tablas Magia'!$D$6:$Z$680,22,FALSE))</f>
        <v/>
      </c>
      <c r="I48" s="5994"/>
      <c r="J48" s="5994"/>
      <c r="K48" s="5994"/>
      <c r="L48" s="5994"/>
      <c r="M48" s="5994"/>
      <c r="N48" s="5994"/>
      <c r="O48" s="5994"/>
      <c r="P48" s="5994"/>
      <c r="Q48" s="5995"/>
      <c r="R48" s="450"/>
      <c r="S48" s="444"/>
      <c r="T48" s="444"/>
      <c r="U48" s="294"/>
      <c r="V48" s="5991" t="s">
        <v>3287</v>
      </c>
      <c r="W48" s="5992"/>
      <c r="X48" s="463" t="str">
        <f>IF(V43=0,"",VLOOKUP(V43,'Tablas Magia'!$D$6:$Z$680,10,FALSE))</f>
        <v/>
      </c>
      <c r="Y48" s="463" t="str">
        <f>IF(V43=0,"",VLOOKUP(V43,'Tablas Magia'!$D$6:$Z$680,14,FALSE))</f>
        <v/>
      </c>
      <c r="Z48" s="464" t="str">
        <f>IF(V43=0,"",VLOOKUP(V43,'Tablas Magia'!$D$6:$Z$680,18,FALSE))</f>
        <v/>
      </c>
      <c r="AA48" s="5993" t="str">
        <f>IF(V43=0,"",VLOOKUP(V43,'Tablas Magia'!$D$6:$Z$680,22,FALSE))</f>
        <v/>
      </c>
      <c r="AB48" s="5994"/>
      <c r="AC48" s="5994"/>
      <c r="AD48" s="5994"/>
      <c r="AE48" s="5994"/>
      <c r="AF48" s="5994"/>
      <c r="AG48" s="5994"/>
      <c r="AH48" s="5994"/>
      <c r="AI48" s="5994"/>
      <c r="AJ48" s="5995"/>
      <c r="AK48" s="450"/>
      <c r="AL48" s="444"/>
      <c r="AM48" s="444"/>
      <c r="AN48" s="294"/>
      <c r="AO48" s="5991" t="s">
        <v>3287</v>
      </c>
      <c r="AP48" s="5992"/>
      <c r="AQ48" s="463" t="str">
        <f>IF(AO43=0,"",VLOOKUP(AO43,'Tablas Magia'!$D$6:$Z$680,10,FALSE))</f>
        <v/>
      </c>
      <c r="AR48" s="463" t="str">
        <f>IF(AO43=0,"",VLOOKUP(AO43,'Tablas Magia'!$D$6:$Z$680,14,FALSE))</f>
        <v/>
      </c>
      <c r="AS48" s="464" t="str">
        <f>IF(AO43=0,"",VLOOKUP(AO43,'Tablas Magia'!$D$6:$Z$680,18,FALSE))</f>
        <v/>
      </c>
      <c r="AT48" s="5993" t="str">
        <f>IF(AO43=0,"",VLOOKUP(AO43,'Tablas Magia'!$D$6:$Z$680,22,FALSE))</f>
        <v/>
      </c>
      <c r="AU48" s="5994"/>
      <c r="AV48" s="5994"/>
      <c r="AW48" s="5994"/>
      <c r="AX48" s="5994"/>
      <c r="AY48" s="5994"/>
      <c r="AZ48" s="5994"/>
      <c r="BA48" s="5994"/>
      <c r="BB48" s="5994"/>
      <c r="BC48" s="5995"/>
      <c r="BD48" s="450"/>
      <c r="BE48" s="444"/>
    </row>
    <row r="49" spans="1:57" ht="12" customHeight="1" x14ac:dyDescent="0.2">
      <c r="A49" s="444"/>
      <c r="B49" s="294"/>
      <c r="C49" s="5996" t="str">
        <f>IF(C43=0,"",VLOOKUP(C43,'Tablas Magia'!$D$6:$Z$680,23,FALSE))</f>
        <v/>
      </c>
      <c r="D49" s="5997"/>
      <c r="E49" s="5997"/>
      <c r="F49" s="5997"/>
      <c r="G49" s="5997"/>
      <c r="H49" s="5997"/>
      <c r="I49" s="5997"/>
      <c r="J49" s="5997"/>
      <c r="K49" s="5997"/>
      <c r="L49" s="5997"/>
      <c r="M49" s="5997"/>
      <c r="N49" s="5997"/>
      <c r="O49" s="5997"/>
      <c r="P49" s="5997"/>
      <c r="Q49" s="5998"/>
      <c r="R49" s="450"/>
      <c r="S49" s="444"/>
      <c r="T49" s="444"/>
      <c r="U49" s="294"/>
      <c r="V49" s="5996" t="str">
        <f>IF(V43=0,"",VLOOKUP(V43,'Tablas Magia'!$D$6:$Z$680,23,FALSE))</f>
        <v/>
      </c>
      <c r="W49" s="5997"/>
      <c r="X49" s="5997"/>
      <c r="Y49" s="5997"/>
      <c r="Z49" s="5997"/>
      <c r="AA49" s="5997"/>
      <c r="AB49" s="5997"/>
      <c r="AC49" s="5997"/>
      <c r="AD49" s="5997"/>
      <c r="AE49" s="5997"/>
      <c r="AF49" s="5997"/>
      <c r="AG49" s="5997"/>
      <c r="AH49" s="5997"/>
      <c r="AI49" s="5997"/>
      <c r="AJ49" s="5998"/>
      <c r="AK49" s="450"/>
      <c r="AL49" s="444"/>
      <c r="AM49" s="444"/>
      <c r="AN49" s="294"/>
      <c r="AO49" s="5996" t="str">
        <f>IF(AO43=0,"",VLOOKUP(AO43,'Tablas Magia'!$D$6:$Z$680,23,FALSE))</f>
        <v/>
      </c>
      <c r="AP49" s="5997"/>
      <c r="AQ49" s="5997"/>
      <c r="AR49" s="5997"/>
      <c r="AS49" s="5997"/>
      <c r="AT49" s="5997"/>
      <c r="AU49" s="5997"/>
      <c r="AV49" s="5997"/>
      <c r="AW49" s="5997"/>
      <c r="AX49" s="5997"/>
      <c r="AY49" s="5997"/>
      <c r="AZ49" s="5997"/>
      <c r="BA49" s="5997"/>
      <c r="BB49" s="5997"/>
      <c r="BC49" s="5998"/>
      <c r="BD49" s="450"/>
      <c r="BE49" s="444"/>
    </row>
    <row r="50" spans="1:57" ht="12" customHeight="1" x14ac:dyDescent="0.2">
      <c r="A50" s="444"/>
      <c r="B50" s="294"/>
      <c r="C50" s="5999"/>
      <c r="D50" s="6000"/>
      <c r="E50" s="6000"/>
      <c r="F50" s="6000"/>
      <c r="G50" s="6000"/>
      <c r="H50" s="6000"/>
      <c r="I50" s="6000"/>
      <c r="J50" s="6000"/>
      <c r="K50" s="6000"/>
      <c r="L50" s="6000"/>
      <c r="M50" s="6000"/>
      <c r="N50" s="6000"/>
      <c r="O50" s="6000"/>
      <c r="P50" s="6000"/>
      <c r="Q50" s="6001"/>
      <c r="R50" s="450"/>
      <c r="S50" s="444"/>
      <c r="T50" s="444"/>
      <c r="U50" s="294"/>
      <c r="V50" s="5999"/>
      <c r="W50" s="6000"/>
      <c r="X50" s="6000"/>
      <c r="Y50" s="6000"/>
      <c r="Z50" s="6000"/>
      <c r="AA50" s="6000"/>
      <c r="AB50" s="6000"/>
      <c r="AC50" s="6000"/>
      <c r="AD50" s="6000"/>
      <c r="AE50" s="6000"/>
      <c r="AF50" s="6000"/>
      <c r="AG50" s="6000"/>
      <c r="AH50" s="6000"/>
      <c r="AI50" s="6000"/>
      <c r="AJ50" s="6001"/>
      <c r="AK50" s="450"/>
      <c r="AL50" s="444"/>
      <c r="AM50" s="444"/>
      <c r="AN50" s="294"/>
      <c r="AO50" s="5999"/>
      <c r="AP50" s="6000"/>
      <c r="AQ50" s="6000"/>
      <c r="AR50" s="6000"/>
      <c r="AS50" s="6000"/>
      <c r="AT50" s="6000"/>
      <c r="AU50" s="6000"/>
      <c r="AV50" s="6000"/>
      <c r="AW50" s="6000"/>
      <c r="AX50" s="6000"/>
      <c r="AY50" s="6000"/>
      <c r="AZ50" s="6000"/>
      <c r="BA50" s="6000"/>
      <c r="BB50" s="6000"/>
      <c r="BC50" s="6001"/>
      <c r="BD50" s="450"/>
      <c r="BE50" s="444"/>
    </row>
    <row r="51" spans="1:57" ht="12" customHeight="1" x14ac:dyDescent="0.2">
      <c r="A51" s="444"/>
      <c r="B51" s="294"/>
      <c r="C51" s="5999"/>
      <c r="D51" s="6000"/>
      <c r="E51" s="6000"/>
      <c r="F51" s="6000"/>
      <c r="G51" s="6000"/>
      <c r="H51" s="6000"/>
      <c r="I51" s="6000"/>
      <c r="J51" s="6000"/>
      <c r="K51" s="6000"/>
      <c r="L51" s="6000"/>
      <c r="M51" s="6000"/>
      <c r="N51" s="6000"/>
      <c r="O51" s="6000"/>
      <c r="P51" s="6000"/>
      <c r="Q51" s="6001"/>
      <c r="R51" s="450"/>
      <c r="S51" s="444"/>
      <c r="T51" s="444"/>
      <c r="U51" s="294"/>
      <c r="V51" s="5999"/>
      <c r="W51" s="6000"/>
      <c r="X51" s="6000"/>
      <c r="Y51" s="6000"/>
      <c r="Z51" s="6000"/>
      <c r="AA51" s="6000"/>
      <c r="AB51" s="6000"/>
      <c r="AC51" s="6000"/>
      <c r="AD51" s="6000"/>
      <c r="AE51" s="6000"/>
      <c r="AF51" s="6000"/>
      <c r="AG51" s="6000"/>
      <c r="AH51" s="6000"/>
      <c r="AI51" s="6000"/>
      <c r="AJ51" s="6001"/>
      <c r="AK51" s="450"/>
      <c r="AL51" s="444"/>
      <c r="AM51" s="444"/>
      <c r="AN51" s="294"/>
      <c r="AO51" s="5999"/>
      <c r="AP51" s="6000"/>
      <c r="AQ51" s="6000"/>
      <c r="AR51" s="6000"/>
      <c r="AS51" s="6000"/>
      <c r="AT51" s="6000"/>
      <c r="AU51" s="6000"/>
      <c r="AV51" s="6000"/>
      <c r="AW51" s="6000"/>
      <c r="AX51" s="6000"/>
      <c r="AY51" s="6000"/>
      <c r="AZ51" s="6000"/>
      <c r="BA51" s="6000"/>
      <c r="BB51" s="6000"/>
      <c r="BC51" s="6001"/>
      <c r="BD51" s="450"/>
      <c r="BE51" s="444"/>
    </row>
    <row r="52" spans="1:57" ht="12" customHeight="1" thickBot="1" x14ac:dyDescent="0.25">
      <c r="A52" s="444"/>
      <c r="B52" s="294"/>
      <c r="C52" s="6002"/>
      <c r="D52" s="6003"/>
      <c r="E52" s="6003"/>
      <c r="F52" s="6003"/>
      <c r="G52" s="6003"/>
      <c r="H52" s="6003"/>
      <c r="I52" s="6003"/>
      <c r="J52" s="6003"/>
      <c r="K52" s="6003"/>
      <c r="L52" s="6003"/>
      <c r="M52" s="6003"/>
      <c r="N52" s="6003"/>
      <c r="O52" s="6003"/>
      <c r="P52" s="6003"/>
      <c r="Q52" s="6004"/>
      <c r="R52" s="450"/>
      <c r="S52" s="444"/>
      <c r="T52" s="444"/>
      <c r="U52" s="294"/>
      <c r="V52" s="6002"/>
      <c r="W52" s="6003"/>
      <c r="X52" s="6003"/>
      <c r="Y52" s="6003"/>
      <c r="Z52" s="6003"/>
      <c r="AA52" s="6003"/>
      <c r="AB52" s="6003"/>
      <c r="AC52" s="6003"/>
      <c r="AD52" s="6003"/>
      <c r="AE52" s="6003"/>
      <c r="AF52" s="6003"/>
      <c r="AG52" s="6003"/>
      <c r="AH52" s="6003"/>
      <c r="AI52" s="6003"/>
      <c r="AJ52" s="6004"/>
      <c r="AK52" s="450"/>
      <c r="AL52" s="444"/>
      <c r="AM52" s="444"/>
      <c r="AN52" s="294"/>
      <c r="AO52" s="6002"/>
      <c r="AP52" s="6003"/>
      <c r="AQ52" s="6003"/>
      <c r="AR52" s="6003"/>
      <c r="AS52" s="6003"/>
      <c r="AT52" s="6003"/>
      <c r="AU52" s="6003"/>
      <c r="AV52" s="6003"/>
      <c r="AW52" s="6003"/>
      <c r="AX52" s="6003"/>
      <c r="AY52" s="6003"/>
      <c r="AZ52" s="6003"/>
      <c r="BA52" s="6003"/>
      <c r="BB52" s="6003"/>
      <c r="BC52" s="6004"/>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69"/>
      <c r="D54" s="5970"/>
      <c r="E54" s="5970"/>
      <c r="F54" s="5970"/>
      <c r="G54" s="5970"/>
      <c r="H54" s="454" t="s">
        <v>1333</v>
      </c>
      <c r="I54" s="455" t="str">
        <f>IF(C54=0,"",VLOOKUP(C54,'Tablas Magia'!$D$6:$Z$680,3,FALSE))</f>
        <v/>
      </c>
      <c r="J54" s="5971" t="s">
        <v>6388</v>
      </c>
      <c r="K54" s="5971"/>
      <c r="L54" s="5971"/>
      <c r="M54" s="5972" t="str">
        <f>IF(C54=0,"",VLOOKUP(C54,'Tablas Magia'!$D$6:$Z$680,2,FALSE))</f>
        <v/>
      </c>
      <c r="N54" s="5972"/>
      <c r="O54" s="5972"/>
      <c r="P54" s="5972"/>
      <c r="Q54" s="5973"/>
      <c r="R54" s="450"/>
      <c r="S54" s="444"/>
      <c r="T54" s="444"/>
      <c r="U54" s="294"/>
      <c r="V54" s="5969"/>
      <c r="W54" s="5970"/>
      <c r="X54" s="5970"/>
      <c r="Y54" s="5970"/>
      <c r="Z54" s="5970"/>
      <c r="AA54" s="454" t="s">
        <v>1333</v>
      </c>
      <c r="AB54" s="455" t="str">
        <f>IF(V54=0,"",VLOOKUP(V54,'Tablas Magia'!$D$6:$Z$680,3,FALSE))</f>
        <v/>
      </c>
      <c r="AC54" s="5971" t="s">
        <v>6388</v>
      </c>
      <c r="AD54" s="5971"/>
      <c r="AE54" s="5971"/>
      <c r="AF54" s="5972" t="str">
        <f>IF(V54=0,"",VLOOKUP(V54,'Tablas Magia'!$D$6:$Z$680,2,FALSE))</f>
        <v/>
      </c>
      <c r="AG54" s="5972"/>
      <c r="AH54" s="5972"/>
      <c r="AI54" s="5972"/>
      <c r="AJ54" s="5973"/>
      <c r="AK54" s="450"/>
      <c r="AL54" s="444"/>
      <c r="AM54" s="444"/>
      <c r="AN54" s="294"/>
      <c r="AO54" s="5969"/>
      <c r="AP54" s="5970"/>
      <c r="AQ54" s="5970"/>
      <c r="AR54" s="5970"/>
      <c r="AS54" s="5970"/>
      <c r="AT54" s="454" t="s">
        <v>1333</v>
      </c>
      <c r="AU54" s="455" t="str">
        <f>IF(AO54=0,"",VLOOKUP(AO54,'Tablas Magia'!$D$6:$Z$680,3,FALSE))</f>
        <v/>
      </c>
      <c r="AV54" s="5971" t="s">
        <v>6388</v>
      </c>
      <c r="AW54" s="5971"/>
      <c r="AX54" s="5971"/>
      <c r="AY54" s="5972" t="str">
        <f>IF(AO54=0,"",VLOOKUP(AO54,'Tablas Magia'!$D$6:$Z$680,2,FALSE))</f>
        <v/>
      </c>
      <c r="AZ54" s="5972"/>
      <c r="BA54" s="5972"/>
      <c r="BB54" s="5972"/>
      <c r="BC54" s="5973"/>
      <c r="BD54" s="450"/>
      <c r="BE54" s="444"/>
    </row>
    <row r="55" spans="1:57" ht="12" customHeight="1" x14ac:dyDescent="0.2">
      <c r="A55" s="444"/>
      <c r="B55" s="294"/>
      <c r="C55" s="5989" t="s">
        <v>6389</v>
      </c>
      <c r="D55" s="5990"/>
      <c r="E55" s="456" t="s">
        <v>6390</v>
      </c>
      <c r="F55" s="456" t="s">
        <v>1517</v>
      </c>
      <c r="G55" s="456" t="s">
        <v>2914</v>
      </c>
      <c r="H55" s="457" t="s">
        <v>1845</v>
      </c>
      <c r="I55" s="5986" t="str">
        <f>IF(C54=0,"",VLOOKUP(C54,'Tablas Magia'!$D$6:$Z$680,5,FALSE))</f>
        <v/>
      </c>
      <c r="J55" s="5986"/>
      <c r="K55" s="5987" t="s">
        <v>6391</v>
      </c>
      <c r="L55" s="5987"/>
      <c r="M55" s="5986" t="str">
        <f>IF(C54=0,"",VLOOKUP(C54,'Tablas Magia'!$D$6:$Z$680,6,FALSE))</f>
        <v/>
      </c>
      <c r="N55" s="5986"/>
      <c r="O55" s="5988" t="s">
        <v>6392</v>
      </c>
      <c r="P55" s="5988"/>
      <c r="Q55" s="458" t="str">
        <f>IF(C54=0,"",VLOOKUP(C54,'Tablas Magia'!$D$6:$Z$680,4,FALSE))</f>
        <v/>
      </c>
      <c r="R55" s="450"/>
      <c r="S55" s="444"/>
      <c r="T55" s="444"/>
      <c r="U55" s="294"/>
      <c r="V55" s="5989" t="s">
        <v>6389</v>
      </c>
      <c r="W55" s="5990"/>
      <c r="X55" s="456" t="s">
        <v>6390</v>
      </c>
      <c r="Y55" s="456" t="s">
        <v>1517</v>
      </c>
      <c r="Z55" s="456" t="s">
        <v>2914</v>
      </c>
      <c r="AA55" s="457" t="s">
        <v>1845</v>
      </c>
      <c r="AB55" s="5986" t="str">
        <f>IF(V54=0,"",VLOOKUP(V54,'Tablas Magia'!$D$6:$Z$680,5,FALSE))</f>
        <v/>
      </c>
      <c r="AC55" s="5986"/>
      <c r="AD55" s="5987" t="s">
        <v>6391</v>
      </c>
      <c r="AE55" s="5987"/>
      <c r="AF55" s="5986" t="str">
        <f>IF(V54=0,"",VLOOKUP(V54,'Tablas Magia'!$D$6:$Z$680,6,FALSE))</f>
        <v/>
      </c>
      <c r="AG55" s="5986"/>
      <c r="AH55" s="5988" t="s">
        <v>6392</v>
      </c>
      <c r="AI55" s="5988"/>
      <c r="AJ55" s="458" t="str">
        <f>IF(V54=0,"",VLOOKUP(V54,'Tablas Magia'!$D$6:$Z$680,4,FALSE))</f>
        <v/>
      </c>
      <c r="AK55" s="450"/>
      <c r="AL55" s="444"/>
      <c r="AM55" s="444"/>
      <c r="AN55" s="294"/>
      <c r="AO55" s="5989" t="s">
        <v>6389</v>
      </c>
      <c r="AP55" s="5990"/>
      <c r="AQ55" s="456" t="s">
        <v>6390</v>
      </c>
      <c r="AR55" s="456" t="s">
        <v>1517</v>
      </c>
      <c r="AS55" s="456" t="s">
        <v>2914</v>
      </c>
      <c r="AT55" s="457" t="s">
        <v>1845</v>
      </c>
      <c r="AU55" s="5986" t="str">
        <f>IF(AO54=0,"",VLOOKUP(AO54,'Tablas Magia'!$D$6:$Z$680,5,FALSE))</f>
        <v/>
      </c>
      <c r="AV55" s="5986"/>
      <c r="AW55" s="5987" t="s">
        <v>6391</v>
      </c>
      <c r="AX55" s="5987"/>
      <c r="AY55" s="5986" t="str">
        <f>IF(AO54=0,"",VLOOKUP(AO54,'Tablas Magia'!$D$6:$Z$680,6,FALSE))</f>
        <v/>
      </c>
      <c r="AZ55" s="5986"/>
      <c r="BA55" s="5988" t="s">
        <v>6392</v>
      </c>
      <c r="BB55" s="5988"/>
      <c r="BC55" s="458" t="str">
        <f>IF(AO54=0,"",VLOOKUP(AO54,'Tablas Magia'!$D$6:$Z$680,4,FALSE))</f>
        <v/>
      </c>
      <c r="BD55" s="450"/>
      <c r="BE55" s="444"/>
    </row>
    <row r="56" spans="1:57" ht="12" customHeight="1" x14ac:dyDescent="0.2">
      <c r="A56" s="444"/>
      <c r="B56" s="294"/>
      <c r="C56" s="5981" t="s">
        <v>1373</v>
      </c>
      <c r="D56" s="5982"/>
      <c r="E56" s="459" t="str">
        <f>IF(C54=0,"",VLOOKUP(C54,'Tablas Magia'!$D$6:$Z$680,7,FALSE))</f>
        <v/>
      </c>
      <c r="F56" s="459" t="str">
        <f>IF(C54=0,"",VLOOKUP(C54,'Tablas Magia'!$D$6:$Z$680,11,FALSE))</f>
        <v/>
      </c>
      <c r="G56" s="460" t="str">
        <f>IF(C54=0,"",VLOOKUP(C54,'Tablas Magia'!$D$6:$Z$680,15,FALSE))</f>
        <v/>
      </c>
      <c r="H56" s="5983" t="str">
        <f>IF(C54=0,"",VLOOKUP(C54,'Tablas Magia'!$D$6:$Z$680,19,FALSE))</f>
        <v/>
      </c>
      <c r="I56" s="5984"/>
      <c r="J56" s="5984"/>
      <c r="K56" s="5984"/>
      <c r="L56" s="5984"/>
      <c r="M56" s="5984"/>
      <c r="N56" s="5984"/>
      <c r="O56" s="5984"/>
      <c r="P56" s="5984"/>
      <c r="Q56" s="5985"/>
      <c r="R56" s="450"/>
      <c r="S56" s="444"/>
      <c r="T56" s="444"/>
      <c r="U56" s="294"/>
      <c r="V56" s="5981" t="s">
        <v>1373</v>
      </c>
      <c r="W56" s="5982"/>
      <c r="X56" s="459" t="str">
        <f>IF(V54=0,"",VLOOKUP(V54,'Tablas Magia'!$D$6:$Z$680,7,FALSE))</f>
        <v/>
      </c>
      <c r="Y56" s="459" t="str">
        <f>IF(V54=0,"",VLOOKUP(V54,'Tablas Magia'!$D$6:$Z$680,11,FALSE))</f>
        <v/>
      </c>
      <c r="Z56" s="460" t="str">
        <f>IF(V54=0,"",VLOOKUP(V54,'Tablas Magia'!$D$6:$Z$680,15,FALSE))</f>
        <v/>
      </c>
      <c r="AA56" s="5983" t="str">
        <f>IF(V54=0,"",VLOOKUP(V54,'Tablas Magia'!$D$6:$Z$680,19,FALSE))</f>
        <v/>
      </c>
      <c r="AB56" s="5984"/>
      <c r="AC56" s="5984"/>
      <c r="AD56" s="5984"/>
      <c r="AE56" s="5984"/>
      <c r="AF56" s="5984"/>
      <c r="AG56" s="5984"/>
      <c r="AH56" s="5984"/>
      <c r="AI56" s="5984"/>
      <c r="AJ56" s="5985"/>
      <c r="AK56" s="450"/>
      <c r="AL56" s="444"/>
      <c r="AM56" s="444"/>
      <c r="AN56" s="294"/>
      <c r="AO56" s="5981" t="s">
        <v>1373</v>
      </c>
      <c r="AP56" s="5982"/>
      <c r="AQ56" s="459" t="str">
        <f>IF(AO54=0,"",VLOOKUP(AO54,'Tablas Magia'!$D$6:$Z$680,7,FALSE))</f>
        <v/>
      </c>
      <c r="AR56" s="459" t="str">
        <f>IF(AO54=0,"",VLOOKUP(AO54,'Tablas Magia'!$D$6:$Z$680,11,FALSE))</f>
        <v/>
      </c>
      <c r="AS56" s="460" t="str">
        <f>IF(AO54=0,"",VLOOKUP(AO54,'Tablas Magia'!$D$6:$Z$680,15,FALSE))</f>
        <v/>
      </c>
      <c r="AT56" s="5983" t="str">
        <f>IF(AO54=0,"",VLOOKUP(AO54,'Tablas Magia'!$D$6:$Z$680,19,FALSE))</f>
        <v/>
      </c>
      <c r="AU56" s="5984"/>
      <c r="AV56" s="5984"/>
      <c r="AW56" s="5984"/>
      <c r="AX56" s="5984"/>
      <c r="AY56" s="5984"/>
      <c r="AZ56" s="5984"/>
      <c r="BA56" s="5984"/>
      <c r="BB56" s="5984"/>
      <c r="BC56" s="5985"/>
      <c r="BD56" s="450"/>
      <c r="BE56" s="444"/>
    </row>
    <row r="57" spans="1:57" ht="12" customHeight="1" x14ac:dyDescent="0.2">
      <c r="A57" s="444"/>
      <c r="B57" s="294"/>
      <c r="C57" s="5976" t="s">
        <v>3285</v>
      </c>
      <c r="D57" s="5977"/>
      <c r="E57" s="461" t="str">
        <f>IF(C54=0,"",VLOOKUP(C54,'Tablas Magia'!$D$6:$Z$680,8,FALSE))</f>
        <v/>
      </c>
      <c r="F57" s="461" t="str">
        <f>IF(C54=0,"",VLOOKUP(C54,'Tablas Magia'!$D$6:$Z$680,12,FALSE))</f>
        <v/>
      </c>
      <c r="G57" s="462" t="str">
        <f>IF(C54=0,"",VLOOKUP(C54,'Tablas Magia'!$D$6:$Z$680,16,FALSE))</f>
        <v/>
      </c>
      <c r="H57" s="5978" t="str">
        <f>IF(C54=0,"",VLOOKUP(C54,'Tablas Magia'!$D$6:$Z$680,20,FALSE))</f>
        <v/>
      </c>
      <c r="I57" s="5979"/>
      <c r="J57" s="5979"/>
      <c r="K57" s="5979"/>
      <c r="L57" s="5979"/>
      <c r="M57" s="5979"/>
      <c r="N57" s="5979"/>
      <c r="O57" s="5979"/>
      <c r="P57" s="5979"/>
      <c r="Q57" s="5980"/>
      <c r="R57" s="450"/>
      <c r="S57" s="444"/>
      <c r="T57" s="444"/>
      <c r="U57" s="294"/>
      <c r="V57" s="5976" t="s">
        <v>3285</v>
      </c>
      <c r="W57" s="5977"/>
      <c r="X57" s="461" t="str">
        <f>IF(V54=0,"",VLOOKUP(V54,'Tablas Magia'!$D$6:$Z$680,8,FALSE))</f>
        <v/>
      </c>
      <c r="Y57" s="461" t="str">
        <f>IF(V54=0,"",VLOOKUP(V54,'Tablas Magia'!$D$6:$Z$680,12,FALSE))</f>
        <v/>
      </c>
      <c r="Z57" s="462" t="str">
        <f>IF(V54=0,"",VLOOKUP(V54,'Tablas Magia'!$D$6:$Z$680,16,FALSE))</f>
        <v/>
      </c>
      <c r="AA57" s="5978" t="str">
        <f>IF(V54=0,"",VLOOKUP(V54,'Tablas Magia'!$D$6:$Z$680,20,FALSE))</f>
        <v/>
      </c>
      <c r="AB57" s="5979"/>
      <c r="AC57" s="5979"/>
      <c r="AD57" s="5979"/>
      <c r="AE57" s="5979"/>
      <c r="AF57" s="5979"/>
      <c r="AG57" s="5979"/>
      <c r="AH57" s="5979"/>
      <c r="AI57" s="5979"/>
      <c r="AJ57" s="5980"/>
      <c r="AK57" s="450"/>
      <c r="AL57" s="444"/>
      <c r="AM57" s="444"/>
      <c r="AN57" s="294"/>
      <c r="AO57" s="5976" t="s">
        <v>3285</v>
      </c>
      <c r="AP57" s="5977"/>
      <c r="AQ57" s="461" t="str">
        <f>IF(AO54=0,"",VLOOKUP(AO54,'Tablas Magia'!$D$6:$Z$680,8,FALSE))</f>
        <v/>
      </c>
      <c r="AR57" s="461" t="str">
        <f>IF(AO54=0,"",VLOOKUP(AO54,'Tablas Magia'!$D$6:$Z$680,12,FALSE))</f>
        <v/>
      </c>
      <c r="AS57" s="462" t="str">
        <f>IF(AO54=0,"",VLOOKUP(AO54,'Tablas Magia'!$D$6:$Z$680,16,FALSE))</f>
        <v/>
      </c>
      <c r="AT57" s="5978" t="str">
        <f>IF(AO54=0,"",VLOOKUP(AO54,'Tablas Magia'!$D$6:$Z$680,20,FALSE))</f>
        <v/>
      </c>
      <c r="AU57" s="5979"/>
      <c r="AV57" s="5979"/>
      <c r="AW57" s="5979"/>
      <c r="AX57" s="5979"/>
      <c r="AY57" s="5979"/>
      <c r="AZ57" s="5979"/>
      <c r="BA57" s="5979"/>
      <c r="BB57" s="5979"/>
      <c r="BC57" s="5980"/>
      <c r="BD57" s="450"/>
      <c r="BE57" s="444"/>
    </row>
    <row r="58" spans="1:57" ht="12" customHeight="1" x14ac:dyDescent="0.2">
      <c r="A58" s="444"/>
      <c r="B58" s="294"/>
      <c r="C58" s="5981" t="s">
        <v>3286</v>
      </c>
      <c r="D58" s="5982"/>
      <c r="E58" s="459" t="str">
        <f>IF(C54=0,"",VLOOKUP(C54,'Tablas Magia'!$D$6:$Z$680,9,FALSE))</f>
        <v/>
      </c>
      <c r="F58" s="459" t="str">
        <f>IF(C54=0,"",VLOOKUP(C54,'Tablas Magia'!$D$6:$Z$680,13,FALSE))</f>
        <v/>
      </c>
      <c r="G58" s="460" t="str">
        <f>IF(C54=0,"",VLOOKUP(C54,'Tablas Magia'!$D$6:$Z$680,17,FALSE))</f>
        <v/>
      </c>
      <c r="H58" s="5983" t="str">
        <f>IF(C54=0,"",VLOOKUP(C54,'Tablas Magia'!$D$6:$Z$680,21,FALSE))</f>
        <v/>
      </c>
      <c r="I58" s="5984"/>
      <c r="J58" s="5984"/>
      <c r="K58" s="5984"/>
      <c r="L58" s="5984"/>
      <c r="M58" s="5984"/>
      <c r="N58" s="5984"/>
      <c r="O58" s="5984"/>
      <c r="P58" s="5984"/>
      <c r="Q58" s="5985"/>
      <c r="R58" s="450"/>
      <c r="S58" s="444"/>
      <c r="T58" s="444"/>
      <c r="U58" s="294"/>
      <c r="V58" s="5981" t="s">
        <v>3286</v>
      </c>
      <c r="W58" s="5982"/>
      <c r="X58" s="459" t="str">
        <f>IF(V54=0,"",VLOOKUP(V54,'Tablas Magia'!$D$6:$Z$680,9,FALSE))</f>
        <v/>
      </c>
      <c r="Y58" s="459" t="str">
        <f>IF(V54=0,"",VLOOKUP(V54,'Tablas Magia'!$D$6:$Z$680,13,FALSE))</f>
        <v/>
      </c>
      <c r="Z58" s="460" t="str">
        <f>IF(V54=0,"",VLOOKUP(V54,'Tablas Magia'!$D$6:$Z$680,17,FALSE))</f>
        <v/>
      </c>
      <c r="AA58" s="5983" t="str">
        <f>IF(V54=0,"",VLOOKUP(V54,'Tablas Magia'!$D$6:$Z$680,21,FALSE))</f>
        <v/>
      </c>
      <c r="AB58" s="5984"/>
      <c r="AC58" s="5984"/>
      <c r="AD58" s="5984"/>
      <c r="AE58" s="5984"/>
      <c r="AF58" s="5984"/>
      <c r="AG58" s="5984"/>
      <c r="AH58" s="5984"/>
      <c r="AI58" s="5984"/>
      <c r="AJ58" s="5985"/>
      <c r="AK58" s="450"/>
      <c r="AL58" s="444"/>
      <c r="AM58" s="444"/>
      <c r="AN58" s="294"/>
      <c r="AO58" s="5981" t="s">
        <v>3286</v>
      </c>
      <c r="AP58" s="5982"/>
      <c r="AQ58" s="459" t="str">
        <f>IF(AO54=0,"",VLOOKUP(AO54,'Tablas Magia'!$D$6:$Z$680,9,FALSE))</f>
        <v/>
      </c>
      <c r="AR58" s="459" t="str">
        <f>IF(AO54=0,"",VLOOKUP(AO54,'Tablas Magia'!$D$6:$Z$680,13,FALSE))</f>
        <v/>
      </c>
      <c r="AS58" s="460" t="str">
        <f>IF(AO54=0,"",VLOOKUP(AO54,'Tablas Magia'!$D$6:$Z$680,17,FALSE))</f>
        <v/>
      </c>
      <c r="AT58" s="5983" t="str">
        <f>IF(AO54=0,"",VLOOKUP(AO54,'Tablas Magia'!$D$6:$Z$680,21,FALSE))</f>
        <v/>
      </c>
      <c r="AU58" s="5984"/>
      <c r="AV58" s="5984"/>
      <c r="AW58" s="5984"/>
      <c r="AX58" s="5984"/>
      <c r="AY58" s="5984"/>
      <c r="AZ58" s="5984"/>
      <c r="BA58" s="5984"/>
      <c r="BB58" s="5984"/>
      <c r="BC58" s="5985"/>
      <c r="BD58" s="450"/>
      <c r="BE58" s="444"/>
    </row>
    <row r="59" spans="1:57" ht="12" customHeight="1" thickBot="1" x14ac:dyDescent="0.25">
      <c r="A59" s="444"/>
      <c r="B59" s="294"/>
      <c r="C59" s="5991" t="s">
        <v>3287</v>
      </c>
      <c r="D59" s="5992"/>
      <c r="E59" s="463" t="str">
        <f>IF(C54=0,"",VLOOKUP(C54,'Tablas Magia'!$D$6:$Z$680,10,FALSE))</f>
        <v/>
      </c>
      <c r="F59" s="463" t="str">
        <f>IF(C54=0,"",VLOOKUP(C54,'Tablas Magia'!$D$6:$Z$680,14,FALSE))</f>
        <v/>
      </c>
      <c r="G59" s="464" t="str">
        <f>IF(C54=0,"",VLOOKUP(C54,'Tablas Magia'!$D$6:$Z$680,18,FALSE))</f>
        <v/>
      </c>
      <c r="H59" s="5993" t="str">
        <f>IF(C54=0,"",VLOOKUP(C54,'Tablas Magia'!$D$6:$Z$680,22,FALSE))</f>
        <v/>
      </c>
      <c r="I59" s="5994"/>
      <c r="J59" s="5994"/>
      <c r="K59" s="5994"/>
      <c r="L59" s="5994"/>
      <c r="M59" s="5994"/>
      <c r="N59" s="5994"/>
      <c r="O59" s="5994"/>
      <c r="P59" s="5994"/>
      <c r="Q59" s="5995"/>
      <c r="R59" s="450"/>
      <c r="S59" s="444"/>
      <c r="T59" s="444"/>
      <c r="U59" s="294"/>
      <c r="V59" s="5991" t="s">
        <v>3287</v>
      </c>
      <c r="W59" s="5992"/>
      <c r="X59" s="463" t="str">
        <f>IF(V54=0,"",VLOOKUP(V54,'Tablas Magia'!$D$6:$Z$680,10,FALSE))</f>
        <v/>
      </c>
      <c r="Y59" s="463" t="str">
        <f>IF(V54=0,"",VLOOKUP(V54,'Tablas Magia'!$D$6:$Z$680,14,FALSE))</f>
        <v/>
      </c>
      <c r="Z59" s="464" t="str">
        <f>IF(V54=0,"",VLOOKUP(V54,'Tablas Magia'!$D$6:$Z$680,18,FALSE))</f>
        <v/>
      </c>
      <c r="AA59" s="5993" t="str">
        <f>IF(V54=0,"",VLOOKUP(V54,'Tablas Magia'!$D$6:$Z$680,22,FALSE))</f>
        <v/>
      </c>
      <c r="AB59" s="5994"/>
      <c r="AC59" s="5994"/>
      <c r="AD59" s="5994"/>
      <c r="AE59" s="5994"/>
      <c r="AF59" s="5994"/>
      <c r="AG59" s="5994"/>
      <c r="AH59" s="5994"/>
      <c r="AI59" s="5994"/>
      <c r="AJ59" s="5995"/>
      <c r="AK59" s="450"/>
      <c r="AL59" s="444"/>
      <c r="AM59" s="444"/>
      <c r="AN59" s="294"/>
      <c r="AO59" s="5991" t="s">
        <v>3287</v>
      </c>
      <c r="AP59" s="5992"/>
      <c r="AQ59" s="463" t="str">
        <f>IF(AO54=0,"",VLOOKUP(AO54,'Tablas Magia'!$D$6:$Z$680,10,FALSE))</f>
        <v/>
      </c>
      <c r="AR59" s="463" t="str">
        <f>IF(AO54=0,"",VLOOKUP(AO54,'Tablas Magia'!$D$6:$Z$680,14,FALSE))</f>
        <v/>
      </c>
      <c r="AS59" s="464" t="str">
        <f>IF(AO54=0,"",VLOOKUP(AO54,'Tablas Magia'!$D$6:$Z$680,18,FALSE))</f>
        <v/>
      </c>
      <c r="AT59" s="5993" t="str">
        <f>IF(AO54=0,"",VLOOKUP(AO54,'Tablas Magia'!$D$6:$Z$680,22,FALSE))</f>
        <v/>
      </c>
      <c r="AU59" s="5994"/>
      <c r="AV59" s="5994"/>
      <c r="AW59" s="5994"/>
      <c r="AX59" s="5994"/>
      <c r="AY59" s="5994"/>
      <c r="AZ59" s="5994"/>
      <c r="BA59" s="5994"/>
      <c r="BB59" s="5994"/>
      <c r="BC59" s="5995"/>
      <c r="BD59" s="450"/>
      <c r="BE59" s="444"/>
    </row>
    <row r="60" spans="1:57" ht="12" customHeight="1" x14ac:dyDescent="0.2">
      <c r="A60" s="444"/>
      <c r="B60" s="294"/>
      <c r="C60" s="5996" t="str">
        <f>IF(C54=0,"",VLOOKUP(C54,'Tablas Magia'!$D$6:$Z$680,23,FALSE))</f>
        <v/>
      </c>
      <c r="D60" s="5997"/>
      <c r="E60" s="5997"/>
      <c r="F60" s="5997"/>
      <c r="G60" s="5997"/>
      <c r="H60" s="5997"/>
      <c r="I60" s="5997"/>
      <c r="J60" s="5997"/>
      <c r="K60" s="5997"/>
      <c r="L60" s="5997"/>
      <c r="M60" s="5997"/>
      <c r="N60" s="5997"/>
      <c r="O60" s="5997"/>
      <c r="P60" s="5997"/>
      <c r="Q60" s="5998"/>
      <c r="R60" s="450"/>
      <c r="S60" s="444"/>
      <c r="T60" s="444"/>
      <c r="U60" s="294"/>
      <c r="V60" s="5996" t="str">
        <f>IF(V54=0,"",VLOOKUP(V54,'Tablas Magia'!$D$6:$Z$680,23,FALSE))</f>
        <v/>
      </c>
      <c r="W60" s="5997"/>
      <c r="X60" s="5997"/>
      <c r="Y60" s="5997"/>
      <c r="Z60" s="5997"/>
      <c r="AA60" s="5997"/>
      <c r="AB60" s="5997"/>
      <c r="AC60" s="5997"/>
      <c r="AD60" s="5997"/>
      <c r="AE60" s="5997"/>
      <c r="AF60" s="5997"/>
      <c r="AG60" s="5997"/>
      <c r="AH60" s="5997"/>
      <c r="AI60" s="5997"/>
      <c r="AJ60" s="5998"/>
      <c r="AK60" s="450"/>
      <c r="AL60" s="444"/>
      <c r="AM60" s="444"/>
      <c r="AN60" s="294"/>
      <c r="AO60" s="5996" t="str">
        <f>IF(AO54=0,"",VLOOKUP(AO54,'Tablas Magia'!$D$6:$Z$680,23,FALSE))</f>
        <v/>
      </c>
      <c r="AP60" s="5997"/>
      <c r="AQ60" s="5997"/>
      <c r="AR60" s="5997"/>
      <c r="AS60" s="5997"/>
      <c r="AT60" s="5997"/>
      <c r="AU60" s="5997"/>
      <c r="AV60" s="5997"/>
      <c r="AW60" s="5997"/>
      <c r="AX60" s="5997"/>
      <c r="AY60" s="5997"/>
      <c r="AZ60" s="5997"/>
      <c r="BA60" s="5997"/>
      <c r="BB60" s="5997"/>
      <c r="BC60" s="5998"/>
      <c r="BD60" s="450"/>
      <c r="BE60" s="444"/>
    </row>
    <row r="61" spans="1:57" ht="12" customHeight="1" x14ac:dyDescent="0.2">
      <c r="A61" s="444"/>
      <c r="B61" s="294"/>
      <c r="C61" s="5999"/>
      <c r="D61" s="6000"/>
      <c r="E61" s="6000"/>
      <c r="F61" s="6000"/>
      <c r="G61" s="6000"/>
      <c r="H61" s="6000"/>
      <c r="I61" s="6000"/>
      <c r="J61" s="6000"/>
      <c r="K61" s="6000"/>
      <c r="L61" s="6000"/>
      <c r="M61" s="6000"/>
      <c r="N61" s="6000"/>
      <c r="O61" s="6000"/>
      <c r="P61" s="6000"/>
      <c r="Q61" s="6001"/>
      <c r="R61" s="450"/>
      <c r="S61" s="444"/>
      <c r="T61" s="444"/>
      <c r="U61" s="294"/>
      <c r="V61" s="5999"/>
      <c r="W61" s="6000"/>
      <c r="X61" s="6000"/>
      <c r="Y61" s="6000"/>
      <c r="Z61" s="6000"/>
      <c r="AA61" s="6000"/>
      <c r="AB61" s="6000"/>
      <c r="AC61" s="6000"/>
      <c r="AD61" s="6000"/>
      <c r="AE61" s="6000"/>
      <c r="AF61" s="6000"/>
      <c r="AG61" s="6000"/>
      <c r="AH61" s="6000"/>
      <c r="AI61" s="6000"/>
      <c r="AJ61" s="6001"/>
      <c r="AK61" s="450"/>
      <c r="AL61" s="444"/>
      <c r="AM61" s="444"/>
      <c r="AN61" s="294"/>
      <c r="AO61" s="5999"/>
      <c r="AP61" s="6000"/>
      <c r="AQ61" s="6000"/>
      <c r="AR61" s="6000"/>
      <c r="AS61" s="6000"/>
      <c r="AT61" s="6000"/>
      <c r="AU61" s="6000"/>
      <c r="AV61" s="6000"/>
      <c r="AW61" s="6000"/>
      <c r="AX61" s="6000"/>
      <c r="AY61" s="6000"/>
      <c r="AZ61" s="6000"/>
      <c r="BA61" s="6000"/>
      <c r="BB61" s="6000"/>
      <c r="BC61" s="6001"/>
      <c r="BD61" s="450"/>
      <c r="BE61" s="444"/>
    </row>
    <row r="62" spans="1:57" ht="12" customHeight="1" x14ac:dyDescent="0.2">
      <c r="A62" s="444"/>
      <c r="B62" s="294"/>
      <c r="C62" s="5999"/>
      <c r="D62" s="6000"/>
      <c r="E62" s="6000"/>
      <c r="F62" s="6000"/>
      <c r="G62" s="6000"/>
      <c r="H62" s="6000"/>
      <c r="I62" s="6000"/>
      <c r="J62" s="6000"/>
      <c r="K62" s="6000"/>
      <c r="L62" s="6000"/>
      <c r="M62" s="6000"/>
      <c r="N62" s="6000"/>
      <c r="O62" s="6000"/>
      <c r="P62" s="6000"/>
      <c r="Q62" s="6001"/>
      <c r="R62" s="450"/>
      <c r="S62" s="444"/>
      <c r="T62" s="444"/>
      <c r="U62" s="294"/>
      <c r="V62" s="5999"/>
      <c r="W62" s="6000"/>
      <c r="X62" s="6000"/>
      <c r="Y62" s="6000"/>
      <c r="Z62" s="6000"/>
      <c r="AA62" s="6000"/>
      <c r="AB62" s="6000"/>
      <c r="AC62" s="6000"/>
      <c r="AD62" s="6000"/>
      <c r="AE62" s="6000"/>
      <c r="AF62" s="6000"/>
      <c r="AG62" s="6000"/>
      <c r="AH62" s="6000"/>
      <c r="AI62" s="6000"/>
      <c r="AJ62" s="6001"/>
      <c r="AK62" s="450"/>
      <c r="AL62" s="444"/>
      <c r="AM62" s="444"/>
      <c r="AN62" s="294"/>
      <c r="AO62" s="5999"/>
      <c r="AP62" s="6000"/>
      <c r="AQ62" s="6000"/>
      <c r="AR62" s="6000"/>
      <c r="AS62" s="6000"/>
      <c r="AT62" s="6000"/>
      <c r="AU62" s="6000"/>
      <c r="AV62" s="6000"/>
      <c r="AW62" s="6000"/>
      <c r="AX62" s="6000"/>
      <c r="AY62" s="6000"/>
      <c r="AZ62" s="6000"/>
      <c r="BA62" s="6000"/>
      <c r="BB62" s="6000"/>
      <c r="BC62" s="6001"/>
      <c r="BD62" s="450"/>
      <c r="BE62" s="444"/>
    </row>
    <row r="63" spans="1:57" ht="12" customHeight="1" thickBot="1" x14ac:dyDescent="0.25">
      <c r="A63" s="444"/>
      <c r="B63" s="294"/>
      <c r="C63" s="6002"/>
      <c r="D63" s="6003"/>
      <c r="E63" s="6003"/>
      <c r="F63" s="6003"/>
      <c r="G63" s="6003"/>
      <c r="H63" s="6003"/>
      <c r="I63" s="6003"/>
      <c r="J63" s="6003"/>
      <c r="K63" s="6003"/>
      <c r="L63" s="6003"/>
      <c r="M63" s="6003"/>
      <c r="N63" s="6003"/>
      <c r="O63" s="6003"/>
      <c r="P63" s="6003"/>
      <c r="Q63" s="6004"/>
      <c r="R63" s="450"/>
      <c r="S63" s="444"/>
      <c r="T63" s="444"/>
      <c r="U63" s="294"/>
      <c r="V63" s="6002"/>
      <c r="W63" s="6003"/>
      <c r="X63" s="6003"/>
      <c r="Y63" s="6003"/>
      <c r="Z63" s="6003"/>
      <c r="AA63" s="6003"/>
      <c r="AB63" s="6003"/>
      <c r="AC63" s="6003"/>
      <c r="AD63" s="6003"/>
      <c r="AE63" s="6003"/>
      <c r="AF63" s="6003"/>
      <c r="AG63" s="6003"/>
      <c r="AH63" s="6003"/>
      <c r="AI63" s="6003"/>
      <c r="AJ63" s="6004"/>
      <c r="AK63" s="450"/>
      <c r="AL63" s="444"/>
      <c r="AM63" s="444"/>
      <c r="AN63" s="294"/>
      <c r="AO63" s="6002"/>
      <c r="AP63" s="6003"/>
      <c r="AQ63" s="6003"/>
      <c r="AR63" s="6003"/>
      <c r="AS63" s="6003"/>
      <c r="AT63" s="6003"/>
      <c r="AU63" s="6003"/>
      <c r="AV63" s="6003"/>
      <c r="AW63" s="6003"/>
      <c r="AX63" s="6003"/>
      <c r="AY63" s="6003"/>
      <c r="AZ63" s="6003"/>
      <c r="BA63" s="6003"/>
      <c r="BB63" s="6003"/>
      <c r="BC63" s="6004"/>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6"/>
      <c r="B66" s="1956"/>
      <c r="C66" s="1956"/>
      <c r="D66" s="1956"/>
      <c r="E66" s="1956"/>
      <c r="F66" s="1956"/>
      <c r="G66" s="1956"/>
      <c r="H66" s="1956"/>
      <c r="I66" s="1956"/>
      <c r="J66" s="1956"/>
      <c r="K66" s="1956"/>
      <c r="L66" s="1956"/>
      <c r="M66" s="1956"/>
      <c r="N66" s="1956"/>
      <c r="O66" s="1956"/>
      <c r="P66" s="1956"/>
      <c r="Q66" s="1956"/>
      <c r="R66" s="1956"/>
      <c r="S66" s="1956"/>
      <c r="T66" s="1956"/>
      <c r="U66" s="1956"/>
      <c r="V66" s="1956"/>
      <c r="W66" s="1611"/>
      <c r="X66" s="1611"/>
      <c r="Y66" s="1611"/>
      <c r="Z66" s="1611"/>
      <c r="AA66" s="1611"/>
      <c r="AB66" s="1611"/>
      <c r="AC66" s="1611"/>
      <c r="AD66" s="1957"/>
      <c r="AE66" s="1957"/>
      <c r="AF66" s="1611"/>
      <c r="AG66" s="1611"/>
      <c r="AH66" s="1611"/>
      <c r="AI66" s="1957"/>
      <c r="AJ66" s="1957"/>
      <c r="AK66" s="1958"/>
      <c r="AL66" s="1958"/>
      <c r="AM66" s="1956"/>
      <c r="AN66" s="1956"/>
      <c r="AO66" s="1956"/>
      <c r="AP66" s="1611"/>
      <c r="AQ66" s="1611"/>
      <c r="AR66" s="1611"/>
      <c r="AS66" s="1611"/>
      <c r="AT66" s="1611"/>
      <c r="AU66" s="1611"/>
      <c r="AV66" s="1611"/>
      <c r="AW66" s="1957"/>
      <c r="AX66" s="1957"/>
      <c r="AY66" s="1611"/>
      <c r="AZ66" s="1611"/>
      <c r="BA66" s="1611"/>
      <c r="BB66" s="1957"/>
      <c r="BC66" s="1957"/>
      <c r="BD66" s="1958"/>
      <c r="BE66" s="195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7"/>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8"/>
      <c r="D3" s="448"/>
      <c r="E3" s="448"/>
      <c r="F3" s="448"/>
      <c r="G3" s="448"/>
      <c r="H3" s="448"/>
      <c r="I3" s="448"/>
      <c r="J3" s="448"/>
      <c r="K3" s="448"/>
      <c r="L3" s="448"/>
      <c r="M3" s="448"/>
      <c r="N3" s="448"/>
      <c r="O3" s="448"/>
      <c r="P3" s="448"/>
      <c r="Q3" s="449"/>
      <c r="R3" s="450"/>
      <c r="S3" s="1611"/>
      <c r="T3" s="1611"/>
      <c r="U3" s="1223"/>
      <c r="V3" s="1968"/>
      <c r="W3" s="448"/>
      <c r="X3" s="448"/>
      <c r="Y3" s="448"/>
      <c r="Z3" s="448"/>
      <c r="AA3" s="448"/>
      <c r="AB3" s="448"/>
      <c r="AC3" s="448"/>
      <c r="AD3" s="448"/>
      <c r="AE3" s="448"/>
      <c r="AF3" s="448"/>
      <c r="AG3" s="448"/>
      <c r="AH3" s="448"/>
      <c r="AI3" s="448"/>
      <c r="AJ3" s="449"/>
      <c r="AK3" s="450"/>
      <c r="AL3" s="1611"/>
      <c r="AM3" s="1978"/>
      <c r="AN3" s="1223"/>
      <c r="AO3" s="1968"/>
      <c r="AP3" s="448"/>
      <c r="AQ3" s="448"/>
      <c r="AR3" s="448"/>
      <c r="AS3" s="448"/>
      <c r="AT3" s="448"/>
      <c r="AU3" s="448"/>
      <c r="AV3" s="448"/>
      <c r="AW3" s="448"/>
      <c r="AX3" s="448"/>
      <c r="AY3" s="448"/>
      <c r="AZ3" s="448"/>
      <c r="BA3" s="448"/>
      <c r="BB3" s="448"/>
      <c r="BC3" s="449"/>
      <c r="BD3" s="450"/>
      <c r="BE3" s="1611"/>
      <c r="BF3" s="1611"/>
      <c r="BG3" s="1223"/>
      <c r="BH3" s="1968"/>
      <c r="BI3" s="448"/>
      <c r="BJ3" s="448"/>
      <c r="BK3" s="448"/>
      <c r="BL3" s="448"/>
      <c r="BM3" s="448"/>
      <c r="BN3" s="448"/>
      <c r="BO3" s="448"/>
      <c r="BP3" s="448"/>
      <c r="BQ3" s="448"/>
      <c r="BR3" s="448"/>
      <c r="BS3" s="448"/>
      <c r="BT3" s="448"/>
      <c r="BU3" s="448"/>
      <c r="BV3" s="449"/>
      <c r="BW3" s="450"/>
      <c r="BX3" s="1611"/>
      <c r="BY3" s="1611"/>
      <c r="BZ3" s="1223"/>
      <c r="CA3" s="1968"/>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5"/>
      <c r="C4" s="1969"/>
      <c r="D4" s="356"/>
      <c r="E4" s="356"/>
      <c r="F4" s="356"/>
      <c r="G4" s="356"/>
      <c r="H4" s="356"/>
      <c r="I4" s="356"/>
      <c r="J4" s="6023" t="s">
        <v>6387</v>
      </c>
      <c r="K4" s="6023"/>
      <c r="L4" s="6023"/>
      <c r="M4" s="6023"/>
      <c r="N4" s="356"/>
      <c r="O4" s="356"/>
      <c r="P4" s="356"/>
      <c r="Q4" s="399"/>
      <c r="R4" s="910"/>
      <c r="S4" s="1976"/>
      <c r="T4" s="1976"/>
      <c r="U4" s="1975"/>
      <c r="V4" s="1969"/>
      <c r="W4" s="356"/>
      <c r="X4" s="356"/>
      <c r="Y4" s="356"/>
      <c r="Z4" s="356"/>
      <c r="AA4" s="356"/>
      <c r="AB4" s="356"/>
      <c r="AC4" s="6023" t="s">
        <v>6387</v>
      </c>
      <c r="AD4" s="6024"/>
      <c r="AE4" s="6024"/>
      <c r="AF4" s="6024"/>
      <c r="AG4" s="6024"/>
      <c r="AH4" s="6024"/>
      <c r="AI4" s="6024"/>
      <c r="AJ4" s="399"/>
      <c r="AK4" s="910"/>
      <c r="AL4" s="1976"/>
      <c r="AM4" s="1979"/>
      <c r="AN4" s="1975"/>
      <c r="AO4" s="1969"/>
      <c r="AP4" s="356"/>
      <c r="AQ4" s="356"/>
      <c r="AR4" s="356"/>
      <c r="AS4" s="356"/>
      <c r="AT4" s="356"/>
      <c r="AU4" s="356"/>
      <c r="AV4" s="6023" t="s">
        <v>6387</v>
      </c>
      <c r="AW4" s="6024"/>
      <c r="AX4" s="6024"/>
      <c r="AY4" s="6024"/>
      <c r="AZ4" s="6024"/>
      <c r="BA4" s="6024"/>
      <c r="BB4" s="6024"/>
      <c r="BC4" s="399"/>
      <c r="BD4" s="910"/>
      <c r="BE4" s="1976"/>
      <c r="BF4" s="1976"/>
      <c r="BG4" s="1975"/>
      <c r="BH4" s="1969"/>
      <c r="BI4" s="356"/>
      <c r="BJ4" s="356"/>
      <c r="BK4" s="356"/>
      <c r="BL4" s="356"/>
      <c r="BM4" s="356"/>
      <c r="BN4" s="356"/>
      <c r="BO4" s="6023" t="s">
        <v>6387</v>
      </c>
      <c r="BP4" s="6024"/>
      <c r="BQ4" s="6024"/>
      <c r="BR4" s="6024"/>
      <c r="BS4" s="6024"/>
      <c r="BT4" s="6024"/>
      <c r="BU4" s="6024"/>
      <c r="BV4" s="399"/>
      <c r="BW4" s="910"/>
      <c r="BX4" s="1976"/>
      <c r="BY4" s="1976"/>
      <c r="BZ4" s="1975"/>
      <c r="CA4" s="1969"/>
      <c r="CB4" s="356"/>
      <c r="CC4" s="356"/>
      <c r="CD4" s="356"/>
      <c r="CE4" s="356"/>
      <c r="CF4" s="356"/>
      <c r="CG4" s="356"/>
      <c r="CH4" s="6023" t="s">
        <v>6387</v>
      </c>
      <c r="CI4" s="6024"/>
      <c r="CJ4" s="6024"/>
      <c r="CK4" s="6024"/>
      <c r="CL4" s="6024"/>
      <c r="CM4" s="6024"/>
      <c r="CN4" s="6024"/>
      <c r="CO4" s="399"/>
      <c r="CP4" s="910"/>
      <c r="CQ4" s="909"/>
    </row>
    <row r="5" spans="1:95" ht="12" customHeight="1" x14ac:dyDescent="0.2">
      <c r="A5" s="444"/>
      <c r="B5" s="906"/>
      <c r="C5" s="1969"/>
      <c r="D5" s="356"/>
      <c r="E5" s="356"/>
      <c r="F5" s="356"/>
      <c r="G5" s="356"/>
      <c r="H5" s="356"/>
      <c r="I5" s="356"/>
      <c r="J5" s="6023"/>
      <c r="K5" s="6023"/>
      <c r="L5" s="6023"/>
      <c r="M5" s="6023"/>
      <c r="N5" s="356"/>
      <c r="O5" s="1971"/>
      <c r="P5" s="356"/>
      <c r="Q5" s="451"/>
      <c r="R5" s="450"/>
      <c r="S5" s="1611"/>
      <c r="T5" s="1611"/>
      <c r="U5" s="1223"/>
      <c r="V5" s="1969"/>
      <c r="W5" s="356"/>
      <c r="X5" s="356"/>
      <c r="Y5" s="356"/>
      <c r="Z5" s="356"/>
      <c r="AA5" s="356"/>
      <c r="AB5" s="356"/>
      <c r="AC5" s="6024"/>
      <c r="AD5" s="6024"/>
      <c r="AE5" s="6024"/>
      <c r="AF5" s="6024"/>
      <c r="AG5" s="6024"/>
      <c r="AH5" s="6024"/>
      <c r="AI5" s="6024"/>
      <c r="AJ5" s="451"/>
      <c r="AK5" s="450"/>
      <c r="AL5" s="1611"/>
      <c r="AM5" s="1978"/>
      <c r="AN5" s="1223"/>
      <c r="AO5" s="1969"/>
      <c r="AP5" s="356"/>
      <c r="AQ5" s="356"/>
      <c r="AR5" s="356"/>
      <c r="AS5" s="356"/>
      <c r="AT5" s="356"/>
      <c r="AU5" s="356"/>
      <c r="AV5" s="6024"/>
      <c r="AW5" s="6024"/>
      <c r="AX5" s="6024"/>
      <c r="AY5" s="6024"/>
      <c r="AZ5" s="6024"/>
      <c r="BA5" s="6024"/>
      <c r="BB5" s="6024"/>
      <c r="BC5" s="451"/>
      <c r="BD5" s="450"/>
      <c r="BE5" s="1611"/>
      <c r="BF5" s="1611"/>
      <c r="BG5" s="1223"/>
      <c r="BH5" s="1969"/>
      <c r="BI5" s="356"/>
      <c r="BJ5" s="356"/>
      <c r="BK5" s="356"/>
      <c r="BL5" s="356"/>
      <c r="BM5" s="356"/>
      <c r="BN5" s="356"/>
      <c r="BO5" s="6024"/>
      <c r="BP5" s="6024"/>
      <c r="BQ5" s="6024"/>
      <c r="BR5" s="6024"/>
      <c r="BS5" s="6024"/>
      <c r="BT5" s="6024"/>
      <c r="BU5" s="6024"/>
      <c r="BV5" s="451"/>
      <c r="BW5" s="450"/>
      <c r="BX5" s="1611"/>
      <c r="BY5" s="1611"/>
      <c r="BZ5" s="1223"/>
      <c r="CA5" s="1969"/>
      <c r="CB5" s="356"/>
      <c r="CC5" s="356"/>
      <c r="CD5" s="356"/>
      <c r="CE5" s="356"/>
      <c r="CF5" s="356"/>
      <c r="CG5" s="356"/>
      <c r="CH5" s="6024"/>
      <c r="CI5" s="6024"/>
      <c r="CJ5" s="6024"/>
      <c r="CK5" s="6024"/>
      <c r="CL5" s="6024"/>
      <c r="CM5" s="6024"/>
      <c r="CN5" s="6024"/>
      <c r="CO5" s="451"/>
      <c r="CP5" s="450"/>
      <c r="CQ5" s="444"/>
    </row>
    <row r="6" spans="1:95" ht="12" customHeight="1" x14ac:dyDescent="0.2">
      <c r="A6" s="444"/>
      <c r="B6" s="906"/>
      <c r="C6" s="1969"/>
      <c r="D6" s="356"/>
      <c r="E6" s="356"/>
      <c r="F6" s="356"/>
      <c r="G6" s="356"/>
      <c r="H6" s="356"/>
      <c r="I6" s="2620" t="s">
        <v>7293</v>
      </c>
      <c r="J6" s="6021"/>
      <c r="K6" s="6021"/>
      <c r="L6" s="6021"/>
      <c r="M6" s="356"/>
      <c r="N6" s="2616"/>
      <c r="O6" s="2617" t="s">
        <v>9019</v>
      </c>
      <c r="P6" s="2618">
        <f>IFERROR(VLOOKUP($J$6,Místicos!$C$15:$H$25,6,FALSE),0)</f>
        <v>0</v>
      </c>
      <c r="Q6" s="451"/>
      <c r="R6" s="450"/>
      <c r="S6" s="1611"/>
      <c r="T6" s="1611"/>
      <c r="U6" s="1223"/>
      <c r="V6" s="1969"/>
      <c r="W6" s="356"/>
      <c r="X6" s="356"/>
      <c r="Y6" s="356"/>
      <c r="Z6" s="356"/>
      <c r="AA6" s="356"/>
      <c r="AB6" s="2620" t="s">
        <v>7293</v>
      </c>
      <c r="AC6" s="6025" t="str">
        <f>IF(J6="","",J6)</f>
        <v/>
      </c>
      <c r="AD6" s="6025"/>
      <c r="AE6" s="6025"/>
      <c r="AF6" s="2616"/>
      <c r="AG6" s="2616"/>
      <c r="AH6" s="2617" t="str">
        <f>O6</f>
        <v>Nivel de vía aprendido</v>
      </c>
      <c r="AI6" s="2618">
        <f>IFERROR(VLOOKUP($J$6,Místicos!$C$15:$H$25,6,FALSE),0)</f>
        <v>0</v>
      </c>
      <c r="AJ6" s="451"/>
      <c r="AK6" s="450"/>
      <c r="AL6" s="1611"/>
      <c r="AM6" s="1978"/>
      <c r="AN6" s="1223"/>
      <c r="AO6" s="1969"/>
      <c r="AP6" s="356"/>
      <c r="AQ6" s="356"/>
      <c r="AR6" s="356"/>
      <c r="AS6" s="356"/>
      <c r="AT6" s="356"/>
      <c r="AU6" s="2620" t="s">
        <v>7293</v>
      </c>
      <c r="AV6" s="6025" t="str">
        <f>AC6</f>
        <v/>
      </c>
      <c r="AW6" s="6025"/>
      <c r="AX6" s="6025"/>
      <c r="AY6" s="2616"/>
      <c r="AZ6" s="2616"/>
      <c r="BA6" s="2617" t="str">
        <f>AH6</f>
        <v>Nivel de vía aprendido</v>
      </c>
      <c r="BB6" s="2618">
        <f>IFERROR(VLOOKUP($J$6,Místicos!$C$15:$H$25,6,FALSE),0)</f>
        <v>0</v>
      </c>
      <c r="BC6" s="451"/>
      <c r="BD6" s="450"/>
      <c r="BE6" s="1611"/>
      <c r="BF6" s="1611"/>
      <c r="BG6" s="1223"/>
      <c r="BH6" s="1969"/>
      <c r="BI6" s="356"/>
      <c r="BJ6" s="356"/>
      <c r="BK6" s="356"/>
      <c r="BL6" s="356"/>
      <c r="BM6" s="356"/>
      <c r="BN6" s="2620" t="s">
        <v>7293</v>
      </c>
      <c r="BO6" s="6025" t="str">
        <f>AV6</f>
        <v/>
      </c>
      <c r="BP6" s="6025"/>
      <c r="BQ6" s="6025"/>
      <c r="BR6" s="2616"/>
      <c r="BS6" s="2616"/>
      <c r="BT6" s="2617" t="str">
        <f>BA6</f>
        <v>Nivel de vía aprendido</v>
      </c>
      <c r="BU6" s="2618">
        <f>IFERROR(VLOOKUP($J$6,Místicos!$C$15:$H$25,6,FALSE),0)</f>
        <v>0</v>
      </c>
      <c r="BV6" s="451"/>
      <c r="BW6" s="450"/>
      <c r="BX6" s="1611"/>
      <c r="BY6" s="1611"/>
      <c r="BZ6" s="1223"/>
      <c r="CA6" s="1969"/>
      <c r="CB6" s="356"/>
      <c r="CC6" s="356"/>
      <c r="CD6" s="356"/>
      <c r="CE6" s="356"/>
      <c r="CF6" s="356"/>
      <c r="CG6" s="2620" t="s">
        <v>7293</v>
      </c>
      <c r="CH6" s="6025" t="str">
        <f>BO6</f>
        <v/>
      </c>
      <c r="CI6" s="6025"/>
      <c r="CJ6" s="6025"/>
      <c r="CK6" s="2616"/>
      <c r="CL6" s="2616"/>
      <c r="CM6" s="2617" t="str">
        <f>BT6</f>
        <v>Nivel de vía aprendido</v>
      </c>
      <c r="CN6" s="2618">
        <f>IFERROR(VLOOKUP($J$6,Místicos!$C$15:$H$25,6,FALSE),0)</f>
        <v>0</v>
      </c>
      <c r="CO6" s="451"/>
      <c r="CP6" s="450"/>
      <c r="CQ6" s="444"/>
    </row>
    <row r="7" spans="1:95" ht="12" customHeight="1" x14ac:dyDescent="0.2">
      <c r="A7" s="444"/>
      <c r="B7" s="906"/>
      <c r="C7" s="1969"/>
      <c r="D7" s="356"/>
      <c r="E7" s="356"/>
      <c r="F7" s="356"/>
      <c r="G7" s="356"/>
      <c r="H7" s="356"/>
      <c r="I7" s="2621" t="s">
        <v>7294</v>
      </c>
      <c r="J7" s="6021"/>
      <c r="K7" s="6021"/>
      <c r="L7" s="6021"/>
      <c r="M7" s="356"/>
      <c r="N7" s="2616"/>
      <c r="O7" s="2617" t="s">
        <v>9023</v>
      </c>
      <c r="P7" s="2619" t="s">
        <v>2121</v>
      </c>
      <c r="Q7" s="451"/>
      <c r="R7" s="450"/>
      <c r="S7" s="1611"/>
      <c r="T7" s="1611"/>
      <c r="U7" s="1223"/>
      <c r="V7" s="1969"/>
      <c r="W7" s="356"/>
      <c r="X7" s="356"/>
      <c r="Y7" s="356"/>
      <c r="Z7" s="356"/>
      <c r="AA7" s="356"/>
      <c r="AB7" s="2621" t="s">
        <v>7294</v>
      </c>
      <c r="AC7" s="6025" t="str">
        <f>IF(J7="","",J7)</f>
        <v/>
      </c>
      <c r="AD7" s="6025"/>
      <c r="AE7" s="6025"/>
      <c r="AF7" s="2616"/>
      <c r="AG7" s="2616"/>
      <c r="AH7" s="2616"/>
      <c r="AI7" s="2616"/>
      <c r="AJ7" s="451"/>
      <c r="AK7" s="450"/>
      <c r="AL7" s="1611"/>
      <c r="AM7" s="1978"/>
      <c r="AN7" s="1223"/>
      <c r="AO7" s="1969"/>
      <c r="AP7" s="356"/>
      <c r="AQ7" s="356"/>
      <c r="AR7" s="356"/>
      <c r="AS7" s="356"/>
      <c r="AT7" s="356"/>
      <c r="AU7" s="2621" t="s">
        <v>7294</v>
      </c>
      <c r="AV7" s="6025" t="str">
        <f>AC7</f>
        <v/>
      </c>
      <c r="AW7" s="6025"/>
      <c r="AX7" s="6025"/>
      <c r="AY7" s="2616"/>
      <c r="AZ7" s="2616"/>
      <c r="BA7" s="2616"/>
      <c r="BB7" s="2616"/>
      <c r="BC7" s="451"/>
      <c r="BD7" s="450"/>
      <c r="BE7" s="1611"/>
      <c r="BF7" s="1611"/>
      <c r="BG7" s="1223"/>
      <c r="BH7" s="1969"/>
      <c r="BI7" s="356"/>
      <c r="BJ7" s="356"/>
      <c r="BK7" s="356"/>
      <c r="BL7" s="356"/>
      <c r="BM7" s="356"/>
      <c r="BN7" s="2621" t="s">
        <v>7294</v>
      </c>
      <c r="BO7" s="6025" t="str">
        <f>AV7</f>
        <v/>
      </c>
      <c r="BP7" s="6025"/>
      <c r="BQ7" s="6025"/>
      <c r="BR7" s="2616"/>
      <c r="BS7" s="2616"/>
      <c r="BT7" s="2616"/>
      <c r="BU7" s="2616"/>
      <c r="BV7" s="451"/>
      <c r="BW7" s="450"/>
      <c r="BX7" s="1611"/>
      <c r="BY7" s="1611"/>
      <c r="BZ7" s="1223"/>
      <c r="CA7" s="1969"/>
      <c r="CB7" s="356"/>
      <c r="CC7" s="356"/>
      <c r="CD7" s="356"/>
      <c r="CE7" s="356"/>
      <c r="CF7" s="356"/>
      <c r="CG7" s="2621" t="s">
        <v>7294</v>
      </c>
      <c r="CH7" s="6025" t="str">
        <f>BO7</f>
        <v/>
      </c>
      <c r="CI7" s="6025"/>
      <c r="CJ7" s="6025"/>
      <c r="CK7" s="2616"/>
      <c r="CL7" s="2616"/>
      <c r="CM7" s="2616"/>
      <c r="CN7" s="2616"/>
      <c r="CO7" s="451"/>
      <c r="CP7" s="450"/>
      <c r="CQ7" s="444"/>
    </row>
    <row r="8" spans="1:95" ht="12" customHeight="1" thickBot="1" x14ac:dyDescent="0.25">
      <c r="A8" s="444"/>
      <c r="B8" s="906"/>
      <c r="C8" s="1970"/>
      <c r="D8" s="452"/>
      <c r="E8" s="452"/>
      <c r="F8" s="452"/>
      <c r="G8" s="452"/>
      <c r="H8" s="452"/>
      <c r="I8" s="452"/>
      <c r="J8" s="452"/>
      <c r="K8" s="452"/>
      <c r="L8" s="452"/>
      <c r="M8" s="452"/>
      <c r="N8" s="452"/>
      <c r="O8" s="452"/>
      <c r="P8" s="452"/>
      <c r="Q8" s="453"/>
      <c r="R8" s="450"/>
      <c r="S8" s="1611"/>
      <c r="T8" s="1611"/>
      <c r="U8" s="1223"/>
      <c r="V8" s="1970"/>
      <c r="W8" s="452"/>
      <c r="X8" s="452"/>
      <c r="Y8" s="452"/>
      <c r="Z8" s="452"/>
      <c r="AA8" s="452"/>
      <c r="AB8" s="452"/>
      <c r="AC8" s="452"/>
      <c r="AD8" s="452"/>
      <c r="AE8" s="452"/>
      <c r="AF8" s="452"/>
      <c r="AG8" s="452"/>
      <c r="AH8" s="452"/>
      <c r="AI8" s="452"/>
      <c r="AJ8" s="453"/>
      <c r="AK8" s="450"/>
      <c r="AL8" s="1611"/>
      <c r="AM8" s="1978"/>
      <c r="AN8" s="1223"/>
      <c r="AO8" s="1970"/>
      <c r="AP8" s="452"/>
      <c r="AQ8" s="452"/>
      <c r="AR8" s="452"/>
      <c r="AS8" s="452"/>
      <c r="AT8" s="452"/>
      <c r="AU8" s="452"/>
      <c r="AV8" s="452"/>
      <c r="AW8" s="452"/>
      <c r="AX8" s="452"/>
      <c r="AY8" s="452"/>
      <c r="AZ8" s="452"/>
      <c r="BA8" s="452"/>
      <c r="BB8" s="452"/>
      <c r="BC8" s="453"/>
      <c r="BD8" s="450"/>
      <c r="BE8" s="1611"/>
      <c r="BF8" s="1611"/>
      <c r="BG8" s="1223"/>
      <c r="BH8" s="1970"/>
      <c r="BI8" s="452"/>
      <c r="BJ8" s="452"/>
      <c r="BK8" s="452"/>
      <c r="BL8" s="452"/>
      <c r="BM8" s="452"/>
      <c r="BN8" s="452"/>
      <c r="BO8" s="452"/>
      <c r="BP8" s="452"/>
      <c r="BQ8" s="452"/>
      <c r="BR8" s="452"/>
      <c r="BS8" s="452"/>
      <c r="BT8" s="452"/>
      <c r="BU8" s="452"/>
      <c r="BV8" s="453"/>
      <c r="BW8" s="450"/>
      <c r="BX8" s="1611"/>
      <c r="BY8" s="1611"/>
      <c r="BZ8" s="1223"/>
      <c r="CA8" s="1970"/>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8"/>
      <c r="AN9" s="1223"/>
      <c r="BD9" s="450"/>
      <c r="BE9" s="1611"/>
      <c r="BF9" s="1611"/>
      <c r="BG9" s="1223"/>
      <c r="BW9" s="450"/>
      <c r="BX9" s="1611"/>
      <c r="BY9" s="1611"/>
      <c r="BZ9" s="1223"/>
      <c r="CP9" s="450"/>
      <c r="CQ9" s="444"/>
    </row>
    <row r="10" spans="1:95" ht="12" customHeight="1" thickBot="1" x14ac:dyDescent="0.25">
      <c r="A10" s="444"/>
      <c r="B10" s="914"/>
      <c r="C10" s="6022" t="str">
        <f>"Conjuros de nivel "&amp;B11&amp;"-"&amp;B55</f>
        <v>Conjuros de nivel 2-10</v>
      </c>
      <c r="D10" s="6022"/>
      <c r="E10" s="6022"/>
      <c r="F10" s="6022"/>
      <c r="G10" s="6022"/>
      <c r="H10" s="6022"/>
      <c r="I10" s="6022"/>
      <c r="J10" s="6022"/>
      <c r="K10" s="6022"/>
      <c r="L10" s="6022"/>
      <c r="M10" s="6022"/>
      <c r="N10" s="6022"/>
      <c r="O10" s="6022"/>
      <c r="P10" s="6022"/>
      <c r="Q10" s="6022"/>
      <c r="R10" s="912"/>
      <c r="S10" s="1611"/>
      <c r="T10" s="1611"/>
      <c r="U10" s="914"/>
      <c r="V10" s="6022" t="str">
        <f>"Conjuros de nivel "&amp;U11&amp;"-"&amp;U55</f>
        <v>Conjuros de nivel 22-30</v>
      </c>
      <c r="W10" s="6022"/>
      <c r="X10" s="6022"/>
      <c r="Y10" s="6022"/>
      <c r="Z10" s="6022"/>
      <c r="AA10" s="6022"/>
      <c r="AB10" s="6022"/>
      <c r="AC10" s="6022"/>
      <c r="AD10" s="6022"/>
      <c r="AE10" s="6022"/>
      <c r="AF10" s="6022"/>
      <c r="AG10" s="6022"/>
      <c r="AH10" s="6022"/>
      <c r="AI10" s="6022"/>
      <c r="AJ10" s="6022"/>
      <c r="AK10" s="912"/>
      <c r="AL10" s="1611"/>
      <c r="AM10" s="1978"/>
      <c r="AN10" s="914"/>
      <c r="AO10" s="6022" t="str">
        <f>"Conjuros de nivel "&amp;AN11&amp;"-"&amp;AN55</f>
        <v>Conjuros de nivel 42-50</v>
      </c>
      <c r="AP10" s="6022"/>
      <c r="AQ10" s="6022"/>
      <c r="AR10" s="6022"/>
      <c r="AS10" s="6022"/>
      <c r="AT10" s="6022"/>
      <c r="AU10" s="6022"/>
      <c r="AV10" s="6022"/>
      <c r="AW10" s="6022"/>
      <c r="AX10" s="6022"/>
      <c r="AY10" s="6022"/>
      <c r="AZ10" s="6022"/>
      <c r="BA10" s="6022"/>
      <c r="BB10" s="6022"/>
      <c r="BC10" s="6022"/>
      <c r="BD10" s="912"/>
      <c r="BE10" s="1611"/>
      <c r="BF10" s="1611"/>
      <c r="BG10" s="914"/>
      <c r="BH10" s="6022" t="str">
        <f>"Conjuros de nivel "&amp;BG11&amp;"-"&amp;BG55</f>
        <v>Conjuros de nivel 62-70</v>
      </c>
      <c r="BI10" s="6022"/>
      <c r="BJ10" s="6022"/>
      <c r="BK10" s="6022"/>
      <c r="BL10" s="6022"/>
      <c r="BM10" s="6022"/>
      <c r="BN10" s="6022"/>
      <c r="BO10" s="6022"/>
      <c r="BP10" s="6022"/>
      <c r="BQ10" s="6022"/>
      <c r="BR10" s="6022"/>
      <c r="BS10" s="6022"/>
      <c r="BT10" s="6022"/>
      <c r="BU10" s="6022"/>
      <c r="BV10" s="6022"/>
      <c r="BW10" s="912"/>
      <c r="BX10" s="1611"/>
      <c r="BY10" s="1611"/>
      <c r="BZ10" s="914"/>
      <c r="CA10" s="6022" t="str">
        <f>"Conjuros de nivel "&amp;BZ11&amp;"-"&amp;BZ55</f>
        <v>Conjuros de nivel 82-90</v>
      </c>
      <c r="CB10" s="6022"/>
      <c r="CC10" s="6022"/>
      <c r="CD10" s="6022"/>
      <c r="CE10" s="6022"/>
      <c r="CF10" s="6022"/>
      <c r="CG10" s="6022"/>
      <c r="CH10" s="6022"/>
      <c r="CI10" s="6022"/>
      <c r="CJ10" s="6022"/>
      <c r="CK10" s="6022"/>
      <c r="CL10" s="6022"/>
      <c r="CM10" s="6022"/>
      <c r="CN10" s="6022"/>
      <c r="CO10" s="6022"/>
      <c r="CP10" s="912"/>
      <c r="CQ10" s="444"/>
    </row>
    <row r="11" spans="1:95" ht="12" customHeight="1" x14ac:dyDescent="0.2">
      <c r="A11" s="444"/>
      <c r="B11" s="906">
        <v>2</v>
      </c>
      <c r="C11" s="601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19"/>
      <c r="E11" s="6019"/>
      <c r="F11" s="6019"/>
      <c r="G11" s="6020"/>
      <c r="H11" s="454" t="s">
        <v>1333</v>
      </c>
      <c r="I11" s="455">
        <f>B11</f>
        <v>2</v>
      </c>
      <c r="J11" s="6005" t="s">
        <v>6388</v>
      </c>
      <c r="K11" s="6005"/>
      <c r="L11" s="6005"/>
      <c r="M11" s="5972" t="e">
        <f>IF(C11=0,"",VLOOKUP(C11,'Tablas Magia'!$D$6:$Z$680,2,FALSE))</f>
        <v>#N/A</v>
      </c>
      <c r="N11" s="5972"/>
      <c r="O11" s="1959"/>
      <c r="P11" s="6016" t="str">
        <f>IFERROR(IF(M11="Libre Acceso","Aprendido",IF(IFERROR(VLOOKUP(M11,Místicos!$C$15:$H$25,6,0)&gt;=I11,FALSE),"Aprendido",IF(IFERROR(VLOOKUP(M11,Místicos!$E$15:$H$25,4,0)&gt;=I11,FALSE),"Aprendido",""))),"")</f>
        <v/>
      </c>
      <c r="Q11" s="6017"/>
      <c r="R11" s="450"/>
      <c r="S11" s="1611"/>
      <c r="T11" s="1611"/>
      <c r="U11" s="906">
        <f>B11+20</f>
        <v>22</v>
      </c>
      <c r="V11" s="601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19"/>
      <c r="X11" s="6019"/>
      <c r="Y11" s="6019"/>
      <c r="Z11" s="6020"/>
      <c r="AA11" s="454" t="s">
        <v>1333</v>
      </c>
      <c r="AB11" s="455">
        <f>U11</f>
        <v>22</v>
      </c>
      <c r="AC11" s="6005" t="s">
        <v>6388</v>
      </c>
      <c r="AD11" s="6005"/>
      <c r="AE11" s="6005"/>
      <c r="AF11" s="5972" t="e">
        <f>IF(V11=0,"",VLOOKUP(V11,'Tablas Magia'!$D$6:$Z$680,2,FALSE))</f>
        <v>#N/A</v>
      </c>
      <c r="AG11" s="5972"/>
      <c r="AH11" s="1959"/>
      <c r="AI11" s="6016" t="str">
        <f>IFERROR(IF(AF11="Libre Acceso","Aprendido",IF(IFERROR(VLOOKUP(AF11,Místicos!$C$15:$H$25,6,0)&gt;=AB11,FALSE),"Aprendido",IF(IFERROR(VLOOKUP(AF11,Místicos!$E$15:$H$25,4,0)&gt;=AB11,FALSE),"Aprendido",""))),"")</f>
        <v/>
      </c>
      <c r="AJ11" s="6017"/>
      <c r="AK11" s="450"/>
      <c r="AL11" s="444"/>
      <c r="AM11" s="499"/>
      <c r="AN11" s="906">
        <f>U11+20</f>
        <v>42</v>
      </c>
      <c r="AO11" s="601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19"/>
      <c r="AQ11" s="6019"/>
      <c r="AR11" s="6019"/>
      <c r="AS11" s="6020"/>
      <c r="AT11" s="454" t="s">
        <v>1333</v>
      </c>
      <c r="AU11" s="455">
        <f>AN11</f>
        <v>42</v>
      </c>
      <c r="AV11" s="6005" t="s">
        <v>6388</v>
      </c>
      <c r="AW11" s="6005"/>
      <c r="AX11" s="6005"/>
      <c r="AY11" s="5972" t="e">
        <f>IF(AO11=0,"",VLOOKUP(AO11,'Tablas Magia'!$D$6:$Z$680,2,FALSE))</f>
        <v>#N/A</v>
      </c>
      <c r="AZ11" s="5972"/>
      <c r="BA11" s="1959"/>
      <c r="BB11" s="6016" t="str">
        <f>IFERROR(IF(AY11="Libre Acceso","Aprendido",IF(IFERROR(VLOOKUP(AY11,Místicos!$C$15:$H$25,6,0)&gt;=AU11,FALSE),"Aprendido",IF(IFERROR(VLOOKUP(AY11,Místicos!$E$15:$H$25,4,0)&gt;=AU11,FALSE),"Aprendido",""))),"")</f>
        <v/>
      </c>
      <c r="BC11" s="6017"/>
      <c r="BD11" s="450"/>
      <c r="BE11" s="444"/>
      <c r="BF11" s="444"/>
      <c r="BG11" s="906">
        <f>AN11+20</f>
        <v>62</v>
      </c>
      <c r="BH11" s="601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19"/>
      <c r="BJ11" s="6019"/>
      <c r="BK11" s="6019"/>
      <c r="BL11" s="6020"/>
      <c r="BM11" s="454" t="s">
        <v>1333</v>
      </c>
      <c r="BN11" s="455">
        <f>BG11</f>
        <v>62</v>
      </c>
      <c r="BO11" s="6005" t="s">
        <v>6388</v>
      </c>
      <c r="BP11" s="6005"/>
      <c r="BQ11" s="6005"/>
      <c r="BR11" s="5972" t="e">
        <f>IF(BH11=0,"",VLOOKUP(BH11,'Tablas Magia'!$D$6:$Z$680,2,FALSE))</f>
        <v>#N/A</v>
      </c>
      <c r="BS11" s="5972"/>
      <c r="BT11" s="1959"/>
      <c r="BU11" s="6016" t="str">
        <f>IFERROR(IF(BR11="Libre Acceso","Aprendido",IF(IFERROR(VLOOKUP(BR11,Místicos!$C$15:$H$25,6,0)&gt;=BN11,FALSE),"Aprendido",IF(IFERROR(VLOOKUP(BR11,Místicos!$E$15:$H$25,4,0)&gt;=BN11,FALSE),"Aprendido",""))),"")</f>
        <v/>
      </c>
      <c r="BV11" s="6017"/>
      <c r="BW11" s="450"/>
      <c r="BX11" s="444"/>
      <c r="BY11" s="444"/>
      <c r="BZ11" s="906">
        <f>BG11+20</f>
        <v>82</v>
      </c>
      <c r="CA11" s="601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19"/>
      <c r="CC11" s="6019"/>
      <c r="CD11" s="6019"/>
      <c r="CE11" s="6020"/>
      <c r="CF11" s="454" t="s">
        <v>1333</v>
      </c>
      <c r="CG11" s="455">
        <f>BZ11</f>
        <v>82</v>
      </c>
      <c r="CH11" s="6005" t="s">
        <v>6388</v>
      </c>
      <c r="CI11" s="6005"/>
      <c r="CJ11" s="6005"/>
      <c r="CK11" s="5972" t="e">
        <f>IF(CA11=0,"",VLOOKUP(CA11,'Tablas Magia'!$D$6:$Z$680,2,FALSE))</f>
        <v>#N/A</v>
      </c>
      <c r="CL11" s="5972"/>
      <c r="CM11" s="1959"/>
      <c r="CN11" s="6016" t="str">
        <f>IFERROR(IF(CK11="Libre Acceso","Aprendido",IF(IFERROR(VLOOKUP(CK11,Místicos!$C$15:$H$25,6,0)&gt;=CG11,FALSE),"Aprendido",IF(IFERROR(VLOOKUP(CK11,Místicos!$E$15:$H$25,4,0)&gt;=CG11,FALSE),"Aprendido",""))),"")</f>
        <v/>
      </c>
      <c r="CO11" s="6017"/>
      <c r="CP11" s="450"/>
      <c r="CQ11" s="444"/>
    </row>
    <row r="12" spans="1:95" ht="12" customHeight="1" x14ac:dyDescent="0.2">
      <c r="A12" s="444"/>
      <c r="B12" s="906"/>
      <c r="C12" s="5989" t="s">
        <v>6389</v>
      </c>
      <c r="D12" s="6006"/>
      <c r="E12" s="1972" t="s">
        <v>6390</v>
      </c>
      <c r="F12" s="1972" t="s">
        <v>1517</v>
      </c>
      <c r="G12" s="1972" t="s">
        <v>2914</v>
      </c>
      <c r="H12" s="1973" t="s">
        <v>1845</v>
      </c>
      <c r="I12" s="6007" t="e">
        <f>IF(C11=0,"",VLOOKUP(C11,'Tablas Magia'!$D$6:$Z$680,5,FALSE))</f>
        <v>#N/A</v>
      </c>
      <c r="J12" s="6007"/>
      <c r="K12" s="6018" t="s">
        <v>6391</v>
      </c>
      <c r="L12" s="6018"/>
      <c r="M12" s="6007" t="e">
        <f>IF(C11=0,"",VLOOKUP(C11,'Tablas Magia'!$D$6:$Z$680,6,FALSE))</f>
        <v>#N/A</v>
      </c>
      <c r="N12" s="6007"/>
      <c r="O12" s="6008" t="s">
        <v>6392</v>
      </c>
      <c r="P12" s="6008"/>
      <c r="Q12" s="1974" t="e">
        <f>IF(C11=0,"",VLOOKUP(C11,'Tablas Magia'!$D$6:$Z$680,4,FALSE))</f>
        <v>#N/A</v>
      </c>
      <c r="R12" s="450"/>
      <c r="S12" s="444"/>
      <c r="T12" s="444"/>
      <c r="U12" s="906"/>
      <c r="V12" s="5989" t="s">
        <v>6389</v>
      </c>
      <c r="W12" s="6006"/>
      <c r="X12" s="1972" t="s">
        <v>6390</v>
      </c>
      <c r="Y12" s="1972" t="s">
        <v>1517</v>
      </c>
      <c r="Z12" s="1972" t="s">
        <v>2914</v>
      </c>
      <c r="AA12" s="1973" t="s">
        <v>1845</v>
      </c>
      <c r="AB12" s="6007" t="e">
        <f>IF(V11=0,"",VLOOKUP(V11,'Tablas Magia'!$D$6:$Z$680,5,FALSE))</f>
        <v>#N/A</v>
      </c>
      <c r="AC12" s="6007"/>
      <c r="AD12" s="6018" t="s">
        <v>6391</v>
      </c>
      <c r="AE12" s="6018"/>
      <c r="AF12" s="6007" t="e">
        <f>IF(V11=0,"",VLOOKUP(V11,'Tablas Magia'!$D$6:$Z$680,6,FALSE))</f>
        <v>#N/A</v>
      </c>
      <c r="AG12" s="6007"/>
      <c r="AH12" s="6008" t="s">
        <v>6392</v>
      </c>
      <c r="AI12" s="6008"/>
      <c r="AJ12" s="1974" t="e">
        <f>IF(V11=0,"",VLOOKUP(V11,'Tablas Magia'!$D$6:$Z$680,4,FALSE))</f>
        <v>#N/A</v>
      </c>
      <c r="AK12" s="450"/>
      <c r="AL12" s="444"/>
      <c r="AM12" s="499"/>
      <c r="AN12" s="906"/>
      <c r="AO12" s="5989" t="s">
        <v>6389</v>
      </c>
      <c r="AP12" s="6006"/>
      <c r="AQ12" s="1972" t="s">
        <v>6390</v>
      </c>
      <c r="AR12" s="1972" t="s">
        <v>1517</v>
      </c>
      <c r="AS12" s="1972" t="s">
        <v>2914</v>
      </c>
      <c r="AT12" s="1973" t="s">
        <v>1845</v>
      </c>
      <c r="AU12" s="6007" t="e">
        <f>IF(AO11=0,"",VLOOKUP(AO11,'Tablas Magia'!$D$6:$Z$680,5,FALSE))</f>
        <v>#N/A</v>
      </c>
      <c r="AV12" s="6007"/>
      <c r="AW12" s="6018" t="s">
        <v>6391</v>
      </c>
      <c r="AX12" s="6018"/>
      <c r="AY12" s="6007" t="e">
        <f>IF(AO11=0,"",VLOOKUP(AO11,'Tablas Magia'!$D$6:$Z$680,6,FALSE))</f>
        <v>#N/A</v>
      </c>
      <c r="AZ12" s="6007"/>
      <c r="BA12" s="6008" t="s">
        <v>6392</v>
      </c>
      <c r="BB12" s="6008"/>
      <c r="BC12" s="1974" t="e">
        <f>IF(AO11=0,"",VLOOKUP(AO11,'Tablas Magia'!$D$6:$Z$680,4,FALSE))</f>
        <v>#N/A</v>
      </c>
      <c r="BD12" s="450"/>
      <c r="BE12" s="444"/>
      <c r="BF12" s="444"/>
      <c r="BG12" s="906"/>
      <c r="BH12" s="5989" t="s">
        <v>6389</v>
      </c>
      <c r="BI12" s="6006"/>
      <c r="BJ12" s="1972" t="s">
        <v>6390</v>
      </c>
      <c r="BK12" s="1972" t="s">
        <v>1517</v>
      </c>
      <c r="BL12" s="1972" t="s">
        <v>2914</v>
      </c>
      <c r="BM12" s="1973" t="s">
        <v>1845</v>
      </c>
      <c r="BN12" s="6007" t="e">
        <f>IF(BH11=0,"",VLOOKUP(BH11,'Tablas Magia'!$D$6:$Z$680,5,FALSE))</f>
        <v>#N/A</v>
      </c>
      <c r="BO12" s="6007"/>
      <c r="BP12" s="6018" t="s">
        <v>6391</v>
      </c>
      <c r="BQ12" s="6018"/>
      <c r="BR12" s="6007" t="e">
        <f>IF(BH11=0,"",VLOOKUP(BH11,'Tablas Magia'!$D$6:$Z$680,6,FALSE))</f>
        <v>#N/A</v>
      </c>
      <c r="BS12" s="6007"/>
      <c r="BT12" s="6008" t="s">
        <v>6392</v>
      </c>
      <c r="BU12" s="6008"/>
      <c r="BV12" s="1974" t="e">
        <f>IF(BH11=0,"",VLOOKUP(BH11,'Tablas Magia'!$D$6:$Z$680,4,FALSE))</f>
        <v>#N/A</v>
      </c>
      <c r="BW12" s="450"/>
      <c r="BX12" s="444"/>
      <c r="BY12" s="444"/>
      <c r="BZ12" s="906"/>
      <c r="CA12" s="5989" t="s">
        <v>6389</v>
      </c>
      <c r="CB12" s="6006"/>
      <c r="CC12" s="1972" t="s">
        <v>6390</v>
      </c>
      <c r="CD12" s="1972" t="s">
        <v>1517</v>
      </c>
      <c r="CE12" s="1972" t="s">
        <v>2914</v>
      </c>
      <c r="CF12" s="1973" t="s">
        <v>1845</v>
      </c>
      <c r="CG12" s="6007" t="e">
        <f>IF(CA11=0,"",VLOOKUP(CA11,'Tablas Magia'!$D$6:$Z$680,5,FALSE))</f>
        <v>#N/A</v>
      </c>
      <c r="CH12" s="6007"/>
      <c r="CI12" s="6018" t="s">
        <v>6391</v>
      </c>
      <c r="CJ12" s="6018"/>
      <c r="CK12" s="6007" t="e">
        <f>IF(CA11=0,"",VLOOKUP(CA11,'Tablas Magia'!$D$6:$Z$680,6,FALSE))</f>
        <v>#N/A</v>
      </c>
      <c r="CL12" s="6007"/>
      <c r="CM12" s="6008" t="s">
        <v>6392</v>
      </c>
      <c r="CN12" s="6008"/>
      <c r="CO12" s="1974" t="e">
        <f>IF(CA11=0,"",VLOOKUP(CA11,'Tablas Magia'!$D$6:$Z$680,4,FALSE))</f>
        <v>#N/A</v>
      </c>
      <c r="CP12" s="450"/>
      <c r="CQ12" s="444"/>
    </row>
    <row r="13" spans="1:95" ht="12" customHeight="1" x14ac:dyDescent="0.2">
      <c r="A13" s="444"/>
      <c r="B13" s="906"/>
      <c r="C13" s="5981" t="s">
        <v>1373</v>
      </c>
      <c r="D13" s="5982"/>
      <c r="E13" s="459" t="e">
        <f>IF(C11=0,"",VLOOKUP(C11,'Tablas Magia'!$D$6:$Z$680,7,FALSE))</f>
        <v>#N/A</v>
      </c>
      <c r="F13" s="459" t="e">
        <f>IF(C11=0,"",VLOOKUP(C11,'Tablas Magia'!$D$6:$Z$680,11,FALSE))</f>
        <v>#N/A</v>
      </c>
      <c r="G13" s="460" t="e">
        <f>IF(C11=0,"",VLOOKUP(C11,'Tablas Magia'!$D$6:$Z$680,15,FALSE))</f>
        <v>#N/A</v>
      </c>
      <c r="H13" s="5983" t="e">
        <f>IF(C11=0,"",VLOOKUP(C11,'Tablas Magia'!$D$6:$Z$680,19,FALSE))</f>
        <v>#N/A</v>
      </c>
      <c r="I13" s="5984"/>
      <c r="J13" s="5984"/>
      <c r="K13" s="5984"/>
      <c r="L13" s="5984"/>
      <c r="M13" s="5984"/>
      <c r="N13" s="5984"/>
      <c r="O13" s="5984"/>
      <c r="P13" s="5984"/>
      <c r="Q13" s="5985"/>
      <c r="R13" s="450"/>
      <c r="S13" s="444"/>
      <c r="T13" s="444"/>
      <c r="U13" s="906"/>
      <c r="V13" s="5981" t="s">
        <v>1373</v>
      </c>
      <c r="W13" s="5982"/>
      <c r="X13" s="459" t="e">
        <f>IF(V11=0,"",VLOOKUP(V11,'Tablas Magia'!$D$6:$Z$680,7,FALSE))</f>
        <v>#N/A</v>
      </c>
      <c r="Y13" s="459" t="e">
        <f>IF(V11=0,"",VLOOKUP(V11,'Tablas Magia'!$D$6:$Z$680,11,FALSE))</f>
        <v>#N/A</v>
      </c>
      <c r="Z13" s="460" t="e">
        <f>IF(V11=0,"",VLOOKUP(V11,'Tablas Magia'!$D$6:$Z$680,15,FALSE))</f>
        <v>#N/A</v>
      </c>
      <c r="AA13" s="5983" t="e">
        <f>IF(V11=0,"",VLOOKUP(V11,'Tablas Magia'!$D$6:$Z$680,19,FALSE))</f>
        <v>#N/A</v>
      </c>
      <c r="AB13" s="5984"/>
      <c r="AC13" s="5984"/>
      <c r="AD13" s="5984"/>
      <c r="AE13" s="5984"/>
      <c r="AF13" s="5984"/>
      <c r="AG13" s="5984"/>
      <c r="AH13" s="5984"/>
      <c r="AI13" s="5984"/>
      <c r="AJ13" s="5985"/>
      <c r="AK13" s="450"/>
      <c r="AL13" s="444"/>
      <c r="AM13" s="499"/>
      <c r="AN13" s="906"/>
      <c r="AO13" s="5981" t="s">
        <v>1373</v>
      </c>
      <c r="AP13" s="5982"/>
      <c r="AQ13" s="459" t="e">
        <f>IF(AO11=0,"",VLOOKUP(AO11,'Tablas Magia'!$D$6:$Z$680,7,FALSE))</f>
        <v>#N/A</v>
      </c>
      <c r="AR13" s="459" t="e">
        <f>IF(AO11=0,"",VLOOKUP(AO11,'Tablas Magia'!$D$6:$Z$680,11,FALSE))</f>
        <v>#N/A</v>
      </c>
      <c r="AS13" s="460" t="e">
        <f>IF(AO11=0,"",VLOOKUP(AO11,'Tablas Magia'!$D$6:$Z$680,15,FALSE))</f>
        <v>#N/A</v>
      </c>
      <c r="AT13" s="5983" t="e">
        <f>IF(AO11=0,"",VLOOKUP(AO11,'Tablas Magia'!$D$6:$Z$680,19,FALSE))</f>
        <v>#N/A</v>
      </c>
      <c r="AU13" s="5984"/>
      <c r="AV13" s="5984"/>
      <c r="AW13" s="5984"/>
      <c r="AX13" s="5984"/>
      <c r="AY13" s="5984"/>
      <c r="AZ13" s="5984"/>
      <c r="BA13" s="5984"/>
      <c r="BB13" s="5984"/>
      <c r="BC13" s="5985"/>
      <c r="BD13" s="450"/>
      <c r="BE13" s="444"/>
      <c r="BF13" s="444"/>
      <c r="BG13" s="906"/>
      <c r="BH13" s="5981" t="s">
        <v>1373</v>
      </c>
      <c r="BI13" s="5982"/>
      <c r="BJ13" s="459" t="e">
        <f>IF(BH11=0,"",VLOOKUP(BH11,'Tablas Magia'!$D$6:$Z$680,7,FALSE))</f>
        <v>#N/A</v>
      </c>
      <c r="BK13" s="459" t="e">
        <f>IF(BH11=0,"",VLOOKUP(BH11,'Tablas Magia'!$D$6:$Z$680,11,FALSE))</f>
        <v>#N/A</v>
      </c>
      <c r="BL13" s="460" t="e">
        <f>IF(BH11=0,"",VLOOKUP(BH11,'Tablas Magia'!$D$6:$Z$680,15,FALSE))</f>
        <v>#N/A</v>
      </c>
      <c r="BM13" s="5983" t="e">
        <f>IF(BH11=0,"",VLOOKUP(BH11,'Tablas Magia'!$D$6:$Z$680,19,FALSE))</f>
        <v>#N/A</v>
      </c>
      <c r="BN13" s="5984"/>
      <c r="BO13" s="5984"/>
      <c r="BP13" s="5984"/>
      <c r="BQ13" s="5984"/>
      <c r="BR13" s="5984"/>
      <c r="BS13" s="5984"/>
      <c r="BT13" s="5984"/>
      <c r="BU13" s="5984"/>
      <c r="BV13" s="5985"/>
      <c r="BW13" s="450"/>
      <c r="BX13" s="444"/>
      <c r="BY13" s="444"/>
      <c r="BZ13" s="906"/>
      <c r="CA13" s="5981" t="s">
        <v>1373</v>
      </c>
      <c r="CB13" s="5982"/>
      <c r="CC13" s="459" t="e">
        <f>IF(CA11=0,"",VLOOKUP(CA11,'Tablas Magia'!$D$6:$Z$680,7,FALSE))</f>
        <v>#N/A</v>
      </c>
      <c r="CD13" s="459" t="e">
        <f>IF(CA11=0,"",VLOOKUP(CA11,'Tablas Magia'!$D$6:$Z$680,11,FALSE))</f>
        <v>#N/A</v>
      </c>
      <c r="CE13" s="460" t="e">
        <f>IF(CA11=0,"",VLOOKUP(CA11,'Tablas Magia'!$D$6:$Z$680,15,FALSE))</f>
        <v>#N/A</v>
      </c>
      <c r="CF13" s="5983" t="e">
        <f>IF(CA11=0,"",VLOOKUP(CA11,'Tablas Magia'!$D$6:$Z$680,19,FALSE))</f>
        <v>#N/A</v>
      </c>
      <c r="CG13" s="5984"/>
      <c r="CH13" s="5984"/>
      <c r="CI13" s="5984"/>
      <c r="CJ13" s="5984"/>
      <c r="CK13" s="5984"/>
      <c r="CL13" s="5984"/>
      <c r="CM13" s="5984"/>
      <c r="CN13" s="5984"/>
      <c r="CO13" s="5985"/>
      <c r="CP13" s="450"/>
      <c r="CQ13" s="444"/>
    </row>
    <row r="14" spans="1:95" ht="12" customHeight="1" x14ac:dyDescent="0.2">
      <c r="A14" s="444"/>
      <c r="B14" s="906"/>
      <c r="C14" s="5976" t="s">
        <v>3285</v>
      </c>
      <c r="D14" s="5977"/>
      <c r="E14" s="461" t="e">
        <f>IF(C11=0,"",VLOOKUP(C11,'Tablas Magia'!$D$6:$Z$680,8,FALSE))</f>
        <v>#N/A</v>
      </c>
      <c r="F14" s="461" t="e">
        <f>IF(C11=0,"",VLOOKUP(C11,'Tablas Magia'!$D$6:$Z$680,12,FALSE))</f>
        <v>#N/A</v>
      </c>
      <c r="G14" s="462" t="e">
        <f>IF(C11=0,"",VLOOKUP(C11,'Tablas Magia'!$D$6:$Z$680,16,FALSE))</f>
        <v>#N/A</v>
      </c>
      <c r="H14" s="5978" t="e">
        <f>IF(C11=0,"",VLOOKUP(C11,'Tablas Magia'!$D$6:$Z$680,20,FALSE))</f>
        <v>#N/A</v>
      </c>
      <c r="I14" s="5979"/>
      <c r="J14" s="5979"/>
      <c r="K14" s="5979"/>
      <c r="L14" s="5979"/>
      <c r="M14" s="5979"/>
      <c r="N14" s="5979"/>
      <c r="O14" s="5979"/>
      <c r="P14" s="5979"/>
      <c r="Q14" s="5980"/>
      <c r="R14" s="450"/>
      <c r="S14" s="444"/>
      <c r="T14" s="444"/>
      <c r="U14" s="906"/>
      <c r="V14" s="5976" t="s">
        <v>3285</v>
      </c>
      <c r="W14" s="5977"/>
      <c r="X14" s="461" t="e">
        <f>IF(V11=0,"",VLOOKUP(V11,'Tablas Magia'!$D$6:$Z$680,8,FALSE))</f>
        <v>#N/A</v>
      </c>
      <c r="Y14" s="461" t="e">
        <f>IF(V11=0,"",VLOOKUP(V11,'Tablas Magia'!$D$6:$Z$680,12,FALSE))</f>
        <v>#N/A</v>
      </c>
      <c r="Z14" s="462" t="e">
        <f>IF(V11=0,"",VLOOKUP(V11,'Tablas Magia'!$D$6:$Z$680,16,FALSE))</f>
        <v>#N/A</v>
      </c>
      <c r="AA14" s="5978" t="e">
        <f>IF(V11=0,"",VLOOKUP(V11,'Tablas Magia'!$D$6:$Z$680,20,FALSE))</f>
        <v>#N/A</v>
      </c>
      <c r="AB14" s="5979"/>
      <c r="AC14" s="5979"/>
      <c r="AD14" s="5979"/>
      <c r="AE14" s="5979"/>
      <c r="AF14" s="5979"/>
      <c r="AG14" s="5979"/>
      <c r="AH14" s="5979"/>
      <c r="AI14" s="5979"/>
      <c r="AJ14" s="5980"/>
      <c r="AK14" s="450"/>
      <c r="AL14" s="444"/>
      <c r="AM14" s="499"/>
      <c r="AN14" s="906"/>
      <c r="AO14" s="5976" t="s">
        <v>3285</v>
      </c>
      <c r="AP14" s="5977"/>
      <c r="AQ14" s="461" t="e">
        <f>IF(AO11=0,"",VLOOKUP(AO11,'Tablas Magia'!$D$6:$Z$680,8,FALSE))</f>
        <v>#N/A</v>
      </c>
      <c r="AR14" s="461" t="e">
        <f>IF(AO11=0,"",VLOOKUP(AO11,'Tablas Magia'!$D$6:$Z$680,12,FALSE))</f>
        <v>#N/A</v>
      </c>
      <c r="AS14" s="462" t="e">
        <f>IF(AO11=0,"",VLOOKUP(AO11,'Tablas Magia'!$D$6:$Z$680,16,FALSE))</f>
        <v>#N/A</v>
      </c>
      <c r="AT14" s="5978" t="e">
        <f>IF(AO11=0,"",VLOOKUP(AO11,'Tablas Magia'!$D$6:$Z$680,20,FALSE))</f>
        <v>#N/A</v>
      </c>
      <c r="AU14" s="5979"/>
      <c r="AV14" s="5979"/>
      <c r="AW14" s="5979"/>
      <c r="AX14" s="5979"/>
      <c r="AY14" s="5979"/>
      <c r="AZ14" s="5979"/>
      <c r="BA14" s="5979"/>
      <c r="BB14" s="5979"/>
      <c r="BC14" s="5980"/>
      <c r="BD14" s="450"/>
      <c r="BE14" s="444"/>
      <c r="BF14" s="444"/>
      <c r="BG14" s="906"/>
      <c r="BH14" s="5976" t="s">
        <v>3285</v>
      </c>
      <c r="BI14" s="5977"/>
      <c r="BJ14" s="461" t="e">
        <f>IF(BH11=0,"",VLOOKUP(BH11,'Tablas Magia'!$D$6:$Z$680,8,FALSE))</f>
        <v>#N/A</v>
      </c>
      <c r="BK14" s="461" t="e">
        <f>IF(BH11=0,"",VLOOKUP(BH11,'Tablas Magia'!$D$6:$Z$680,12,FALSE))</f>
        <v>#N/A</v>
      </c>
      <c r="BL14" s="462" t="e">
        <f>IF(BH11=0,"",VLOOKUP(BH11,'Tablas Magia'!$D$6:$Z$680,16,FALSE))</f>
        <v>#N/A</v>
      </c>
      <c r="BM14" s="5978" t="e">
        <f>IF(BH11=0,"",VLOOKUP(BH11,'Tablas Magia'!$D$6:$Z$680,20,FALSE))</f>
        <v>#N/A</v>
      </c>
      <c r="BN14" s="5979"/>
      <c r="BO14" s="5979"/>
      <c r="BP14" s="5979"/>
      <c r="BQ14" s="5979"/>
      <c r="BR14" s="5979"/>
      <c r="BS14" s="5979"/>
      <c r="BT14" s="5979"/>
      <c r="BU14" s="5979"/>
      <c r="BV14" s="5980"/>
      <c r="BW14" s="450"/>
      <c r="BX14" s="444"/>
      <c r="BY14" s="444"/>
      <c r="BZ14" s="906"/>
      <c r="CA14" s="5976" t="s">
        <v>3285</v>
      </c>
      <c r="CB14" s="5977"/>
      <c r="CC14" s="461" t="e">
        <f>IF(CA11=0,"",VLOOKUP(CA11,'Tablas Magia'!$D$6:$Z$680,8,FALSE))</f>
        <v>#N/A</v>
      </c>
      <c r="CD14" s="461" t="e">
        <f>IF(CA11=0,"",VLOOKUP(CA11,'Tablas Magia'!$D$6:$Z$680,12,FALSE))</f>
        <v>#N/A</v>
      </c>
      <c r="CE14" s="462" t="e">
        <f>IF(CA11=0,"",VLOOKUP(CA11,'Tablas Magia'!$D$6:$Z$680,16,FALSE))</f>
        <v>#N/A</v>
      </c>
      <c r="CF14" s="5978" t="e">
        <f>IF(CA11=0,"",VLOOKUP(CA11,'Tablas Magia'!$D$6:$Z$680,20,FALSE))</f>
        <v>#N/A</v>
      </c>
      <c r="CG14" s="5979"/>
      <c r="CH14" s="5979"/>
      <c r="CI14" s="5979"/>
      <c r="CJ14" s="5979"/>
      <c r="CK14" s="5979"/>
      <c r="CL14" s="5979"/>
      <c r="CM14" s="5979"/>
      <c r="CN14" s="5979"/>
      <c r="CO14" s="5980"/>
      <c r="CP14" s="450"/>
      <c r="CQ14" s="444"/>
    </row>
    <row r="15" spans="1:95" ht="12" customHeight="1" x14ac:dyDescent="0.2">
      <c r="A15" s="444"/>
      <c r="B15" s="906"/>
      <c r="C15" s="5981" t="s">
        <v>3286</v>
      </c>
      <c r="D15" s="5982"/>
      <c r="E15" s="459" t="e">
        <f>IF(C11=0,"",VLOOKUP(C11,'Tablas Magia'!$D$6:$Z$680,9,FALSE))</f>
        <v>#N/A</v>
      </c>
      <c r="F15" s="459" t="e">
        <f>IF(C11=0,"",VLOOKUP(C11,'Tablas Magia'!$D$6:$Z$680,13,FALSE))</f>
        <v>#N/A</v>
      </c>
      <c r="G15" s="460" t="e">
        <f>IF(C11=0,"",VLOOKUP(C11,'Tablas Magia'!$D$6:$Z$680,17,FALSE))</f>
        <v>#N/A</v>
      </c>
      <c r="H15" s="5983" t="e">
        <f>IF(C11=0,"",VLOOKUP(C11,'Tablas Magia'!$D$6:$Z$680,21,FALSE))</f>
        <v>#N/A</v>
      </c>
      <c r="I15" s="5984"/>
      <c r="J15" s="5984"/>
      <c r="K15" s="5984"/>
      <c r="L15" s="5984"/>
      <c r="M15" s="5984"/>
      <c r="N15" s="5984"/>
      <c r="O15" s="5984"/>
      <c r="P15" s="5984"/>
      <c r="Q15" s="5985"/>
      <c r="R15" s="450"/>
      <c r="S15" s="444"/>
      <c r="T15" s="444"/>
      <c r="U15" s="906"/>
      <c r="V15" s="5981" t="s">
        <v>3286</v>
      </c>
      <c r="W15" s="5982"/>
      <c r="X15" s="459" t="e">
        <f>IF(V11=0,"",VLOOKUP(V11,'Tablas Magia'!$D$6:$Z$680,9,FALSE))</f>
        <v>#N/A</v>
      </c>
      <c r="Y15" s="459" t="e">
        <f>IF(V11=0,"",VLOOKUP(V11,'Tablas Magia'!$D$6:$Z$680,13,FALSE))</f>
        <v>#N/A</v>
      </c>
      <c r="Z15" s="460" t="e">
        <f>IF(V11=0,"",VLOOKUP(V11,'Tablas Magia'!$D$6:$Z$680,17,FALSE))</f>
        <v>#N/A</v>
      </c>
      <c r="AA15" s="5983" t="e">
        <f>IF(V11=0,"",VLOOKUP(V11,'Tablas Magia'!$D$6:$Z$680,21,FALSE))</f>
        <v>#N/A</v>
      </c>
      <c r="AB15" s="5984"/>
      <c r="AC15" s="5984"/>
      <c r="AD15" s="5984"/>
      <c r="AE15" s="5984"/>
      <c r="AF15" s="5984"/>
      <c r="AG15" s="5984"/>
      <c r="AH15" s="5984"/>
      <c r="AI15" s="5984"/>
      <c r="AJ15" s="5985"/>
      <c r="AK15" s="450"/>
      <c r="AL15" s="444"/>
      <c r="AM15" s="499"/>
      <c r="AN15" s="906"/>
      <c r="AO15" s="5981" t="s">
        <v>3286</v>
      </c>
      <c r="AP15" s="5982"/>
      <c r="AQ15" s="459" t="e">
        <f>IF(AO11=0,"",VLOOKUP(AO11,'Tablas Magia'!$D$6:$Z$680,9,FALSE))</f>
        <v>#N/A</v>
      </c>
      <c r="AR15" s="459" t="e">
        <f>IF(AO11=0,"",VLOOKUP(AO11,'Tablas Magia'!$D$6:$Z$680,13,FALSE))</f>
        <v>#N/A</v>
      </c>
      <c r="AS15" s="460" t="e">
        <f>IF(AO11=0,"",VLOOKUP(AO11,'Tablas Magia'!$D$6:$Z$680,17,FALSE))</f>
        <v>#N/A</v>
      </c>
      <c r="AT15" s="5983" t="e">
        <f>IF(AO11=0,"",VLOOKUP(AO11,'Tablas Magia'!$D$6:$Z$680,21,FALSE))</f>
        <v>#N/A</v>
      </c>
      <c r="AU15" s="5984"/>
      <c r="AV15" s="5984"/>
      <c r="AW15" s="5984"/>
      <c r="AX15" s="5984"/>
      <c r="AY15" s="5984"/>
      <c r="AZ15" s="5984"/>
      <c r="BA15" s="5984"/>
      <c r="BB15" s="5984"/>
      <c r="BC15" s="5985"/>
      <c r="BD15" s="450"/>
      <c r="BE15" s="444"/>
      <c r="BF15" s="444"/>
      <c r="BG15" s="906"/>
      <c r="BH15" s="5981" t="s">
        <v>3286</v>
      </c>
      <c r="BI15" s="5982"/>
      <c r="BJ15" s="459" t="e">
        <f>IF(BH11=0,"",VLOOKUP(BH11,'Tablas Magia'!$D$6:$Z$680,9,FALSE))</f>
        <v>#N/A</v>
      </c>
      <c r="BK15" s="459" t="e">
        <f>IF(BH11=0,"",VLOOKUP(BH11,'Tablas Magia'!$D$6:$Z$680,13,FALSE))</f>
        <v>#N/A</v>
      </c>
      <c r="BL15" s="460" t="e">
        <f>IF(BH11=0,"",VLOOKUP(BH11,'Tablas Magia'!$D$6:$Z$680,17,FALSE))</f>
        <v>#N/A</v>
      </c>
      <c r="BM15" s="5983" t="e">
        <f>IF(BH11=0,"",VLOOKUP(BH11,'Tablas Magia'!$D$6:$Z$680,21,FALSE))</f>
        <v>#N/A</v>
      </c>
      <c r="BN15" s="5984"/>
      <c r="BO15" s="5984"/>
      <c r="BP15" s="5984"/>
      <c r="BQ15" s="5984"/>
      <c r="BR15" s="5984"/>
      <c r="BS15" s="5984"/>
      <c r="BT15" s="5984"/>
      <c r="BU15" s="5984"/>
      <c r="BV15" s="5985"/>
      <c r="BW15" s="450"/>
      <c r="BX15" s="444"/>
      <c r="BY15" s="444"/>
      <c r="BZ15" s="906"/>
      <c r="CA15" s="5981" t="s">
        <v>3286</v>
      </c>
      <c r="CB15" s="5982"/>
      <c r="CC15" s="459" t="e">
        <f>IF(CA11=0,"",VLOOKUP(CA11,'Tablas Magia'!$D$6:$Z$680,9,FALSE))</f>
        <v>#N/A</v>
      </c>
      <c r="CD15" s="459" t="e">
        <f>IF(CA11=0,"",VLOOKUP(CA11,'Tablas Magia'!$D$6:$Z$680,13,FALSE))</f>
        <v>#N/A</v>
      </c>
      <c r="CE15" s="460" t="e">
        <f>IF(CA11=0,"",VLOOKUP(CA11,'Tablas Magia'!$D$6:$Z$680,17,FALSE))</f>
        <v>#N/A</v>
      </c>
      <c r="CF15" s="5983" t="e">
        <f>IF(CA11=0,"",VLOOKUP(CA11,'Tablas Magia'!$D$6:$Z$680,21,FALSE))</f>
        <v>#N/A</v>
      </c>
      <c r="CG15" s="5984"/>
      <c r="CH15" s="5984"/>
      <c r="CI15" s="5984"/>
      <c r="CJ15" s="5984"/>
      <c r="CK15" s="5984"/>
      <c r="CL15" s="5984"/>
      <c r="CM15" s="5984"/>
      <c r="CN15" s="5984"/>
      <c r="CO15" s="5985"/>
      <c r="CP15" s="450"/>
      <c r="CQ15" s="444"/>
    </row>
    <row r="16" spans="1:95" ht="12" customHeight="1" thickBot="1" x14ac:dyDescent="0.25">
      <c r="A16" s="444"/>
      <c r="B16" s="906"/>
      <c r="C16" s="5991" t="s">
        <v>3287</v>
      </c>
      <c r="D16" s="5992"/>
      <c r="E16" s="463" t="e">
        <f>IF(C11=0,"",VLOOKUP(C11,'Tablas Magia'!$D$6:$Z$680,10,FALSE))</f>
        <v>#N/A</v>
      </c>
      <c r="F16" s="463" t="e">
        <f>IF(C11=0,"",VLOOKUP(C11,'Tablas Magia'!$D$6:$Z$680,14,FALSE))</f>
        <v>#N/A</v>
      </c>
      <c r="G16" s="464" t="e">
        <f>IF(C11=0,"",VLOOKUP(C11,'Tablas Magia'!$D$6:$Z$680,18,FALSE))</f>
        <v>#N/A</v>
      </c>
      <c r="H16" s="5993" t="e">
        <f>IF(C11=0,"",VLOOKUP(C11,'Tablas Magia'!$D$6:$Z$680,22,FALSE))</f>
        <v>#N/A</v>
      </c>
      <c r="I16" s="5994"/>
      <c r="J16" s="5994"/>
      <c r="K16" s="5994"/>
      <c r="L16" s="5994"/>
      <c r="M16" s="5994"/>
      <c r="N16" s="5994"/>
      <c r="O16" s="5994"/>
      <c r="P16" s="5994"/>
      <c r="Q16" s="5995"/>
      <c r="R16" s="450"/>
      <c r="S16" s="444"/>
      <c r="T16" s="444"/>
      <c r="U16" s="906"/>
      <c r="V16" s="5991" t="s">
        <v>3287</v>
      </c>
      <c r="W16" s="5992"/>
      <c r="X16" s="463" t="e">
        <f>IF(V11=0,"",VLOOKUP(V11,'Tablas Magia'!$D$6:$Z$680,10,FALSE))</f>
        <v>#N/A</v>
      </c>
      <c r="Y16" s="463" t="e">
        <f>IF(V11=0,"",VLOOKUP(V11,'Tablas Magia'!$D$6:$Z$680,14,FALSE))</f>
        <v>#N/A</v>
      </c>
      <c r="Z16" s="464" t="e">
        <f>IF(V11=0,"",VLOOKUP(V11,'Tablas Magia'!$D$6:$Z$680,18,FALSE))</f>
        <v>#N/A</v>
      </c>
      <c r="AA16" s="5993" t="e">
        <f>IF(V11=0,"",VLOOKUP(V11,'Tablas Magia'!$D$6:$Z$680,22,FALSE))</f>
        <v>#N/A</v>
      </c>
      <c r="AB16" s="5994"/>
      <c r="AC16" s="5994"/>
      <c r="AD16" s="5994"/>
      <c r="AE16" s="5994"/>
      <c r="AF16" s="5994"/>
      <c r="AG16" s="5994"/>
      <c r="AH16" s="5994"/>
      <c r="AI16" s="5994"/>
      <c r="AJ16" s="5995"/>
      <c r="AK16" s="450"/>
      <c r="AL16" s="444"/>
      <c r="AM16" s="499"/>
      <c r="AN16" s="906"/>
      <c r="AO16" s="5991" t="s">
        <v>3287</v>
      </c>
      <c r="AP16" s="5992"/>
      <c r="AQ16" s="463" t="e">
        <f>IF(AO11=0,"",VLOOKUP(AO11,'Tablas Magia'!$D$6:$Z$680,10,FALSE))</f>
        <v>#N/A</v>
      </c>
      <c r="AR16" s="463" t="e">
        <f>IF(AO11=0,"",VLOOKUP(AO11,'Tablas Magia'!$D$6:$Z$680,14,FALSE))</f>
        <v>#N/A</v>
      </c>
      <c r="AS16" s="464" t="e">
        <f>IF(AO11=0,"",VLOOKUP(AO11,'Tablas Magia'!$D$6:$Z$680,18,FALSE))</f>
        <v>#N/A</v>
      </c>
      <c r="AT16" s="5993" t="e">
        <f>IF(AO11=0,"",VLOOKUP(AO11,'Tablas Magia'!$D$6:$Z$680,22,FALSE))</f>
        <v>#N/A</v>
      </c>
      <c r="AU16" s="5994"/>
      <c r="AV16" s="5994"/>
      <c r="AW16" s="5994"/>
      <c r="AX16" s="5994"/>
      <c r="AY16" s="5994"/>
      <c r="AZ16" s="5994"/>
      <c r="BA16" s="5994"/>
      <c r="BB16" s="5994"/>
      <c r="BC16" s="5995"/>
      <c r="BD16" s="450"/>
      <c r="BE16" s="444"/>
      <c r="BF16" s="444"/>
      <c r="BG16" s="906"/>
      <c r="BH16" s="5991" t="s">
        <v>3287</v>
      </c>
      <c r="BI16" s="5992"/>
      <c r="BJ16" s="463" t="e">
        <f>IF(BH11=0,"",VLOOKUP(BH11,'Tablas Magia'!$D$6:$Z$680,10,FALSE))</f>
        <v>#N/A</v>
      </c>
      <c r="BK16" s="463" t="e">
        <f>IF(BH11=0,"",VLOOKUP(BH11,'Tablas Magia'!$D$6:$Z$680,14,FALSE))</f>
        <v>#N/A</v>
      </c>
      <c r="BL16" s="464" t="e">
        <f>IF(BH11=0,"",VLOOKUP(BH11,'Tablas Magia'!$D$6:$Z$680,18,FALSE))</f>
        <v>#N/A</v>
      </c>
      <c r="BM16" s="5993" t="e">
        <f>IF(BH11=0,"",VLOOKUP(BH11,'Tablas Magia'!$D$6:$Z$680,22,FALSE))</f>
        <v>#N/A</v>
      </c>
      <c r="BN16" s="5994"/>
      <c r="BO16" s="5994"/>
      <c r="BP16" s="5994"/>
      <c r="BQ16" s="5994"/>
      <c r="BR16" s="5994"/>
      <c r="BS16" s="5994"/>
      <c r="BT16" s="5994"/>
      <c r="BU16" s="5994"/>
      <c r="BV16" s="5995"/>
      <c r="BW16" s="450"/>
      <c r="BX16" s="444"/>
      <c r="BY16" s="444"/>
      <c r="BZ16" s="906"/>
      <c r="CA16" s="5991" t="s">
        <v>3287</v>
      </c>
      <c r="CB16" s="5992"/>
      <c r="CC16" s="463" t="e">
        <f>IF(CA11=0,"",VLOOKUP(CA11,'Tablas Magia'!$D$6:$Z$680,10,FALSE))</f>
        <v>#N/A</v>
      </c>
      <c r="CD16" s="463" t="e">
        <f>IF(CA11=0,"",VLOOKUP(CA11,'Tablas Magia'!$D$6:$Z$680,14,FALSE))</f>
        <v>#N/A</v>
      </c>
      <c r="CE16" s="464" t="e">
        <f>IF(CA11=0,"",VLOOKUP(CA11,'Tablas Magia'!$D$6:$Z$680,18,FALSE))</f>
        <v>#N/A</v>
      </c>
      <c r="CF16" s="5993" t="e">
        <f>IF(CA11=0,"",VLOOKUP(CA11,'Tablas Magia'!$D$6:$Z$680,22,FALSE))</f>
        <v>#N/A</v>
      </c>
      <c r="CG16" s="5994"/>
      <c r="CH16" s="5994"/>
      <c r="CI16" s="5994"/>
      <c r="CJ16" s="5994"/>
      <c r="CK16" s="5994"/>
      <c r="CL16" s="5994"/>
      <c r="CM16" s="5994"/>
      <c r="CN16" s="5994"/>
      <c r="CO16" s="5995"/>
      <c r="CP16" s="450"/>
      <c r="CQ16" s="444"/>
    </row>
    <row r="17" spans="1:95" ht="12" customHeight="1" x14ac:dyDescent="0.2">
      <c r="A17" s="444"/>
      <c r="B17" s="906"/>
      <c r="C17" s="5996" t="e">
        <f>IF(C11=0,"",VLOOKUP(C11,'Tablas Magia'!$D$6:$Z$680,23,FALSE))</f>
        <v>#N/A</v>
      </c>
      <c r="D17" s="5997"/>
      <c r="E17" s="5997"/>
      <c r="F17" s="5997"/>
      <c r="G17" s="5997"/>
      <c r="H17" s="5997"/>
      <c r="I17" s="5997"/>
      <c r="J17" s="5997"/>
      <c r="K17" s="5997"/>
      <c r="L17" s="5997"/>
      <c r="M17" s="5997"/>
      <c r="N17" s="5997"/>
      <c r="O17" s="5997"/>
      <c r="P17" s="5997"/>
      <c r="Q17" s="5998"/>
      <c r="R17" s="450"/>
      <c r="S17" s="444"/>
      <c r="T17" s="444"/>
      <c r="U17" s="906"/>
      <c r="V17" s="5996" t="e">
        <f>IF(V11=0,"",VLOOKUP(V11,'Tablas Magia'!$D$6:$Z$680,23,FALSE))</f>
        <v>#N/A</v>
      </c>
      <c r="W17" s="5997"/>
      <c r="X17" s="5997"/>
      <c r="Y17" s="5997"/>
      <c r="Z17" s="5997"/>
      <c r="AA17" s="5997"/>
      <c r="AB17" s="5997"/>
      <c r="AC17" s="5997"/>
      <c r="AD17" s="5997"/>
      <c r="AE17" s="5997"/>
      <c r="AF17" s="5997"/>
      <c r="AG17" s="5997"/>
      <c r="AH17" s="5997"/>
      <c r="AI17" s="5997"/>
      <c r="AJ17" s="5998"/>
      <c r="AK17" s="450"/>
      <c r="AL17" s="444"/>
      <c r="AM17" s="499"/>
      <c r="AN17" s="906"/>
      <c r="AO17" s="5996" t="e">
        <f>IF(AO11=0,"",VLOOKUP(AO11,'Tablas Magia'!$D$6:$Z$680,23,FALSE))</f>
        <v>#N/A</v>
      </c>
      <c r="AP17" s="5997"/>
      <c r="AQ17" s="5997"/>
      <c r="AR17" s="5997"/>
      <c r="AS17" s="5997"/>
      <c r="AT17" s="5997"/>
      <c r="AU17" s="5997"/>
      <c r="AV17" s="5997"/>
      <c r="AW17" s="5997"/>
      <c r="AX17" s="5997"/>
      <c r="AY17" s="5997"/>
      <c r="AZ17" s="5997"/>
      <c r="BA17" s="5997"/>
      <c r="BB17" s="5997"/>
      <c r="BC17" s="5998"/>
      <c r="BD17" s="450"/>
      <c r="BE17" s="444"/>
      <c r="BF17" s="444"/>
      <c r="BG17" s="906"/>
      <c r="BH17" s="5996" t="e">
        <f>IF(BH11=0,"",VLOOKUP(BH11,'Tablas Magia'!$D$6:$Z$680,23,FALSE))</f>
        <v>#N/A</v>
      </c>
      <c r="BI17" s="5997"/>
      <c r="BJ17" s="5997"/>
      <c r="BK17" s="5997"/>
      <c r="BL17" s="5997"/>
      <c r="BM17" s="5997"/>
      <c r="BN17" s="5997"/>
      <c r="BO17" s="5997"/>
      <c r="BP17" s="5997"/>
      <c r="BQ17" s="5997"/>
      <c r="BR17" s="5997"/>
      <c r="BS17" s="5997"/>
      <c r="BT17" s="5997"/>
      <c r="BU17" s="5997"/>
      <c r="BV17" s="5998"/>
      <c r="BW17" s="450"/>
      <c r="BX17" s="444"/>
      <c r="BY17" s="444"/>
      <c r="BZ17" s="906"/>
      <c r="CA17" s="5996" t="e">
        <f>IF(CA11=0,"",VLOOKUP(CA11,'Tablas Magia'!$D$6:$Z$680,23,FALSE))</f>
        <v>#N/A</v>
      </c>
      <c r="CB17" s="5997"/>
      <c r="CC17" s="5997"/>
      <c r="CD17" s="5997"/>
      <c r="CE17" s="5997"/>
      <c r="CF17" s="5997"/>
      <c r="CG17" s="5997"/>
      <c r="CH17" s="5997"/>
      <c r="CI17" s="5997"/>
      <c r="CJ17" s="5997"/>
      <c r="CK17" s="5997"/>
      <c r="CL17" s="5997"/>
      <c r="CM17" s="5997"/>
      <c r="CN17" s="5997"/>
      <c r="CO17" s="5998"/>
      <c r="CP17" s="450"/>
      <c r="CQ17" s="444"/>
    </row>
    <row r="18" spans="1:95" ht="12" customHeight="1" x14ac:dyDescent="0.2">
      <c r="A18" s="444"/>
      <c r="B18" s="906"/>
      <c r="C18" s="5999"/>
      <c r="D18" s="6000"/>
      <c r="E18" s="6000"/>
      <c r="F18" s="6000"/>
      <c r="G18" s="6000"/>
      <c r="H18" s="6000"/>
      <c r="I18" s="6000"/>
      <c r="J18" s="6000"/>
      <c r="K18" s="6000"/>
      <c r="L18" s="6000"/>
      <c r="M18" s="6000"/>
      <c r="N18" s="6000"/>
      <c r="O18" s="6000"/>
      <c r="P18" s="6000"/>
      <c r="Q18" s="6001"/>
      <c r="R18" s="450"/>
      <c r="S18" s="444"/>
      <c r="T18" s="444"/>
      <c r="U18" s="906"/>
      <c r="V18" s="5999"/>
      <c r="W18" s="6000"/>
      <c r="X18" s="6000"/>
      <c r="Y18" s="6000"/>
      <c r="Z18" s="6000"/>
      <c r="AA18" s="6000"/>
      <c r="AB18" s="6000"/>
      <c r="AC18" s="6000"/>
      <c r="AD18" s="6000"/>
      <c r="AE18" s="6000"/>
      <c r="AF18" s="6000"/>
      <c r="AG18" s="6000"/>
      <c r="AH18" s="6000"/>
      <c r="AI18" s="6000"/>
      <c r="AJ18" s="6001"/>
      <c r="AK18" s="450"/>
      <c r="AL18" s="444"/>
      <c r="AM18" s="499"/>
      <c r="AN18" s="906"/>
      <c r="AO18" s="5999"/>
      <c r="AP18" s="6000"/>
      <c r="AQ18" s="6000"/>
      <c r="AR18" s="6000"/>
      <c r="AS18" s="6000"/>
      <c r="AT18" s="6000"/>
      <c r="AU18" s="6000"/>
      <c r="AV18" s="6000"/>
      <c r="AW18" s="6000"/>
      <c r="AX18" s="6000"/>
      <c r="AY18" s="6000"/>
      <c r="AZ18" s="6000"/>
      <c r="BA18" s="6000"/>
      <c r="BB18" s="6000"/>
      <c r="BC18" s="6001"/>
      <c r="BD18" s="450"/>
      <c r="BE18" s="444"/>
      <c r="BF18" s="444"/>
      <c r="BG18" s="906"/>
      <c r="BH18" s="5999"/>
      <c r="BI18" s="6000"/>
      <c r="BJ18" s="6000"/>
      <c r="BK18" s="6000"/>
      <c r="BL18" s="6000"/>
      <c r="BM18" s="6000"/>
      <c r="BN18" s="6000"/>
      <c r="BO18" s="6000"/>
      <c r="BP18" s="6000"/>
      <c r="BQ18" s="6000"/>
      <c r="BR18" s="6000"/>
      <c r="BS18" s="6000"/>
      <c r="BT18" s="6000"/>
      <c r="BU18" s="6000"/>
      <c r="BV18" s="6001"/>
      <c r="BW18" s="450"/>
      <c r="BX18" s="444"/>
      <c r="BY18" s="444"/>
      <c r="BZ18" s="906"/>
      <c r="CA18" s="5999"/>
      <c r="CB18" s="6000"/>
      <c r="CC18" s="6000"/>
      <c r="CD18" s="6000"/>
      <c r="CE18" s="6000"/>
      <c r="CF18" s="6000"/>
      <c r="CG18" s="6000"/>
      <c r="CH18" s="6000"/>
      <c r="CI18" s="6000"/>
      <c r="CJ18" s="6000"/>
      <c r="CK18" s="6000"/>
      <c r="CL18" s="6000"/>
      <c r="CM18" s="6000"/>
      <c r="CN18" s="6000"/>
      <c r="CO18" s="6001"/>
      <c r="CP18" s="450"/>
      <c r="CQ18" s="444"/>
    </row>
    <row r="19" spans="1:95" ht="12" customHeight="1" x14ac:dyDescent="0.2">
      <c r="A19" s="444"/>
      <c r="B19" s="906"/>
      <c r="C19" s="5999"/>
      <c r="D19" s="6000"/>
      <c r="E19" s="6000"/>
      <c r="F19" s="6000"/>
      <c r="G19" s="6000"/>
      <c r="H19" s="6000"/>
      <c r="I19" s="6000"/>
      <c r="J19" s="6000"/>
      <c r="K19" s="6000"/>
      <c r="L19" s="6000"/>
      <c r="M19" s="6000"/>
      <c r="N19" s="6000"/>
      <c r="O19" s="6000"/>
      <c r="P19" s="6000"/>
      <c r="Q19" s="6001"/>
      <c r="R19" s="450"/>
      <c r="S19" s="444"/>
      <c r="T19" s="444"/>
      <c r="U19" s="906"/>
      <c r="V19" s="5999"/>
      <c r="W19" s="6000"/>
      <c r="X19" s="6000"/>
      <c r="Y19" s="6000"/>
      <c r="Z19" s="6000"/>
      <c r="AA19" s="6000"/>
      <c r="AB19" s="6000"/>
      <c r="AC19" s="6000"/>
      <c r="AD19" s="6000"/>
      <c r="AE19" s="6000"/>
      <c r="AF19" s="6000"/>
      <c r="AG19" s="6000"/>
      <c r="AH19" s="6000"/>
      <c r="AI19" s="6000"/>
      <c r="AJ19" s="6001"/>
      <c r="AK19" s="450"/>
      <c r="AL19" s="444"/>
      <c r="AM19" s="499"/>
      <c r="AN19" s="906"/>
      <c r="AO19" s="5999"/>
      <c r="AP19" s="6000"/>
      <c r="AQ19" s="6000"/>
      <c r="AR19" s="6000"/>
      <c r="AS19" s="6000"/>
      <c r="AT19" s="6000"/>
      <c r="AU19" s="6000"/>
      <c r="AV19" s="6000"/>
      <c r="AW19" s="6000"/>
      <c r="AX19" s="6000"/>
      <c r="AY19" s="6000"/>
      <c r="AZ19" s="6000"/>
      <c r="BA19" s="6000"/>
      <c r="BB19" s="6000"/>
      <c r="BC19" s="6001"/>
      <c r="BD19" s="450"/>
      <c r="BE19" s="444"/>
      <c r="BF19" s="444"/>
      <c r="BG19" s="906"/>
      <c r="BH19" s="5999"/>
      <c r="BI19" s="6000"/>
      <c r="BJ19" s="6000"/>
      <c r="BK19" s="6000"/>
      <c r="BL19" s="6000"/>
      <c r="BM19" s="6000"/>
      <c r="BN19" s="6000"/>
      <c r="BO19" s="6000"/>
      <c r="BP19" s="6000"/>
      <c r="BQ19" s="6000"/>
      <c r="BR19" s="6000"/>
      <c r="BS19" s="6000"/>
      <c r="BT19" s="6000"/>
      <c r="BU19" s="6000"/>
      <c r="BV19" s="6001"/>
      <c r="BW19" s="450"/>
      <c r="BX19" s="444"/>
      <c r="BY19" s="444"/>
      <c r="BZ19" s="906"/>
      <c r="CA19" s="5999"/>
      <c r="CB19" s="6000"/>
      <c r="CC19" s="6000"/>
      <c r="CD19" s="6000"/>
      <c r="CE19" s="6000"/>
      <c r="CF19" s="6000"/>
      <c r="CG19" s="6000"/>
      <c r="CH19" s="6000"/>
      <c r="CI19" s="6000"/>
      <c r="CJ19" s="6000"/>
      <c r="CK19" s="6000"/>
      <c r="CL19" s="6000"/>
      <c r="CM19" s="6000"/>
      <c r="CN19" s="6000"/>
      <c r="CO19" s="6001"/>
      <c r="CP19" s="450"/>
      <c r="CQ19" s="444"/>
    </row>
    <row r="20" spans="1:95" ht="12" customHeight="1" thickBot="1" x14ac:dyDescent="0.25">
      <c r="A20" s="444"/>
      <c r="B20" s="906"/>
      <c r="C20" s="6002"/>
      <c r="D20" s="6003"/>
      <c r="E20" s="6003"/>
      <c r="F20" s="6003"/>
      <c r="G20" s="6003"/>
      <c r="H20" s="6003"/>
      <c r="I20" s="6003"/>
      <c r="J20" s="6003"/>
      <c r="K20" s="6003"/>
      <c r="L20" s="6003"/>
      <c r="M20" s="6003"/>
      <c r="N20" s="6003"/>
      <c r="O20" s="6003"/>
      <c r="P20" s="6003"/>
      <c r="Q20" s="6004"/>
      <c r="R20" s="450"/>
      <c r="S20" s="444"/>
      <c r="T20" s="444"/>
      <c r="U20" s="906"/>
      <c r="V20" s="6002"/>
      <c r="W20" s="6003"/>
      <c r="X20" s="6003"/>
      <c r="Y20" s="6003"/>
      <c r="Z20" s="6003"/>
      <c r="AA20" s="6003"/>
      <c r="AB20" s="6003"/>
      <c r="AC20" s="6003"/>
      <c r="AD20" s="6003"/>
      <c r="AE20" s="6003"/>
      <c r="AF20" s="6003"/>
      <c r="AG20" s="6003"/>
      <c r="AH20" s="6003"/>
      <c r="AI20" s="6003"/>
      <c r="AJ20" s="6004"/>
      <c r="AK20" s="450"/>
      <c r="AL20" s="444"/>
      <c r="AM20" s="499"/>
      <c r="AN20" s="906"/>
      <c r="AO20" s="6002"/>
      <c r="AP20" s="6003"/>
      <c r="AQ20" s="6003"/>
      <c r="AR20" s="6003"/>
      <c r="AS20" s="6003"/>
      <c r="AT20" s="6003"/>
      <c r="AU20" s="6003"/>
      <c r="AV20" s="6003"/>
      <c r="AW20" s="6003"/>
      <c r="AX20" s="6003"/>
      <c r="AY20" s="6003"/>
      <c r="AZ20" s="6003"/>
      <c r="BA20" s="6003"/>
      <c r="BB20" s="6003"/>
      <c r="BC20" s="6004"/>
      <c r="BD20" s="450"/>
      <c r="BE20" s="444"/>
      <c r="BF20" s="444"/>
      <c r="BG20" s="906"/>
      <c r="BH20" s="6002"/>
      <c r="BI20" s="6003"/>
      <c r="BJ20" s="6003"/>
      <c r="BK20" s="6003"/>
      <c r="BL20" s="6003"/>
      <c r="BM20" s="6003"/>
      <c r="BN20" s="6003"/>
      <c r="BO20" s="6003"/>
      <c r="BP20" s="6003"/>
      <c r="BQ20" s="6003"/>
      <c r="BR20" s="6003"/>
      <c r="BS20" s="6003"/>
      <c r="BT20" s="6003"/>
      <c r="BU20" s="6003"/>
      <c r="BV20" s="6004"/>
      <c r="BW20" s="450"/>
      <c r="BX20" s="444"/>
      <c r="BY20" s="444"/>
      <c r="BZ20" s="906"/>
      <c r="CA20" s="6002"/>
      <c r="CB20" s="6003"/>
      <c r="CC20" s="6003"/>
      <c r="CD20" s="6003"/>
      <c r="CE20" s="6003"/>
      <c r="CF20" s="6003"/>
      <c r="CG20" s="6003"/>
      <c r="CH20" s="6003"/>
      <c r="CI20" s="6003"/>
      <c r="CJ20" s="6003"/>
      <c r="CK20" s="6003"/>
      <c r="CL20" s="6003"/>
      <c r="CM20" s="6003"/>
      <c r="CN20" s="6003"/>
      <c r="CO20" s="6004"/>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601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13"/>
      <c r="E22" s="6013"/>
      <c r="F22" s="6013"/>
      <c r="G22" s="6020"/>
      <c r="H22" s="454" t="s">
        <v>1333</v>
      </c>
      <c r="I22" s="455">
        <f>B22</f>
        <v>4</v>
      </c>
      <c r="J22" s="6005" t="s">
        <v>6388</v>
      </c>
      <c r="K22" s="6005"/>
      <c r="L22" s="6005"/>
      <c r="M22" s="5972" t="e">
        <f>IF(C22=0,"",VLOOKUP(C22,'Tablas Magia'!$D$6:$Z$680,2,FALSE))</f>
        <v>#N/A</v>
      </c>
      <c r="N22" s="5972"/>
      <c r="O22" s="1959"/>
      <c r="P22" s="6016" t="str">
        <f>IFERROR(IF(M22="Libre Acceso","Aprendido",IF(IFERROR(VLOOKUP(M22,Místicos!$C$15:$H$25,6,0)&gt;=I22,FALSE),"Aprendido",IF(IFERROR(VLOOKUP(M22,Místicos!$E$15:$H$25,4,0)&gt;=I22,FALSE),"Aprendido",""))),"")</f>
        <v/>
      </c>
      <c r="Q22" s="6017"/>
      <c r="R22" s="450"/>
      <c r="S22" s="444"/>
      <c r="T22" s="444"/>
      <c r="U22" s="906">
        <f>U11+2</f>
        <v>24</v>
      </c>
      <c r="V22" s="601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13"/>
      <c r="X22" s="6013"/>
      <c r="Y22" s="6013"/>
      <c r="Z22" s="6020"/>
      <c r="AA22" s="454" t="s">
        <v>1333</v>
      </c>
      <c r="AB22" s="455">
        <f>U22</f>
        <v>24</v>
      </c>
      <c r="AC22" s="6005" t="s">
        <v>6388</v>
      </c>
      <c r="AD22" s="6005"/>
      <c r="AE22" s="6005"/>
      <c r="AF22" s="5972" t="e">
        <f>IF(V22=0,"",VLOOKUP(V22,'Tablas Magia'!$D$6:$Z$680,2,FALSE))</f>
        <v>#N/A</v>
      </c>
      <c r="AG22" s="5972"/>
      <c r="AH22" s="1959"/>
      <c r="AI22" s="6016" t="str">
        <f>IFERROR(IF(AF22="Libre Acceso","Aprendido",IF(IFERROR(VLOOKUP(AF22,Místicos!$C$15:$H$25,6,0)&gt;=AB22,FALSE),"Aprendido",IF(IFERROR(VLOOKUP(AF22,Místicos!$E$15:$H$25,4,0)&gt;=AB22,FALSE),"Aprendido",""))),"")</f>
        <v/>
      </c>
      <c r="AJ22" s="6017"/>
      <c r="AK22" s="450"/>
      <c r="AL22" s="444"/>
      <c r="AM22" s="499"/>
      <c r="AN22" s="906">
        <f>AN11+2</f>
        <v>44</v>
      </c>
      <c r="AO22" s="601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13"/>
      <c r="AQ22" s="6013"/>
      <c r="AR22" s="6013"/>
      <c r="AS22" s="6020"/>
      <c r="AT22" s="454" t="s">
        <v>1333</v>
      </c>
      <c r="AU22" s="455">
        <f>AN22</f>
        <v>44</v>
      </c>
      <c r="AV22" s="6005" t="s">
        <v>6388</v>
      </c>
      <c r="AW22" s="6005"/>
      <c r="AX22" s="6005"/>
      <c r="AY22" s="5972" t="e">
        <f>IF(AO22=0,"",VLOOKUP(AO22,'Tablas Magia'!$D$6:$Z$680,2,FALSE))</f>
        <v>#N/A</v>
      </c>
      <c r="AZ22" s="5972"/>
      <c r="BA22" s="1959"/>
      <c r="BB22" s="6016" t="str">
        <f>IFERROR(IF(AY22="Libre Acceso","Aprendido",IF(IFERROR(VLOOKUP(AY22,Místicos!$C$15:$H$25,6,0)&gt;=AU22,FALSE),"Aprendido",IF(IFERROR(VLOOKUP(AY22,Místicos!$E$15:$H$25,4,0)&gt;=AU22,FALSE),"Aprendido",""))),"")</f>
        <v/>
      </c>
      <c r="BC22" s="6017"/>
      <c r="BD22" s="450"/>
      <c r="BE22" s="444"/>
      <c r="BF22" s="444"/>
      <c r="BG22" s="906">
        <f>BG11+2</f>
        <v>64</v>
      </c>
      <c r="BH22" s="601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13"/>
      <c r="BJ22" s="6013"/>
      <c r="BK22" s="6013"/>
      <c r="BL22" s="6020"/>
      <c r="BM22" s="454" t="s">
        <v>1333</v>
      </c>
      <c r="BN22" s="455">
        <f>BG22</f>
        <v>64</v>
      </c>
      <c r="BO22" s="6005" t="s">
        <v>6388</v>
      </c>
      <c r="BP22" s="6005"/>
      <c r="BQ22" s="6005"/>
      <c r="BR22" s="5972" t="e">
        <f>IF(BH22=0,"",VLOOKUP(BH22,'Tablas Magia'!$D$6:$Z$680,2,FALSE))</f>
        <v>#N/A</v>
      </c>
      <c r="BS22" s="5972"/>
      <c r="BT22" s="1959"/>
      <c r="BU22" s="6016" t="str">
        <f>IFERROR(IF(BR22="Libre Acceso","Aprendido",IF(IFERROR(VLOOKUP(BR22,Místicos!$C$15:$H$25,6,0)&gt;=BN22,FALSE),"Aprendido",IF(IFERROR(VLOOKUP(BR22,Místicos!$E$15:$H$25,4,0)&gt;=BN22,FALSE),"Aprendido",""))),"")</f>
        <v/>
      </c>
      <c r="BV22" s="6017"/>
      <c r="BW22" s="450"/>
      <c r="BX22" s="444"/>
      <c r="BY22" s="444"/>
      <c r="BZ22" s="906">
        <f>BZ11+2</f>
        <v>84</v>
      </c>
      <c r="CA22" s="601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13"/>
      <c r="CC22" s="6013"/>
      <c r="CD22" s="6013"/>
      <c r="CE22" s="6020"/>
      <c r="CF22" s="454" t="s">
        <v>1333</v>
      </c>
      <c r="CG22" s="455">
        <f>BZ22</f>
        <v>84</v>
      </c>
      <c r="CH22" s="6005" t="s">
        <v>6388</v>
      </c>
      <c r="CI22" s="6005"/>
      <c r="CJ22" s="6005"/>
      <c r="CK22" s="5972" t="e">
        <f>IF(CA22=0,"",VLOOKUP(CA22,'Tablas Magia'!$D$6:$Z$680,2,FALSE))</f>
        <v>#N/A</v>
      </c>
      <c r="CL22" s="5972"/>
      <c r="CM22" s="1959"/>
      <c r="CN22" s="6016" t="str">
        <f>IFERROR(IF(CK22="Libre Acceso","Aprendido",IF(IFERROR(VLOOKUP(CK22,Místicos!$C$15:$H$25,6,0)&gt;=CG22,FALSE),"Aprendido",IF(IFERROR(VLOOKUP(CK22,Místicos!$E$15:$H$25,4,0)&gt;=CG22,FALSE),"Aprendido",""))),"")</f>
        <v/>
      </c>
      <c r="CO22" s="6017"/>
      <c r="CP22" s="450"/>
      <c r="CQ22" s="444"/>
    </row>
    <row r="23" spans="1:95" ht="12" customHeight="1" x14ac:dyDescent="0.2">
      <c r="A23" s="444"/>
      <c r="B23" s="906"/>
      <c r="C23" s="5989" t="s">
        <v>6389</v>
      </c>
      <c r="D23" s="6006"/>
      <c r="E23" s="1972" t="s">
        <v>6390</v>
      </c>
      <c r="F23" s="1972" t="s">
        <v>1517</v>
      </c>
      <c r="G23" s="1972" t="s">
        <v>2914</v>
      </c>
      <c r="H23" s="1973" t="s">
        <v>1845</v>
      </c>
      <c r="I23" s="6007" t="e">
        <f>IF(C22=0,"",VLOOKUP(C22,'Tablas Magia'!$D$6:$Z$680,5,FALSE))</f>
        <v>#N/A</v>
      </c>
      <c r="J23" s="6007"/>
      <c r="K23" s="6018" t="s">
        <v>6391</v>
      </c>
      <c r="L23" s="6018"/>
      <c r="M23" s="6007" t="e">
        <f>IF(C22=0,"",VLOOKUP(C22,'Tablas Magia'!$D$6:$Z$680,6,FALSE))</f>
        <v>#N/A</v>
      </c>
      <c r="N23" s="6007"/>
      <c r="O23" s="6008" t="s">
        <v>6392</v>
      </c>
      <c r="P23" s="6008"/>
      <c r="Q23" s="1974" t="e">
        <f>IF(C22=0,"",VLOOKUP(C22,'Tablas Magia'!$D$6:$Z$680,4,FALSE))</f>
        <v>#N/A</v>
      </c>
      <c r="R23" s="450"/>
      <c r="S23" s="444"/>
      <c r="T23" s="444"/>
      <c r="U23" s="906"/>
      <c r="V23" s="5989" t="s">
        <v>6389</v>
      </c>
      <c r="W23" s="6006"/>
      <c r="X23" s="1972" t="s">
        <v>6390</v>
      </c>
      <c r="Y23" s="1972" t="s">
        <v>1517</v>
      </c>
      <c r="Z23" s="1972" t="s">
        <v>2914</v>
      </c>
      <c r="AA23" s="1973" t="s">
        <v>1845</v>
      </c>
      <c r="AB23" s="6007" t="e">
        <f>IF(V22=0,"",VLOOKUP(V22,'Tablas Magia'!$D$6:$Z$680,5,FALSE))</f>
        <v>#N/A</v>
      </c>
      <c r="AC23" s="6007"/>
      <c r="AD23" s="6018" t="s">
        <v>6391</v>
      </c>
      <c r="AE23" s="6018"/>
      <c r="AF23" s="6007" t="e">
        <f>IF(V22=0,"",VLOOKUP(V22,'Tablas Magia'!$D$6:$Z$680,6,FALSE))</f>
        <v>#N/A</v>
      </c>
      <c r="AG23" s="6007"/>
      <c r="AH23" s="6008" t="s">
        <v>6392</v>
      </c>
      <c r="AI23" s="6008"/>
      <c r="AJ23" s="1974" t="e">
        <f>IF(V22=0,"",VLOOKUP(V22,'Tablas Magia'!$D$6:$Z$680,4,FALSE))</f>
        <v>#N/A</v>
      </c>
      <c r="AK23" s="450"/>
      <c r="AL23" s="444"/>
      <c r="AM23" s="499"/>
      <c r="AN23" s="906"/>
      <c r="AO23" s="5989" t="s">
        <v>6389</v>
      </c>
      <c r="AP23" s="6006"/>
      <c r="AQ23" s="1972" t="s">
        <v>6390</v>
      </c>
      <c r="AR23" s="1972" t="s">
        <v>1517</v>
      </c>
      <c r="AS23" s="1972" t="s">
        <v>2914</v>
      </c>
      <c r="AT23" s="1973" t="s">
        <v>1845</v>
      </c>
      <c r="AU23" s="6007" t="e">
        <f>IF(AO22=0,"",VLOOKUP(AO22,'Tablas Magia'!$D$6:$Z$680,5,FALSE))</f>
        <v>#N/A</v>
      </c>
      <c r="AV23" s="6007"/>
      <c r="AW23" s="6018" t="s">
        <v>6391</v>
      </c>
      <c r="AX23" s="6018"/>
      <c r="AY23" s="6007" t="e">
        <f>IF(AO22=0,"",VLOOKUP(AO22,'Tablas Magia'!$D$6:$Z$680,6,FALSE))</f>
        <v>#N/A</v>
      </c>
      <c r="AZ23" s="6007"/>
      <c r="BA23" s="6008" t="s">
        <v>6392</v>
      </c>
      <c r="BB23" s="6008"/>
      <c r="BC23" s="1974" t="e">
        <f>IF(AO22=0,"",VLOOKUP(AO22,'Tablas Magia'!$D$6:$Z$680,4,FALSE))</f>
        <v>#N/A</v>
      </c>
      <c r="BD23" s="450"/>
      <c r="BE23" s="444"/>
      <c r="BF23" s="444"/>
      <c r="BG23" s="906"/>
      <c r="BH23" s="5989" t="s">
        <v>6389</v>
      </c>
      <c r="BI23" s="6006"/>
      <c r="BJ23" s="1972" t="s">
        <v>6390</v>
      </c>
      <c r="BK23" s="1972" t="s">
        <v>1517</v>
      </c>
      <c r="BL23" s="1972" t="s">
        <v>2914</v>
      </c>
      <c r="BM23" s="1973" t="s">
        <v>1845</v>
      </c>
      <c r="BN23" s="6007" t="e">
        <f>IF(BH22=0,"",VLOOKUP(BH22,'Tablas Magia'!$D$6:$Z$680,5,FALSE))</f>
        <v>#N/A</v>
      </c>
      <c r="BO23" s="6007"/>
      <c r="BP23" s="6018" t="s">
        <v>6391</v>
      </c>
      <c r="BQ23" s="6018"/>
      <c r="BR23" s="6007" t="e">
        <f>IF(BH22=0,"",VLOOKUP(BH22,'Tablas Magia'!$D$6:$Z$680,6,FALSE))</f>
        <v>#N/A</v>
      </c>
      <c r="BS23" s="6007"/>
      <c r="BT23" s="6008" t="s">
        <v>6392</v>
      </c>
      <c r="BU23" s="6008"/>
      <c r="BV23" s="1974" t="e">
        <f>IF(BH22=0,"",VLOOKUP(BH22,'Tablas Magia'!$D$6:$Z$680,4,FALSE))</f>
        <v>#N/A</v>
      </c>
      <c r="BW23" s="450"/>
      <c r="BX23" s="444"/>
      <c r="BY23" s="444"/>
      <c r="BZ23" s="906"/>
      <c r="CA23" s="5989" t="s">
        <v>6389</v>
      </c>
      <c r="CB23" s="6006"/>
      <c r="CC23" s="1972" t="s">
        <v>6390</v>
      </c>
      <c r="CD23" s="1972" t="s">
        <v>1517</v>
      </c>
      <c r="CE23" s="1972" t="s">
        <v>2914</v>
      </c>
      <c r="CF23" s="1973" t="s">
        <v>1845</v>
      </c>
      <c r="CG23" s="6007" t="e">
        <f>IF(CA22=0,"",VLOOKUP(CA22,'Tablas Magia'!$D$6:$Z$680,5,FALSE))</f>
        <v>#N/A</v>
      </c>
      <c r="CH23" s="6007"/>
      <c r="CI23" s="6018" t="s">
        <v>6391</v>
      </c>
      <c r="CJ23" s="6018"/>
      <c r="CK23" s="6007" t="e">
        <f>IF(CA22=0,"",VLOOKUP(CA22,'Tablas Magia'!$D$6:$Z$680,6,FALSE))</f>
        <v>#N/A</v>
      </c>
      <c r="CL23" s="6007"/>
      <c r="CM23" s="6008" t="s">
        <v>6392</v>
      </c>
      <c r="CN23" s="6008"/>
      <c r="CO23" s="1974" t="e">
        <f>IF(CA22=0,"",VLOOKUP(CA22,'Tablas Magia'!$D$6:$Z$680,4,FALSE))</f>
        <v>#N/A</v>
      </c>
      <c r="CP23" s="450"/>
      <c r="CQ23" s="444"/>
    </row>
    <row r="24" spans="1:95" ht="12" customHeight="1" x14ac:dyDescent="0.2">
      <c r="A24" s="444"/>
      <c r="B24" s="906"/>
      <c r="C24" s="6014" t="s">
        <v>1373</v>
      </c>
      <c r="D24" s="6015"/>
      <c r="E24" s="459" t="e">
        <f>IF(C22=0,"",VLOOKUP(C22,'Tablas Magia'!$D$6:$Z$680,7,FALSE))</f>
        <v>#N/A</v>
      </c>
      <c r="F24" s="459" t="e">
        <f>IF(C22=0,"",VLOOKUP(C22,'Tablas Magia'!$D$6:$Z$680,11,FALSE))</f>
        <v>#N/A</v>
      </c>
      <c r="G24" s="460" t="e">
        <f>IF(C22=0,"",VLOOKUP(C22,'Tablas Magia'!$D$6:$Z$680,15,FALSE))</f>
        <v>#N/A</v>
      </c>
      <c r="H24" s="6009" t="e">
        <f>IF(C22=0,"",VLOOKUP(C22,'Tablas Magia'!$D$6:$Z$680,19,FALSE))</f>
        <v>#N/A</v>
      </c>
      <c r="I24" s="6010"/>
      <c r="J24" s="6010"/>
      <c r="K24" s="6010"/>
      <c r="L24" s="6010"/>
      <c r="M24" s="6010"/>
      <c r="N24" s="6010"/>
      <c r="O24" s="6010"/>
      <c r="P24" s="6010"/>
      <c r="Q24" s="6011"/>
      <c r="R24" s="450"/>
      <c r="S24" s="444"/>
      <c r="T24" s="444"/>
      <c r="U24" s="906"/>
      <c r="V24" s="6014" t="s">
        <v>1373</v>
      </c>
      <c r="W24" s="6015"/>
      <c r="X24" s="459" t="e">
        <f>IF(V22=0,"",VLOOKUP(V22,'Tablas Magia'!$D$6:$Z$680,7,FALSE))</f>
        <v>#N/A</v>
      </c>
      <c r="Y24" s="459" t="e">
        <f>IF(V22=0,"",VLOOKUP(V22,'Tablas Magia'!$D$6:$Z$680,11,FALSE))</f>
        <v>#N/A</v>
      </c>
      <c r="Z24" s="460" t="e">
        <f>IF(V22=0,"",VLOOKUP(V22,'Tablas Magia'!$D$6:$Z$680,15,FALSE))</f>
        <v>#N/A</v>
      </c>
      <c r="AA24" s="6009" t="e">
        <f>IF(V22=0,"",VLOOKUP(V22,'Tablas Magia'!$D$6:$Z$680,19,FALSE))</f>
        <v>#N/A</v>
      </c>
      <c r="AB24" s="6010"/>
      <c r="AC24" s="6010"/>
      <c r="AD24" s="6010"/>
      <c r="AE24" s="6010"/>
      <c r="AF24" s="6010"/>
      <c r="AG24" s="6010"/>
      <c r="AH24" s="6010"/>
      <c r="AI24" s="6010"/>
      <c r="AJ24" s="6011"/>
      <c r="AK24" s="450"/>
      <c r="AL24" s="444"/>
      <c r="AM24" s="499"/>
      <c r="AN24" s="906"/>
      <c r="AO24" s="6014" t="s">
        <v>1373</v>
      </c>
      <c r="AP24" s="6015"/>
      <c r="AQ24" s="459" t="e">
        <f>IF(AO22=0,"",VLOOKUP(AO22,'Tablas Magia'!$D$6:$Z$680,7,FALSE))</f>
        <v>#N/A</v>
      </c>
      <c r="AR24" s="459" t="e">
        <f>IF(AO22=0,"",VLOOKUP(AO22,'Tablas Magia'!$D$6:$Z$680,11,FALSE))</f>
        <v>#N/A</v>
      </c>
      <c r="AS24" s="460" t="e">
        <f>IF(AO22=0,"",VLOOKUP(AO22,'Tablas Magia'!$D$6:$Z$680,15,FALSE))</f>
        <v>#N/A</v>
      </c>
      <c r="AT24" s="6009" t="e">
        <f>IF(AO22=0,"",VLOOKUP(AO22,'Tablas Magia'!$D$6:$Z$680,19,FALSE))</f>
        <v>#N/A</v>
      </c>
      <c r="AU24" s="6010"/>
      <c r="AV24" s="6010"/>
      <c r="AW24" s="6010"/>
      <c r="AX24" s="6010"/>
      <c r="AY24" s="6010"/>
      <c r="AZ24" s="6010"/>
      <c r="BA24" s="6010"/>
      <c r="BB24" s="6010"/>
      <c r="BC24" s="6011"/>
      <c r="BD24" s="450"/>
      <c r="BE24" s="444"/>
      <c r="BF24" s="444"/>
      <c r="BG24" s="906"/>
      <c r="BH24" s="6014" t="s">
        <v>1373</v>
      </c>
      <c r="BI24" s="6015"/>
      <c r="BJ24" s="459" t="e">
        <f>IF(BH22=0,"",VLOOKUP(BH22,'Tablas Magia'!$D$6:$Z$680,7,FALSE))</f>
        <v>#N/A</v>
      </c>
      <c r="BK24" s="459" t="e">
        <f>IF(BH22=0,"",VLOOKUP(BH22,'Tablas Magia'!$D$6:$Z$680,11,FALSE))</f>
        <v>#N/A</v>
      </c>
      <c r="BL24" s="460" t="e">
        <f>IF(BH22=0,"",VLOOKUP(BH22,'Tablas Magia'!$D$6:$Z$680,15,FALSE))</f>
        <v>#N/A</v>
      </c>
      <c r="BM24" s="6009" t="e">
        <f>IF(BH22=0,"",VLOOKUP(BH22,'Tablas Magia'!$D$6:$Z$680,19,FALSE))</f>
        <v>#N/A</v>
      </c>
      <c r="BN24" s="6010"/>
      <c r="BO24" s="6010"/>
      <c r="BP24" s="6010"/>
      <c r="BQ24" s="6010"/>
      <c r="BR24" s="6010"/>
      <c r="BS24" s="6010"/>
      <c r="BT24" s="6010"/>
      <c r="BU24" s="6010"/>
      <c r="BV24" s="6011"/>
      <c r="BW24" s="450"/>
      <c r="BX24" s="444"/>
      <c r="BY24" s="444"/>
      <c r="BZ24" s="906"/>
      <c r="CA24" s="6014" t="s">
        <v>1373</v>
      </c>
      <c r="CB24" s="6015"/>
      <c r="CC24" s="459" t="e">
        <f>IF(CA22=0,"",VLOOKUP(CA22,'Tablas Magia'!$D$6:$Z$680,7,FALSE))</f>
        <v>#N/A</v>
      </c>
      <c r="CD24" s="459" t="e">
        <f>IF(CA22=0,"",VLOOKUP(CA22,'Tablas Magia'!$D$6:$Z$680,11,FALSE))</f>
        <v>#N/A</v>
      </c>
      <c r="CE24" s="460" t="e">
        <f>IF(CA22=0,"",VLOOKUP(CA22,'Tablas Magia'!$D$6:$Z$680,15,FALSE))</f>
        <v>#N/A</v>
      </c>
      <c r="CF24" s="6009" t="e">
        <f>IF(CA22=0,"",VLOOKUP(CA22,'Tablas Magia'!$D$6:$Z$680,19,FALSE))</f>
        <v>#N/A</v>
      </c>
      <c r="CG24" s="6010"/>
      <c r="CH24" s="6010"/>
      <c r="CI24" s="6010"/>
      <c r="CJ24" s="6010"/>
      <c r="CK24" s="6010"/>
      <c r="CL24" s="6010"/>
      <c r="CM24" s="6010"/>
      <c r="CN24" s="6010"/>
      <c r="CO24" s="6011"/>
      <c r="CP24" s="450"/>
      <c r="CQ24" s="444"/>
    </row>
    <row r="25" spans="1:95" ht="12" customHeight="1" x14ac:dyDescent="0.2">
      <c r="A25" s="444"/>
      <c r="B25" s="906"/>
      <c r="C25" s="5976" t="s">
        <v>3285</v>
      </c>
      <c r="D25" s="5977"/>
      <c r="E25" s="461" t="e">
        <f>IF(C22=0,"",VLOOKUP(C22,'Tablas Magia'!$D$6:$Z$680,8,FALSE))</f>
        <v>#N/A</v>
      </c>
      <c r="F25" s="461" t="e">
        <f>IF(C22=0,"",VLOOKUP(C22,'Tablas Magia'!$D$6:$Z$680,12,FALSE))</f>
        <v>#N/A</v>
      </c>
      <c r="G25" s="462" t="e">
        <f>IF(C22=0,"",VLOOKUP(C22,'Tablas Magia'!$D$6:$Z$680,16,FALSE))</f>
        <v>#N/A</v>
      </c>
      <c r="H25" s="5978" t="e">
        <f>IF(C22=0,"",VLOOKUP(C22,'Tablas Magia'!$D$6:$Z$680,20,FALSE))</f>
        <v>#N/A</v>
      </c>
      <c r="I25" s="5979"/>
      <c r="J25" s="5979"/>
      <c r="K25" s="5979"/>
      <c r="L25" s="5979"/>
      <c r="M25" s="5979"/>
      <c r="N25" s="5979"/>
      <c r="O25" s="5979"/>
      <c r="P25" s="5979"/>
      <c r="Q25" s="5980"/>
      <c r="R25" s="450"/>
      <c r="S25" s="444"/>
      <c r="T25" s="444"/>
      <c r="U25" s="906"/>
      <c r="V25" s="5976" t="s">
        <v>3285</v>
      </c>
      <c r="W25" s="5977"/>
      <c r="X25" s="461" t="e">
        <f>IF(V22=0,"",VLOOKUP(V22,'Tablas Magia'!$D$6:$Z$680,8,FALSE))</f>
        <v>#N/A</v>
      </c>
      <c r="Y25" s="461" t="e">
        <f>IF(V22=0,"",VLOOKUP(V22,'Tablas Magia'!$D$6:$Z$680,12,FALSE))</f>
        <v>#N/A</v>
      </c>
      <c r="Z25" s="462" t="e">
        <f>IF(V22=0,"",VLOOKUP(V22,'Tablas Magia'!$D$6:$Z$680,16,FALSE))</f>
        <v>#N/A</v>
      </c>
      <c r="AA25" s="5978" t="e">
        <f>IF(V22=0,"",VLOOKUP(V22,'Tablas Magia'!$D$6:$Z$680,20,FALSE))</f>
        <v>#N/A</v>
      </c>
      <c r="AB25" s="5979"/>
      <c r="AC25" s="5979"/>
      <c r="AD25" s="5979"/>
      <c r="AE25" s="5979"/>
      <c r="AF25" s="5979"/>
      <c r="AG25" s="5979"/>
      <c r="AH25" s="5979"/>
      <c r="AI25" s="5979"/>
      <c r="AJ25" s="5980"/>
      <c r="AK25" s="450"/>
      <c r="AL25" s="444"/>
      <c r="AM25" s="499"/>
      <c r="AN25" s="906"/>
      <c r="AO25" s="5976" t="s">
        <v>3285</v>
      </c>
      <c r="AP25" s="5977"/>
      <c r="AQ25" s="461" t="e">
        <f>IF(AO22=0,"",VLOOKUP(AO22,'Tablas Magia'!$D$6:$Z$680,8,FALSE))</f>
        <v>#N/A</v>
      </c>
      <c r="AR25" s="461" t="e">
        <f>IF(AO22=0,"",VLOOKUP(AO22,'Tablas Magia'!$D$6:$Z$680,12,FALSE))</f>
        <v>#N/A</v>
      </c>
      <c r="AS25" s="462" t="e">
        <f>IF(AO22=0,"",VLOOKUP(AO22,'Tablas Magia'!$D$6:$Z$680,16,FALSE))</f>
        <v>#N/A</v>
      </c>
      <c r="AT25" s="5978" t="e">
        <f>IF(AO22=0,"",VLOOKUP(AO22,'Tablas Magia'!$D$6:$Z$680,20,FALSE))</f>
        <v>#N/A</v>
      </c>
      <c r="AU25" s="5979"/>
      <c r="AV25" s="5979"/>
      <c r="AW25" s="5979"/>
      <c r="AX25" s="5979"/>
      <c r="AY25" s="5979"/>
      <c r="AZ25" s="5979"/>
      <c r="BA25" s="5979"/>
      <c r="BB25" s="5979"/>
      <c r="BC25" s="5980"/>
      <c r="BD25" s="450"/>
      <c r="BE25" s="444"/>
      <c r="BF25" s="444"/>
      <c r="BG25" s="906"/>
      <c r="BH25" s="5976" t="s">
        <v>3285</v>
      </c>
      <c r="BI25" s="5977"/>
      <c r="BJ25" s="461" t="e">
        <f>IF(BH22=0,"",VLOOKUP(BH22,'Tablas Magia'!$D$6:$Z$680,8,FALSE))</f>
        <v>#N/A</v>
      </c>
      <c r="BK25" s="461" t="e">
        <f>IF(BH22=0,"",VLOOKUP(BH22,'Tablas Magia'!$D$6:$Z$680,12,FALSE))</f>
        <v>#N/A</v>
      </c>
      <c r="BL25" s="462" t="e">
        <f>IF(BH22=0,"",VLOOKUP(BH22,'Tablas Magia'!$D$6:$Z$680,16,FALSE))</f>
        <v>#N/A</v>
      </c>
      <c r="BM25" s="5978" t="e">
        <f>IF(BH22=0,"",VLOOKUP(BH22,'Tablas Magia'!$D$6:$Z$680,20,FALSE))</f>
        <v>#N/A</v>
      </c>
      <c r="BN25" s="5979"/>
      <c r="BO25" s="5979"/>
      <c r="BP25" s="5979"/>
      <c r="BQ25" s="5979"/>
      <c r="BR25" s="5979"/>
      <c r="BS25" s="5979"/>
      <c r="BT25" s="5979"/>
      <c r="BU25" s="5979"/>
      <c r="BV25" s="5980"/>
      <c r="BW25" s="450"/>
      <c r="BX25" s="444"/>
      <c r="BY25" s="444"/>
      <c r="BZ25" s="906"/>
      <c r="CA25" s="5976" t="s">
        <v>3285</v>
      </c>
      <c r="CB25" s="5977"/>
      <c r="CC25" s="461" t="e">
        <f>IF(CA22=0,"",VLOOKUP(CA22,'Tablas Magia'!$D$6:$Z$680,8,FALSE))</f>
        <v>#N/A</v>
      </c>
      <c r="CD25" s="461" t="e">
        <f>IF(CA22=0,"",VLOOKUP(CA22,'Tablas Magia'!$D$6:$Z$680,12,FALSE))</f>
        <v>#N/A</v>
      </c>
      <c r="CE25" s="462" t="e">
        <f>IF(CA22=0,"",VLOOKUP(CA22,'Tablas Magia'!$D$6:$Z$680,16,FALSE))</f>
        <v>#N/A</v>
      </c>
      <c r="CF25" s="5978" t="e">
        <f>IF(CA22=0,"",VLOOKUP(CA22,'Tablas Magia'!$D$6:$Z$680,20,FALSE))</f>
        <v>#N/A</v>
      </c>
      <c r="CG25" s="5979"/>
      <c r="CH25" s="5979"/>
      <c r="CI25" s="5979"/>
      <c r="CJ25" s="5979"/>
      <c r="CK25" s="5979"/>
      <c r="CL25" s="5979"/>
      <c r="CM25" s="5979"/>
      <c r="CN25" s="5979"/>
      <c r="CO25" s="5980"/>
      <c r="CP25" s="450"/>
      <c r="CQ25" s="444"/>
    </row>
    <row r="26" spans="1:95" ht="12" customHeight="1" x14ac:dyDescent="0.2">
      <c r="A26" s="444"/>
      <c r="B26" s="906"/>
      <c r="C26" s="5981" t="s">
        <v>3286</v>
      </c>
      <c r="D26" s="5982"/>
      <c r="E26" s="459" t="e">
        <f>IF(C22=0,"",VLOOKUP(C22,'Tablas Magia'!$D$6:$Z$680,9,FALSE))</f>
        <v>#N/A</v>
      </c>
      <c r="F26" s="459" t="e">
        <f>IF(C22=0,"",VLOOKUP(C22,'Tablas Magia'!$D$6:$Z$680,13,FALSE))</f>
        <v>#N/A</v>
      </c>
      <c r="G26" s="460" t="e">
        <f>IF(C22=0,"",VLOOKUP(C22,'Tablas Magia'!$D$6:$Z$680,17,FALSE))</f>
        <v>#N/A</v>
      </c>
      <c r="H26" s="5983" t="e">
        <f>IF(C22=0,"",VLOOKUP(C22,'Tablas Magia'!$D$6:$Z$680,21,FALSE))</f>
        <v>#N/A</v>
      </c>
      <c r="I26" s="5984"/>
      <c r="J26" s="5984"/>
      <c r="K26" s="5984"/>
      <c r="L26" s="5984"/>
      <c r="M26" s="5984"/>
      <c r="N26" s="5984"/>
      <c r="O26" s="5984"/>
      <c r="P26" s="5984"/>
      <c r="Q26" s="5985"/>
      <c r="R26" s="450"/>
      <c r="S26" s="444"/>
      <c r="T26" s="444"/>
      <c r="U26" s="906"/>
      <c r="V26" s="5981" t="s">
        <v>3286</v>
      </c>
      <c r="W26" s="5982"/>
      <c r="X26" s="459" t="e">
        <f>IF(V22=0,"",VLOOKUP(V22,'Tablas Magia'!$D$6:$Z$680,9,FALSE))</f>
        <v>#N/A</v>
      </c>
      <c r="Y26" s="459" t="e">
        <f>IF(V22=0,"",VLOOKUP(V22,'Tablas Magia'!$D$6:$Z$680,13,FALSE))</f>
        <v>#N/A</v>
      </c>
      <c r="Z26" s="460" t="e">
        <f>IF(V22=0,"",VLOOKUP(V22,'Tablas Magia'!$D$6:$Z$680,17,FALSE))</f>
        <v>#N/A</v>
      </c>
      <c r="AA26" s="5983" t="e">
        <f>IF(V22=0,"",VLOOKUP(V22,'Tablas Magia'!$D$6:$Z$680,21,FALSE))</f>
        <v>#N/A</v>
      </c>
      <c r="AB26" s="5984"/>
      <c r="AC26" s="5984"/>
      <c r="AD26" s="5984"/>
      <c r="AE26" s="5984"/>
      <c r="AF26" s="5984"/>
      <c r="AG26" s="5984"/>
      <c r="AH26" s="5984"/>
      <c r="AI26" s="5984"/>
      <c r="AJ26" s="5985"/>
      <c r="AK26" s="450"/>
      <c r="AL26" s="444"/>
      <c r="AM26" s="499"/>
      <c r="AN26" s="906"/>
      <c r="AO26" s="5981" t="s">
        <v>3286</v>
      </c>
      <c r="AP26" s="5982"/>
      <c r="AQ26" s="459" t="e">
        <f>IF(AO22=0,"",VLOOKUP(AO22,'Tablas Magia'!$D$6:$Z$680,9,FALSE))</f>
        <v>#N/A</v>
      </c>
      <c r="AR26" s="459" t="e">
        <f>IF(AO22=0,"",VLOOKUP(AO22,'Tablas Magia'!$D$6:$Z$680,13,FALSE))</f>
        <v>#N/A</v>
      </c>
      <c r="AS26" s="460" t="e">
        <f>IF(AO22=0,"",VLOOKUP(AO22,'Tablas Magia'!$D$6:$Z$680,17,FALSE))</f>
        <v>#N/A</v>
      </c>
      <c r="AT26" s="5983" t="e">
        <f>IF(AO22=0,"",VLOOKUP(AO22,'Tablas Magia'!$D$6:$Z$680,21,FALSE))</f>
        <v>#N/A</v>
      </c>
      <c r="AU26" s="5984"/>
      <c r="AV26" s="5984"/>
      <c r="AW26" s="5984"/>
      <c r="AX26" s="5984"/>
      <c r="AY26" s="5984"/>
      <c r="AZ26" s="5984"/>
      <c r="BA26" s="5984"/>
      <c r="BB26" s="5984"/>
      <c r="BC26" s="5985"/>
      <c r="BD26" s="450"/>
      <c r="BE26" s="444"/>
      <c r="BF26" s="444"/>
      <c r="BG26" s="906"/>
      <c r="BH26" s="5981" t="s">
        <v>3286</v>
      </c>
      <c r="BI26" s="5982"/>
      <c r="BJ26" s="459" t="e">
        <f>IF(BH22=0,"",VLOOKUP(BH22,'Tablas Magia'!$D$6:$Z$680,9,FALSE))</f>
        <v>#N/A</v>
      </c>
      <c r="BK26" s="459" t="e">
        <f>IF(BH22=0,"",VLOOKUP(BH22,'Tablas Magia'!$D$6:$Z$680,13,FALSE))</f>
        <v>#N/A</v>
      </c>
      <c r="BL26" s="460" t="e">
        <f>IF(BH22=0,"",VLOOKUP(BH22,'Tablas Magia'!$D$6:$Z$680,17,FALSE))</f>
        <v>#N/A</v>
      </c>
      <c r="BM26" s="5983" t="e">
        <f>IF(BH22=0,"",VLOOKUP(BH22,'Tablas Magia'!$D$6:$Z$680,21,FALSE))</f>
        <v>#N/A</v>
      </c>
      <c r="BN26" s="5984"/>
      <c r="BO26" s="5984"/>
      <c r="BP26" s="5984"/>
      <c r="BQ26" s="5984"/>
      <c r="BR26" s="5984"/>
      <c r="BS26" s="5984"/>
      <c r="BT26" s="5984"/>
      <c r="BU26" s="5984"/>
      <c r="BV26" s="5985"/>
      <c r="BW26" s="450"/>
      <c r="BX26" s="444"/>
      <c r="BY26" s="444"/>
      <c r="BZ26" s="906"/>
      <c r="CA26" s="5981" t="s">
        <v>3286</v>
      </c>
      <c r="CB26" s="5982"/>
      <c r="CC26" s="459" t="e">
        <f>IF(CA22=0,"",VLOOKUP(CA22,'Tablas Magia'!$D$6:$Z$680,9,FALSE))</f>
        <v>#N/A</v>
      </c>
      <c r="CD26" s="459" t="e">
        <f>IF(CA22=0,"",VLOOKUP(CA22,'Tablas Magia'!$D$6:$Z$680,13,FALSE))</f>
        <v>#N/A</v>
      </c>
      <c r="CE26" s="460" t="e">
        <f>IF(CA22=0,"",VLOOKUP(CA22,'Tablas Magia'!$D$6:$Z$680,17,FALSE))</f>
        <v>#N/A</v>
      </c>
      <c r="CF26" s="5983" t="e">
        <f>IF(CA22=0,"",VLOOKUP(CA22,'Tablas Magia'!$D$6:$Z$680,21,FALSE))</f>
        <v>#N/A</v>
      </c>
      <c r="CG26" s="5984"/>
      <c r="CH26" s="5984"/>
      <c r="CI26" s="5984"/>
      <c r="CJ26" s="5984"/>
      <c r="CK26" s="5984"/>
      <c r="CL26" s="5984"/>
      <c r="CM26" s="5984"/>
      <c r="CN26" s="5984"/>
      <c r="CO26" s="5985"/>
      <c r="CP26" s="450"/>
      <c r="CQ26" s="444"/>
    </row>
    <row r="27" spans="1:95" ht="12" customHeight="1" thickBot="1" x14ac:dyDescent="0.25">
      <c r="A27" s="444"/>
      <c r="B27" s="906"/>
      <c r="C27" s="5991" t="s">
        <v>3287</v>
      </c>
      <c r="D27" s="5992"/>
      <c r="E27" s="463" t="e">
        <f>IF(C22=0,"",VLOOKUP(C22,'Tablas Magia'!$D$6:$Z$680,10,FALSE))</f>
        <v>#N/A</v>
      </c>
      <c r="F27" s="463" t="e">
        <f>IF(C22=0,"",VLOOKUP(C22,'Tablas Magia'!$D$6:$Z$680,14,FALSE))</f>
        <v>#N/A</v>
      </c>
      <c r="G27" s="464" t="e">
        <f>IF(C22=0,"",VLOOKUP(C22,'Tablas Magia'!$D$6:$Z$680,18,FALSE))</f>
        <v>#N/A</v>
      </c>
      <c r="H27" s="5993" t="e">
        <f>IF(C22=0,"",VLOOKUP(C22,'Tablas Magia'!$D$6:$Z$680,22,FALSE))</f>
        <v>#N/A</v>
      </c>
      <c r="I27" s="5994"/>
      <c r="J27" s="5994"/>
      <c r="K27" s="5994"/>
      <c r="L27" s="5994"/>
      <c r="M27" s="5994"/>
      <c r="N27" s="5994"/>
      <c r="O27" s="5994"/>
      <c r="P27" s="5994"/>
      <c r="Q27" s="5995"/>
      <c r="R27" s="450"/>
      <c r="S27" s="444"/>
      <c r="T27" s="444"/>
      <c r="U27" s="906"/>
      <c r="V27" s="5991" t="s">
        <v>3287</v>
      </c>
      <c r="W27" s="5992"/>
      <c r="X27" s="463" t="e">
        <f>IF(V22=0,"",VLOOKUP(V22,'Tablas Magia'!$D$6:$Z$680,10,FALSE))</f>
        <v>#N/A</v>
      </c>
      <c r="Y27" s="463" t="e">
        <f>IF(V22=0,"",VLOOKUP(V22,'Tablas Magia'!$D$6:$Z$680,14,FALSE))</f>
        <v>#N/A</v>
      </c>
      <c r="Z27" s="464" t="e">
        <f>IF(V22=0,"",VLOOKUP(V22,'Tablas Magia'!$D$6:$Z$680,18,FALSE))</f>
        <v>#N/A</v>
      </c>
      <c r="AA27" s="5993" t="e">
        <f>IF(V22=0,"",VLOOKUP(V22,'Tablas Magia'!$D$6:$Z$680,22,FALSE))</f>
        <v>#N/A</v>
      </c>
      <c r="AB27" s="5994"/>
      <c r="AC27" s="5994"/>
      <c r="AD27" s="5994"/>
      <c r="AE27" s="5994"/>
      <c r="AF27" s="5994"/>
      <c r="AG27" s="5994"/>
      <c r="AH27" s="5994"/>
      <c r="AI27" s="5994"/>
      <c r="AJ27" s="5995"/>
      <c r="AK27" s="450"/>
      <c r="AL27" s="444"/>
      <c r="AM27" s="499"/>
      <c r="AN27" s="906"/>
      <c r="AO27" s="5991" t="s">
        <v>3287</v>
      </c>
      <c r="AP27" s="5992"/>
      <c r="AQ27" s="463" t="e">
        <f>IF(AO22=0,"",VLOOKUP(AO22,'Tablas Magia'!$D$6:$Z$680,10,FALSE))</f>
        <v>#N/A</v>
      </c>
      <c r="AR27" s="463" t="e">
        <f>IF(AO22=0,"",VLOOKUP(AO22,'Tablas Magia'!$D$6:$Z$680,14,FALSE))</f>
        <v>#N/A</v>
      </c>
      <c r="AS27" s="464" t="e">
        <f>IF(AO22=0,"",VLOOKUP(AO22,'Tablas Magia'!$D$6:$Z$680,18,FALSE))</f>
        <v>#N/A</v>
      </c>
      <c r="AT27" s="5993" t="e">
        <f>IF(AO22=0,"",VLOOKUP(AO22,'Tablas Magia'!$D$6:$Z$680,22,FALSE))</f>
        <v>#N/A</v>
      </c>
      <c r="AU27" s="5994"/>
      <c r="AV27" s="5994"/>
      <c r="AW27" s="5994"/>
      <c r="AX27" s="5994"/>
      <c r="AY27" s="5994"/>
      <c r="AZ27" s="5994"/>
      <c r="BA27" s="5994"/>
      <c r="BB27" s="5994"/>
      <c r="BC27" s="5995"/>
      <c r="BD27" s="450"/>
      <c r="BE27" s="444"/>
      <c r="BF27" s="444"/>
      <c r="BG27" s="906"/>
      <c r="BH27" s="5991" t="s">
        <v>3287</v>
      </c>
      <c r="BI27" s="5992"/>
      <c r="BJ27" s="463" t="e">
        <f>IF(BH22=0,"",VLOOKUP(BH22,'Tablas Magia'!$D$6:$Z$680,10,FALSE))</f>
        <v>#N/A</v>
      </c>
      <c r="BK27" s="463" t="e">
        <f>IF(BH22=0,"",VLOOKUP(BH22,'Tablas Magia'!$D$6:$Z$680,14,FALSE))</f>
        <v>#N/A</v>
      </c>
      <c r="BL27" s="464" t="e">
        <f>IF(BH22=0,"",VLOOKUP(BH22,'Tablas Magia'!$D$6:$Z$680,18,FALSE))</f>
        <v>#N/A</v>
      </c>
      <c r="BM27" s="5993" t="e">
        <f>IF(BH22=0,"",VLOOKUP(BH22,'Tablas Magia'!$D$6:$Z$680,22,FALSE))</f>
        <v>#N/A</v>
      </c>
      <c r="BN27" s="5994"/>
      <c r="BO27" s="5994"/>
      <c r="BP27" s="5994"/>
      <c r="BQ27" s="5994"/>
      <c r="BR27" s="5994"/>
      <c r="BS27" s="5994"/>
      <c r="BT27" s="5994"/>
      <c r="BU27" s="5994"/>
      <c r="BV27" s="5995"/>
      <c r="BW27" s="450"/>
      <c r="BX27" s="444"/>
      <c r="BY27" s="444"/>
      <c r="BZ27" s="906"/>
      <c r="CA27" s="5991" t="s">
        <v>3287</v>
      </c>
      <c r="CB27" s="5992"/>
      <c r="CC27" s="463" t="e">
        <f>IF(CA22=0,"",VLOOKUP(CA22,'Tablas Magia'!$D$6:$Z$680,10,FALSE))</f>
        <v>#N/A</v>
      </c>
      <c r="CD27" s="463" t="e">
        <f>IF(CA22=0,"",VLOOKUP(CA22,'Tablas Magia'!$D$6:$Z$680,14,FALSE))</f>
        <v>#N/A</v>
      </c>
      <c r="CE27" s="464" t="e">
        <f>IF(CA22=0,"",VLOOKUP(CA22,'Tablas Magia'!$D$6:$Z$680,18,FALSE))</f>
        <v>#N/A</v>
      </c>
      <c r="CF27" s="5993" t="e">
        <f>IF(CA22=0,"",VLOOKUP(CA22,'Tablas Magia'!$D$6:$Z$680,22,FALSE))</f>
        <v>#N/A</v>
      </c>
      <c r="CG27" s="5994"/>
      <c r="CH27" s="5994"/>
      <c r="CI27" s="5994"/>
      <c r="CJ27" s="5994"/>
      <c r="CK27" s="5994"/>
      <c r="CL27" s="5994"/>
      <c r="CM27" s="5994"/>
      <c r="CN27" s="5994"/>
      <c r="CO27" s="5995"/>
      <c r="CP27" s="450"/>
      <c r="CQ27" s="444"/>
    </row>
    <row r="28" spans="1:95" ht="12" customHeight="1" x14ac:dyDescent="0.2">
      <c r="A28" s="444"/>
      <c r="B28" s="906"/>
      <c r="C28" s="5996" t="e">
        <f>IF(C22=0,"",VLOOKUP(C22,'Tablas Magia'!$D$6:$Z$680,23,FALSE))</f>
        <v>#N/A</v>
      </c>
      <c r="D28" s="5997"/>
      <c r="E28" s="5997"/>
      <c r="F28" s="5997"/>
      <c r="G28" s="5997"/>
      <c r="H28" s="5997"/>
      <c r="I28" s="5997"/>
      <c r="J28" s="5997"/>
      <c r="K28" s="5997"/>
      <c r="L28" s="5997"/>
      <c r="M28" s="5997"/>
      <c r="N28" s="5997"/>
      <c r="O28" s="5997"/>
      <c r="P28" s="5997"/>
      <c r="Q28" s="5998"/>
      <c r="R28" s="450"/>
      <c r="S28" s="444"/>
      <c r="T28" s="444"/>
      <c r="U28" s="906"/>
      <c r="V28" s="5996" t="e">
        <f>IF(V22=0,"",VLOOKUP(V22,'Tablas Magia'!$D$6:$Z$680,23,FALSE))</f>
        <v>#N/A</v>
      </c>
      <c r="W28" s="5997"/>
      <c r="X28" s="5997"/>
      <c r="Y28" s="5997"/>
      <c r="Z28" s="5997"/>
      <c r="AA28" s="5997"/>
      <c r="AB28" s="5997"/>
      <c r="AC28" s="5997"/>
      <c r="AD28" s="5997"/>
      <c r="AE28" s="5997"/>
      <c r="AF28" s="5997"/>
      <c r="AG28" s="5997"/>
      <c r="AH28" s="5997"/>
      <c r="AI28" s="5997"/>
      <c r="AJ28" s="5998"/>
      <c r="AK28" s="450"/>
      <c r="AL28" s="444"/>
      <c r="AM28" s="499"/>
      <c r="AN28" s="906"/>
      <c r="AO28" s="5996" t="e">
        <f>IF(AO22=0,"",VLOOKUP(AO22,'Tablas Magia'!$D$6:$Z$680,23,FALSE))</f>
        <v>#N/A</v>
      </c>
      <c r="AP28" s="5997"/>
      <c r="AQ28" s="5997"/>
      <c r="AR28" s="5997"/>
      <c r="AS28" s="5997"/>
      <c r="AT28" s="5997"/>
      <c r="AU28" s="5997"/>
      <c r="AV28" s="5997"/>
      <c r="AW28" s="5997"/>
      <c r="AX28" s="5997"/>
      <c r="AY28" s="5997"/>
      <c r="AZ28" s="5997"/>
      <c r="BA28" s="5997"/>
      <c r="BB28" s="5997"/>
      <c r="BC28" s="5998"/>
      <c r="BD28" s="450"/>
      <c r="BE28" s="444"/>
      <c r="BF28" s="444"/>
      <c r="BG28" s="906"/>
      <c r="BH28" s="5996" t="e">
        <f>IF(BH22=0,"",VLOOKUP(BH22,'Tablas Magia'!$D$6:$Z$680,23,FALSE))</f>
        <v>#N/A</v>
      </c>
      <c r="BI28" s="5997"/>
      <c r="BJ28" s="5997"/>
      <c r="BK28" s="5997"/>
      <c r="BL28" s="5997"/>
      <c r="BM28" s="5997"/>
      <c r="BN28" s="5997"/>
      <c r="BO28" s="5997"/>
      <c r="BP28" s="5997"/>
      <c r="BQ28" s="5997"/>
      <c r="BR28" s="5997"/>
      <c r="BS28" s="5997"/>
      <c r="BT28" s="5997"/>
      <c r="BU28" s="5997"/>
      <c r="BV28" s="5998"/>
      <c r="BW28" s="450"/>
      <c r="BX28" s="444"/>
      <c r="BY28" s="444"/>
      <c r="BZ28" s="906"/>
      <c r="CA28" s="5996" t="e">
        <f>IF(CA22=0,"",VLOOKUP(CA22,'Tablas Magia'!$D$6:$Z$680,23,FALSE))</f>
        <v>#N/A</v>
      </c>
      <c r="CB28" s="5997"/>
      <c r="CC28" s="5997"/>
      <c r="CD28" s="5997"/>
      <c r="CE28" s="5997"/>
      <c r="CF28" s="5997"/>
      <c r="CG28" s="5997"/>
      <c r="CH28" s="5997"/>
      <c r="CI28" s="5997"/>
      <c r="CJ28" s="5997"/>
      <c r="CK28" s="5997"/>
      <c r="CL28" s="5997"/>
      <c r="CM28" s="5997"/>
      <c r="CN28" s="5997"/>
      <c r="CO28" s="5998"/>
      <c r="CP28" s="450"/>
      <c r="CQ28" s="444"/>
    </row>
    <row r="29" spans="1:95" ht="12" customHeight="1" x14ac:dyDescent="0.2">
      <c r="A29" s="444"/>
      <c r="B29" s="906"/>
      <c r="C29" s="5999"/>
      <c r="D29" s="6000"/>
      <c r="E29" s="6000"/>
      <c r="F29" s="6000"/>
      <c r="G29" s="6000"/>
      <c r="H29" s="6000"/>
      <c r="I29" s="6000"/>
      <c r="J29" s="6000"/>
      <c r="K29" s="6000"/>
      <c r="L29" s="6000"/>
      <c r="M29" s="6000"/>
      <c r="N29" s="6000"/>
      <c r="O29" s="6000"/>
      <c r="P29" s="6000"/>
      <c r="Q29" s="6001"/>
      <c r="R29" s="450"/>
      <c r="S29" s="444"/>
      <c r="T29" s="444"/>
      <c r="U29" s="906"/>
      <c r="V29" s="5999"/>
      <c r="W29" s="6000"/>
      <c r="X29" s="6000"/>
      <c r="Y29" s="6000"/>
      <c r="Z29" s="6000"/>
      <c r="AA29" s="6000"/>
      <c r="AB29" s="6000"/>
      <c r="AC29" s="6000"/>
      <c r="AD29" s="6000"/>
      <c r="AE29" s="6000"/>
      <c r="AF29" s="6000"/>
      <c r="AG29" s="6000"/>
      <c r="AH29" s="6000"/>
      <c r="AI29" s="6000"/>
      <c r="AJ29" s="6001"/>
      <c r="AK29" s="450"/>
      <c r="AL29" s="444"/>
      <c r="AM29" s="499"/>
      <c r="AN29" s="906"/>
      <c r="AO29" s="5999"/>
      <c r="AP29" s="6000"/>
      <c r="AQ29" s="6000"/>
      <c r="AR29" s="6000"/>
      <c r="AS29" s="6000"/>
      <c r="AT29" s="6000"/>
      <c r="AU29" s="6000"/>
      <c r="AV29" s="6000"/>
      <c r="AW29" s="6000"/>
      <c r="AX29" s="6000"/>
      <c r="AY29" s="6000"/>
      <c r="AZ29" s="6000"/>
      <c r="BA29" s="6000"/>
      <c r="BB29" s="6000"/>
      <c r="BC29" s="6001"/>
      <c r="BD29" s="450"/>
      <c r="BE29" s="444"/>
      <c r="BF29" s="444"/>
      <c r="BG29" s="906"/>
      <c r="BH29" s="5999"/>
      <c r="BI29" s="6000"/>
      <c r="BJ29" s="6000"/>
      <c r="BK29" s="6000"/>
      <c r="BL29" s="6000"/>
      <c r="BM29" s="6000"/>
      <c r="BN29" s="6000"/>
      <c r="BO29" s="6000"/>
      <c r="BP29" s="6000"/>
      <c r="BQ29" s="6000"/>
      <c r="BR29" s="6000"/>
      <c r="BS29" s="6000"/>
      <c r="BT29" s="6000"/>
      <c r="BU29" s="6000"/>
      <c r="BV29" s="6001"/>
      <c r="BW29" s="450"/>
      <c r="BX29" s="444"/>
      <c r="BY29" s="444"/>
      <c r="BZ29" s="906"/>
      <c r="CA29" s="5999"/>
      <c r="CB29" s="6000"/>
      <c r="CC29" s="6000"/>
      <c r="CD29" s="6000"/>
      <c r="CE29" s="6000"/>
      <c r="CF29" s="6000"/>
      <c r="CG29" s="6000"/>
      <c r="CH29" s="6000"/>
      <c r="CI29" s="6000"/>
      <c r="CJ29" s="6000"/>
      <c r="CK29" s="6000"/>
      <c r="CL29" s="6000"/>
      <c r="CM29" s="6000"/>
      <c r="CN29" s="6000"/>
      <c r="CO29" s="6001"/>
      <c r="CP29" s="450"/>
      <c r="CQ29" s="444"/>
    </row>
    <row r="30" spans="1:95" ht="12" customHeight="1" x14ac:dyDescent="0.2">
      <c r="A30" s="444"/>
      <c r="B30" s="906"/>
      <c r="C30" s="5999"/>
      <c r="D30" s="6000"/>
      <c r="E30" s="6000"/>
      <c r="F30" s="6000"/>
      <c r="G30" s="6000"/>
      <c r="H30" s="6000"/>
      <c r="I30" s="6000"/>
      <c r="J30" s="6000"/>
      <c r="K30" s="6000"/>
      <c r="L30" s="6000"/>
      <c r="M30" s="6000"/>
      <c r="N30" s="6000"/>
      <c r="O30" s="6000"/>
      <c r="P30" s="6000"/>
      <c r="Q30" s="6001"/>
      <c r="R30" s="450"/>
      <c r="S30" s="444"/>
      <c r="T30" s="444"/>
      <c r="U30" s="906"/>
      <c r="V30" s="5999"/>
      <c r="W30" s="6000"/>
      <c r="X30" s="6000"/>
      <c r="Y30" s="6000"/>
      <c r="Z30" s="6000"/>
      <c r="AA30" s="6000"/>
      <c r="AB30" s="6000"/>
      <c r="AC30" s="6000"/>
      <c r="AD30" s="6000"/>
      <c r="AE30" s="6000"/>
      <c r="AF30" s="6000"/>
      <c r="AG30" s="6000"/>
      <c r="AH30" s="6000"/>
      <c r="AI30" s="6000"/>
      <c r="AJ30" s="6001"/>
      <c r="AK30" s="450"/>
      <c r="AL30" s="444"/>
      <c r="AM30" s="499"/>
      <c r="AN30" s="906"/>
      <c r="AO30" s="5999"/>
      <c r="AP30" s="6000"/>
      <c r="AQ30" s="6000"/>
      <c r="AR30" s="6000"/>
      <c r="AS30" s="6000"/>
      <c r="AT30" s="6000"/>
      <c r="AU30" s="6000"/>
      <c r="AV30" s="6000"/>
      <c r="AW30" s="6000"/>
      <c r="AX30" s="6000"/>
      <c r="AY30" s="6000"/>
      <c r="AZ30" s="6000"/>
      <c r="BA30" s="6000"/>
      <c r="BB30" s="6000"/>
      <c r="BC30" s="6001"/>
      <c r="BD30" s="450"/>
      <c r="BE30" s="444"/>
      <c r="BF30" s="444"/>
      <c r="BG30" s="906"/>
      <c r="BH30" s="5999"/>
      <c r="BI30" s="6000"/>
      <c r="BJ30" s="6000"/>
      <c r="BK30" s="6000"/>
      <c r="BL30" s="6000"/>
      <c r="BM30" s="6000"/>
      <c r="BN30" s="6000"/>
      <c r="BO30" s="6000"/>
      <c r="BP30" s="6000"/>
      <c r="BQ30" s="6000"/>
      <c r="BR30" s="6000"/>
      <c r="BS30" s="6000"/>
      <c r="BT30" s="6000"/>
      <c r="BU30" s="6000"/>
      <c r="BV30" s="6001"/>
      <c r="BW30" s="450"/>
      <c r="BX30" s="444"/>
      <c r="BY30" s="444"/>
      <c r="BZ30" s="906"/>
      <c r="CA30" s="5999"/>
      <c r="CB30" s="6000"/>
      <c r="CC30" s="6000"/>
      <c r="CD30" s="6000"/>
      <c r="CE30" s="6000"/>
      <c r="CF30" s="6000"/>
      <c r="CG30" s="6000"/>
      <c r="CH30" s="6000"/>
      <c r="CI30" s="6000"/>
      <c r="CJ30" s="6000"/>
      <c r="CK30" s="6000"/>
      <c r="CL30" s="6000"/>
      <c r="CM30" s="6000"/>
      <c r="CN30" s="6000"/>
      <c r="CO30" s="6001"/>
      <c r="CP30" s="450"/>
      <c r="CQ30" s="444"/>
    </row>
    <row r="31" spans="1:95" ht="12" customHeight="1" thickBot="1" x14ac:dyDescent="0.25">
      <c r="A31" s="444"/>
      <c r="B31" s="906"/>
      <c r="C31" s="6002"/>
      <c r="D31" s="6003"/>
      <c r="E31" s="6003"/>
      <c r="F31" s="6003"/>
      <c r="G31" s="6003"/>
      <c r="H31" s="6003"/>
      <c r="I31" s="6003"/>
      <c r="J31" s="6003"/>
      <c r="K31" s="6003"/>
      <c r="L31" s="6003"/>
      <c r="M31" s="6003"/>
      <c r="N31" s="6003"/>
      <c r="O31" s="6003"/>
      <c r="P31" s="6003"/>
      <c r="Q31" s="6004"/>
      <c r="R31" s="450"/>
      <c r="S31" s="444"/>
      <c r="T31" s="444"/>
      <c r="U31" s="906"/>
      <c r="V31" s="6002"/>
      <c r="W31" s="6003"/>
      <c r="X31" s="6003"/>
      <c r="Y31" s="6003"/>
      <c r="Z31" s="6003"/>
      <c r="AA31" s="6003"/>
      <c r="AB31" s="6003"/>
      <c r="AC31" s="6003"/>
      <c r="AD31" s="6003"/>
      <c r="AE31" s="6003"/>
      <c r="AF31" s="6003"/>
      <c r="AG31" s="6003"/>
      <c r="AH31" s="6003"/>
      <c r="AI31" s="6003"/>
      <c r="AJ31" s="6004"/>
      <c r="AK31" s="450"/>
      <c r="AL31" s="444"/>
      <c r="AM31" s="499"/>
      <c r="AN31" s="906"/>
      <c r="AO31" s="6002"/>
      <c r="AP31" s="6003"/>
      <c r="AQ31" s="6003"/>
      <c r="AR31" s="6003"/>
      <c r="AS31" s="6003"/>
      <c r="AT31" s="6003"/>
      <c r="AU31" s="6003"/>
      <c r="AV31" s="6003"/>
      <c r="AW31" s="6003"/>
      <c r="AX31" s="6003"/>
      <c r="AY31" s="6003"/>
      <c r="AZ31" s="6003"/>
      <c r="BA31" s="6003"/>
      <c r="BB31" s="6003"/>
      <c r="BC31" s="6004"/>
      <c r="BD31" s="450"/>
      <c r="BE31" s="444"/>
      <c r="BF31" s="444"/>
      <c r="BG31" s="906"/>
      <c r="BH31" s="6002"/>
      <c r="BI31" s="6003"/>
      <c r="BJ31" s="6003"/>
      <c r="BK31" s="6003"/>
      <c r="BL31" s="6003"/>
      <c r="BM31" s="6003"/>
      <c r="BN31" s="6003"/>
      <c r="BO31" s="6003"/>
      <c r="BP31" s="6003"/>
      <c r="BQ31" s="6003"/>
      <c r="BR31" s="6003"/>
      <c r="BS31" s="6003"/>
      <c r="BT31" s="6003"/>
      <c r="BU31" s="6003"/>
      <c r="BV31" s="6004"/>
      <c r="BW31" s="450"/>
      <c r="BX31" s="444"/>
      <c r="BY31" s="444"/>
      <c r="BZ31" s="906"/>
      <c r="CA31" s="6002"/>
      <c r="CB31" s="6003"/>
      <c r="CC31" s="6003"/>
      <c r="CD31" s="6003"/>
      <c r="CE31" s="6003"/>
      <c r="CF31" s="6003"/>
      <c r="CG31" s="6003"/>
      <c r="CH31" s="6003"/>
      <c r="CI31" s="6003"/>
      <c r="CJ31" s="6003"/>
      <c r="CK31" s="6003"/>
      <c r="CL31" s="6003"/>
      <c r="CM31" s="6003"/>
      <c r="CN31" s="6003"/>
      <c r="CO31" s="6004"/>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601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13"/>
      <c r="E33" s="6013"/>
      <c r="F33" s="6013"/>
      <c r="G33" s="6020"/>
      <c r="H33" s="454" t="s">
        <v>1333</v>
      </c>
      <c r="I33" s="455">
        <f>B33</f>
        <v>6</v>
      </c>
      <c r="J33" s="6005" t="s">
        <v>6388</v>
      </c>
      <c r="K33" s="6005"/>
      <c r="L33" s="6005"/>
      <c r="M33" s="5972" t="e">
        <f>IF(C33=0,"",VLOOKUP(C33,'Tablas Magia'!$D$6:$Z$680,2,FALSE))</f>
        <v>#N/A</v>
      </c>
      <c r="N33" s="5972"/>
      <c r="O33" s="1959"/>
      <c r="P33" s="6016" t="str">
        <f>IFERROR(IF(M33="Libre Acceso","Aprendido",IF(IFERROR(VLOOKUP(M33,Místicos!$C$15:$H$25,6,0)&gt;=I33,FALSE),"Aprendido",IF(IFERROR(VLOOKUP(M33,Místicos!$E$15:$H$25,4,0)&gt;=I33,FALSE),"Aprendido",""))),"")</f>
        <v/>
      </c>
      <c r="Q33" s="6017"/>
      <c r="R33" s="450"/>
      <c r="S33" s="444"/>
      <c r="T33" s="444"/>
      <c r="U33" s="906">
        <f>U22+2</f>
        <v>26</v>
      </c>
      <c r="V33" s="601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13"/>
      <c r="X33" s="6013"/>
      <c r="Y33" s="6013"/>
      <c r="Z33" s="6020"/>
      <c r="AA33" s="454" t="s">
        <v>1333</v>
      </c>
      <c r="AB33" s="455">
        <f>U33</f>
        <v>26</v>
      </c>
      <c r="AC33" s="6005" t="s">
        <v>6388</v>
      </c>
      <c r="AD33" s="6005"/>
      <c r="AE33" s="6005"/>
      <c r="AF33" s="5972" t="e">
        <f>IF(V33=0,"",VLOOKUP(V33,'Tablas Magia'!$D$6:$Z$680,2,FALSE))</f>
        <v>#N/A</v>
      </c>
      <c r="AG33" s="5972"/>
      <c r="AH33" s="1959"/>
      <c r="AI33" s="6016" t="str">
        <f>IFERROR(IF(AF33="Libre Acceso","Aprendido",IF(IFERROR(VLOOKUP(AF33,Místicos!$C$15:$H$25,6,0)&gt;=AB33,FALSE),"Aprendido",IF(IFERROR(VLOOKUP(AF33,Místicos!$E$15:$H$25,4,0)&gt;=AB33,FALSE),"Aprendido",""))),"")</f>
        <v/>
      </c>
      <c r="AJ33" s="6017"/>
      <c r="AK33" s="450"/>
      <c r="AL33" s="444"/>
      <c r="AM33" s="499"/>
      <c r="AN33" s="906">
        <f>AN22+2</f>
        <v>46</v>
      </c>
      <c r="AO33" s="601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13"/>
      <c r="AQ33" s="6013"/>
      <c r="AR33" s="6013"/>
      <c r="AS33" s="6020"/>
      <c r="AT33" s="454" t="s">
        <v>1333</v>
      </c>
      <c r="AU33" s="455">
        <f>AN33</f>
        <v>46</v>
      </c>
      <c r="AV33" s="6005" t="s">
        <v>6388</v>
      </c>
      <c r="AW33" s="6005"/>
      <c r="AX33" s="6005"/>
      <c r="AY33" s="5972" t="e">
        <f>IF(AO33=0,"",VLOOKUP(AO33,'Tablas Magia'!$D$6:$Z$680,2,FALSE))</f>
        <v>#N/A</v>
      </c>
      <c r="AZ33" s="5972"/>
      <c r="BA33" s="1959"/>
      <c r="BB33" s="6016" t="str">
        <f>IFERROR(IF(AY33="Libre Acceso","Aprendido",IF(IFERROR(VLOOKUP(AY33,Místicos!$C$15:$H$25,6,0)&gt;=AU33,FALSE),"Aprendido",IF(IFERROR(VLOOKUP(AY33,Místicos!$E$15:$H$25,4,0)&gt;=AU33,FALSE),"Aprendido",""))),"")</f>
        <v/>
      </c>
      <c r="BC33" s="6017"/>
      <c r="BD33" s="450"/>
      <c r="BE33" s="444"/>
      <c r="BF33" s="444"/>
      <c r="BG33" s="906">
        <f>BG22+2</f>
        <v>66</v>
      </c>
      <c r="BH33" s="601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13"/>
      <c r="BJ33" s="6013"/>
      <c r="BK33" s="6013"/>
      <c r="BL33" s="6020"/>
      <c r="BM33" s="454" t="s">
        <v>1333</v>
      </c>
      <c r="BN33" s="455">
        <f>BG33</f>
        <v>66</v>
      </c>
      <c r="BO33" s="6005" t="s">
        <v>6388</v>
      </c>
      <c r="BP33" s="6005"/>
      <c r="BQ33" s="6005"/>
      <c r="BR33" s="5972" t="e">
        <f>IF(BH33=0,"",VLOOKUP(BH33,'Tablas Magia'!$D$6:$Z$680,2,FALSE))</f>
        <v>#N/A</v>
      </c>
      <c r="BS33" s="5972"/>
      <c r="BT33" s="1959"/>
      <c r="BU33" s="6016" t="str">
        <f>IFERROR(IF(BR33="Libre Acceso","Aprendido",IF(IFERROR(VLOOKUP(BR33,Místicos!$C$15:$H$25,6,0)&gt;=BN33,FALSE),"Aprendido",IF(IFERROR(VLOOKUP(BR33,Místicos!$E$15:$H$25,4,0)&gt;=BN33,FALSE),"Aprendido",""))),"")</f>
        <v/>
      </c>
      <c r="BV33" s="6017"/>
      <c r="BW33" s="450"/>
      <c r="BX33" s="444"/>
      <c r="BY33" s="444"/>
      <c r="BZ33" s="906">
        <f>BZ22+2</f>
        <v>86</v>
      </c>
      <c r="CA33" s="601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13"/>
      <c r="CC33" s="6013"/>
      <c r="CD33" s="6013"/>
      <c r="CE33" s="6020"/>
      <c r="CF33" s="454" t="s">
        <v>1333</v>
      </c>
      <c r="CG33" s="455">
        <f>BZ33</f>
        <v>86</v>
      </c>
      <c r="CH33" s="6005" t="s">
        <v>6388</v>
      </c>
      <c r="CI33" s="6005"/>
      <c r="CJ33" s="6005"/>
      <c r="CK33" s="5972" t="e">
        <f>IF(CA33=0,"",VLOOKUP(CA33,'Tablas Magia'!$D$6:$Z$680,2,FALSE))</f>
        <v>#N/A</v>
      </c>
      <c r="CL33" s="5972"/>
      <c r="CM33" s="1959"/>
      <c r="CN33" s="6016" t="str">
        <f>IFERROR(IF(CK33="Libre Acceso","Aprendido",IF(IFERROR(VLOOKUP(CK33,Místicos!$C$15:$H$25,6,0)&gt;=CG33,FALSE),"Aprendido",IF(IFERROR(VLOOKUP(CK33,Místicos!$E$15:$H$25,4,0)&gt;=CG33,FALSE),"Aprendido",""))),"")</f>
        <v/>
      </c>
      <c r="CO33" s="6017"/>
      <c r="CP33" s="450"/>
      <c r="CQ33" s="444"/>
    </row>
    <row r="34" spans="1:95" ht="12" customHeight="1" x14ac:dyDescent="0.2">
      <c r="A34" s="444"/>
      <c r="B34" s="906"/>
      <c r="C34" s="5989" t="s">
        <v>6389</v>
      </c>
      <c r="D34" s="6006"/>
      <c r="E34" s="1972" t="s">
        <v>6390</v>
      </c>
      <c r="F34" s="1972" t="s">
        <v>1517</v>
      </c>
      <c r="G34" s="1972" t="s">
        <v>2914</v>
      </c>
      <c r="H34" s="1973" t="s">
        <v>1845</v>
      </c>
      <c r="I34" s="6007" t="e">
        <f>IF(C33=0,"",VLOOKUP(C33,'Tablas Magia'!$D$6:$Z$680,5,FALSE))</f>
        <v>#N/A</v>
      </c>
      <c r="J34" s="6007"/>
      <c r="K34" s="6018" t="s">
        <v>6391</v>
      </c>
      <c r="L34" s="6018"/>
      <c r="M34" s="6007" t="e">
        <f>IF(C33=0,"",VLOOKUP(C33,'Tablas Magia'!$D$6:$Z$680,6,FALSE))</f>
        <v>#N/A</v>
      </c>
      <c r="N34" s="6007"/>
      <c r="O34" s="6008" t="s">
        <v>6392</v>
      </c>
      <c r="P34" s="6008"/>
      <c r="Q34" s="1974" t="e">
        <f>IF(C33=0,"",VLOOKUP(C33,'Tablas Magia'!$D$6:$Z$680,4,FALSE))</f>
        <v>#N/A</v>
      </c>
      <c r="R34" s="450"/>
      <c r="S34" s="444"/>
      <c r="T34" s="444"/>
      <c r="U34" s="906"/>
      <c r="V34" s="5989" t="s">
        <v>6389</v>
      </c>
      <c r="W34" s="6006"/>
      <c r="X34" s="1972" t="s">
        <v>6390</v>
      </c>
      <c r="Y34" s="1972" t="s">
        <v>1517</v>
      </c>
      <c r="Z34" s="1972" t="s">
        <v>2914</v>
      </c>
      <c r="AA34" s="1973" t="s">
        <v>1845</v>
      </c>
      <c r="AB34" s="6007" t="e">
        <f>IF(V33=0,"",VLOOKUP(V33,'Tablas Magia'!$D$6:$Z$680,5,FALSE))</f>
        <v>#N/A</v>
      </c>
      <c r="AC34" s="6007"/>
      <c r="AD34" s="6018" t="s">
        <v>6391</v>
      </c>
      <c r="AE34" s="6018"/>
      <c r="AF34" s="6007" t="e">
        <f>IF(V33=0,"",VLOOKUP(V33,'Tablas Magia'!$D$6:$Z$680,6,FALSE))</f>
        <v>#N/A</v>
      </c>
      <c r="AG34" s="6007"/>
      <c r="AH34" s="6008" t="s">
        <v>6392</v>
      </c>
      <c r="AI34" s="6008"/>
      <c r="AJ34" s="1974" t="e">
        <f>IF(V33=0,"",VLOOKUP(V33,'Tablas Magia'!$D$6:$Z$680,4,FALSE))</f>
        <v>#N/A</v>
      </c>
      <c r="AK34" s="450"/>
      <c r="AL34" s="444"/>
      <c r="AM34" s="499"/>
      <c r="AN34" s="906"/>
      <c r="AO34" s="5989" t="s">
        <v>6389</v>
      </c>
      <c r="AP34" s="6006"/>
      <c r="AQ34" s="1972" t="s">
        <v>6390</v>
      </c>
      <c r="AR34" s="1972" t="s">
        <v>1517</v>
      </c>
      <c r="AS34" s="1972" t="s">
        <v>2914</v>
      </c>
      <c r="AT34" s="1973" t="s">
        <v>1845</v>
      </c>
      <c r="AU34" s="6007" t="e">
        <f>IF(AO33=0,"",VLOOKUP(AO33,'Tablas Magia'!$D$6:$Z$680,5,FALSE))</f>
        <v>#N/A</v>
      </c>
      <c r="AV34" s="6007"/>
      <c r="AW34" s="6018" t="s">
        <v>6391</v>
      </c>
      <c r="AX34" s="6018"/>
      <c r="AY34" s="6007" t="e">
        <f>IF(AO33=0,"",VLOOKUP(AO33,'Tablas Magia'!$D$6:$Z$680,6,FALSE))</f>
        <v>#N/A</v>
      </c>
      <c r="AZ34" s="6007"/>
      <c r="BA34" s="6008" t="s">
        <v>6392</v>
      </c>
      <c r="BB34" s="6008"/>
      <c r="BC34" s="1974" t="e">
        <f>IF(AO33=0,"",VLOOKUP(AO33,'Tablas Magia'!$D$6:$Z$680,4,FALSE))</f>
        <v>#N/A</v>
      </c>
      <c r="BD34" s="450"/>
      <c r="BE34" s="444"/>
      <c r="BF34" s="444"/>
      <c r="BG34" s="906"/>
      <c r="BH34" s="5989" t="s">
        <v>6389</v>
      </c>
      <c r="BI34" s="6006"/>
      <c r="BJ34" s="1972" t="s">
        <v>6390</v>
      </c>
      <c r="BK34" s="1972" t="s">
        <v>1517</v>
      </c>
      <c r="BL34" s="1972" t="s">
        <v>2914</v>
      </c>
      <c r="BM34" s="1973" t="s">
        <v>1845</v>
      </c>
      <c r="BN34" s="6007" t="e">
        <f>IF(BH33=0,"",VLOOKUP(BH33,'Tablas Magia'!$D$6:$Z$680,5,FALSE))</f>
        <v>#N/A</v>
      </c>
      <c r="BO34" s="6007"/>
      <c r="BP34" s="6018" t="s">
        <v>6391</v>
      </c>
      <c r="BQ34" s="6018"/>
      <c r="BR34" s="6007" t="e">
        <f>IF(BH33=0,"",VLOOKUP(BH33,'Tablas Magia'!$D$6:$Z$680,6,FALSE))</f>
        <v>#N/A</v>
      </c>
      <c r="BS34" s="6007"/>
      <c r="BT34" s="6008" t="s">
        <v>6392</v>
      </c>
      <c r="BU34" s="6008"/>
      <c r="BV34" s="1974" t="e">
        <f>IF(BH33=0,"",VLOOKUP(BH33,'Tablas Magia'!$D$6:$Z$680,4,FALSE))</f>
        <v>#N/A</v>
      </c>
      <c r="BW34" s="450"/>
      <c r="BX34" s="444"/>
      <c r="BY34" s="444"/>
      <c r="BZ34" s="906"/>
      <c r="CA34" s="5989" t="s">
        <v>6389</v>
      </c>
      <c r="CB34" s="6006"/>
      <c r="CC34" s="1972" t="s">
        <v>6390</v>
      </c>
      <c r="CD34" s="1972" t="s">
        <v>1517</v>
      </c>
      <c r="CE34" s="1972" t="s">
        <v>2914</v>
      </c>
      <c r="CF34" s="1973" t="s">
        <v>1845</v>
      </c>
      <c r="CG34" s="6007" t="e">
        <f>IF(CA33=0,"",VLOOKUP(CA33,'Tablas Magia'!$D$6:$Z$680,5,FALSE))</f>
        <v>#N/A</v>
      </c>
      <c r="CH34" s="6007"/>
      <c r="CI34" s="6018" t="s">
        <v>6391</v>
      </c>
      <c r="CJ34" s="6018"/>
      <c r="CK34" s="6007" t="e">
        <f>IF(CA33=0,"",VLOOKUP(CA33,'Tablas Magia'!$D$6:$Z$680,6,FALSE))</f>
        <v>#N/A</v>
      </c>
      <c r="CL34" s="6007"/>
      <c r="CM34" s="6008" t="s">
        <v>6392</v>
      </c>
      <c r="CN34" s="6008"/>
      <c r="CO34" s="1974" t="e">
        <f>IF(CA33=0,"",VLOOKUP(CA33,'Tablas Magia'!$D$6:$Z$680,4,FALSE))</f>
        <v>#N/A</v>
      </c>
      <c r="CP34" s="450"/>
      <c r="CQ34" s="444"/>
    </row>
    <row r="35" spans="1:95" ht="12" customHeight="1" x14ac:dyDescent="0.2">
      <c r="A35" s="444"/>
      <c r="B35" s="906"/>
      <c r="C35" s="6014" t="s">
        <v>1373</v>
      </c>
      <c r="D35" s="6015"/>
      <c r="E35" s="459" t="e">
        <f>IF(C33=0,"",VLOOKUP(C33,'Tablas Magia'!$D$6:$Z$680,7,FALSE))</f>
        <v>#N/A</v>
      </c>
      <c r="F35" s="459" t="e">
        <f>IF(C33=0,"",VLOOKUP(C33,'Tablas Magia'!$D$6:$Z$680,11,FALSE))</f>
        <v>#N/A</v>
      </c>
      <c r="G35" s="460" t="e">
        <f>IF(C33=0,"",VLOOKUP(C33,'Tablas Magia'!$D$6:$Z$680,15,FALSE))</f>
        <v>#N/A</v>
      </c>
      <c r="H35" s="6009" t="e">
        <f>IF(C33=0,"",VLOOKUP(C33,'Tablas Magia'!$D$6:$Z$680,19,FALSE))</f>
        <v>#N/A</v>
      </c>
      <c r="I35" s="6010"/>
      <c r="J35" s="6010"/>
      <c r="K35" s="6010"/>
      <c r="L35" s="6010"/>
      <c r="M35" s="6010"/>
      <c r="N35" s="6010"/>
      <c r="O35" s="6010"/>
      <c r="P35" s="6010"/>
      <c r="Q35" s="6011"/>
      <c r="R35" s="450"/>
      <c r="S35" s="444"/>
      <c r="T35" s="444"/>
      <c r="U35" s="906"/>
      <c r="V35" s="6014" t="s">
        <v>1373</v>
      </c>
      <c r="W35" s="6015"/>
      <c r="X35" s="459" t="e">
        <f>IF(V33=0,"",VLOOKUP(V33,'Tablas Magia'!$D$6:$Z$680,7,FALSE))</f>
        <v>#N/A</v>
      </c>
      <c r="Y35" s="459" t="e">
        <f>IF(V33=0,"",VLOOKUP(V33,'Tablas Magia'!$D$6:$Z$680,11,FALSE))</f>
        <v>#N/A</v>
      </c>
      <c r="Z35" s="460" t="e">
        <f>IF(V33=0,"",VLOOKUP(V33,'Tablas Magia'!$D$6:$Z$680,15,FALSE))</f>
        <v>#N/A</v>
      </c>
      <c r="AA35" s="6009" t="e">
        <f>IF(V33=0,"",VLOOKUP(V33,'Tablas Magia'!$D$6:$Z$680,19,FALSE))</f>
        <v>#N/A</v>
      </c>
      <c r="AB35" s="6010"/>
      <c r="AC35" s="6010"/>
      <c r="AD35" s="6010"/>
      <c r="AE35" s="6010"/>
      <c r="AF35" s="6010"/>
      <c r="AG35" s="6010"/>
      <c r="AH35" s="6010"/>
      <c r="AI35" s="6010"/>
      <c r="AJ35" s="6011"/>
      <c r="AK35" s="450"/>
      <c r="AL35" s="444"/>
      <c r="AM35" s="499"/>
      <c r="AN35" s="906"/>
      <c r="AO35" s="6014" t="s">
        <v>1373</v>
      </c>
      <c r="AP35" s="6015"/>
      <c r="AQ35" s="459" t="e">
        <f>IF(AO33=0,"",VLOOKUP(AO33,'Tablas Magia'!$D$6:$Z$680,7,FALSE))</f>
        <v>#N/A</v>
      </c>
      <c r="AR35" s="459" t="e">
        <f>IF(AO33=0,"",VLOOKUP(AO33,'Tablas Magia'!$D$6:$Z$680,11,FALSE))</f>
        <v>#N/A</v>
      </c>
      <c r="AS35" s="460" t="e">
        <f>IF(AO33=0,"",VLOOKUP(AO33,'Tablas Magia'!$D$6:$Z$680,15,FALSE))</f>
        <v>#N/A</v>
      </c>
      <c r="AT35" s="6009" t="e">
        <f>IF(AO33=0,"",VLOOKUP(AO33,'Tablas Magia'!$D$6:$Z$680,19,FALSE))</f>
        <v>#N/A</v>
      </c>
      <c r="AU35" s="6010"/>
      <c r="AV35" s="6010"/>
      <c r="AW35" s="6010"/>
      <c r="AX35" s="6010"/>
      <c r="AY35" s="6010"/>
      <c r="AZ35" s="6010"/>
      <c r="BA35" s="6010"/>
      <c r="BB35" s="6010"/>
      <c r="BC35" s="6011"/>
      <c r="BD35" s="450"/>
      <c r="BE35" s="444"/>
      <c r="BF35" s="444"/>
      <c r="BG35" s="906"/>
      <c r="BH35" s="6014" t="s">
        <v>1373</v>
      </c>
      <c r="BI35" s="6015"/>
      <c r="BJ35" s="459" t="e">
        <f>IF(BH33=0,"",VLOOKUP(BH33,'Tablas Magia'!$D$6:$Z$680,7,FALSE))</f>
        <v>#N/A</v>
      </c>
      <c r="BK35" s="459" t="e">
        <f>IF(BH33=0,"",VLOOKUP(BH33,'Tablas Magia'!$D$6:$Z$680,11,FALSE))</f>
        <v>#N/A</v>
      </c>
      <c r="BL35" s="460" t="e">
        <f>IF(BH33=0,"",VLOOKUP(BH33,'Tablas Magia'!$D$6:$Z$680,15,FALSE))</f>
        <v>#N/A</v>
      </c>
      <c r="BM35" s="6009" t="e">
        <f>IF(BH33=0,"",VLOOKUP(BH33,'Tablas Magia'!$D$6:$Z$680,19,FALSE))</f>
        <v>#N/A</v>
      </c>
      <c r="BN35" s="6010"/>
      <c r="BO35" s="6010"/>
      <c r="BP35" s="6010"/>
      <c r="BQ35" s="6010"/>
      <c r="BR35" s="6010"/>
      <c r="BS35" s="6010"/>
      <c r="BT35" s="6010"/>
      <c r="BU35" s="6010"/>
      <c r="BV35" s="6011"/>
      <c r="BW35" s="450"/>
      <c r="BX35" s="444"/>
      <c r="BY35" s="444"/>
      <c r="BZ35" s="906"/>
      <c r="CA35" s="6014" t="s">
        <v>1373</v>
      </c>
      <c r="CB35" s="6015"/>
      <c r="CC35" s="459" t="e">
        <f>IF(CA33=0,"",VLOOKUP(CA33,'Tablas Magia'!$D$6:$Z$680,7,FALSE))</f>
        <v>#N/A</v>
      </c>
      <c r="CD35" s="459" t="e">
        <f>IF(CA33=0,"",VLOOKUP(CA33,'Tablas Magia'!$D$6:$Z$680,11,FALSE))</f>
        <v>#N/A</v>
      </c>
      <c r="CE35" s="460" t="e">
        <f>IF(CA33=0,"",VLOOKUP(CA33,'Tablas Magia'!$D$6:$Z$680,15,FALSE))</f>
        <v>#N/A</v>
      </c>
      <c r="CF35" s="6009" t="e">
        <f>IF(CA33=0,"",VLOOKUP(CA33,'Tablas Magia'!$D$6:$Z$680,19,FALSE))</f>
        <v>#N/A</v>
      </c>
      <c r="CG35" s="6010"/>
      <c r="CH35" s="6010"/>
      <c r="CI35" s="6010"/>
      <c r="CJ35" s="6010"/>
      <c r="CK35" s="6010"/>
      <c r="CL35" s="6010"/>
      <c r="CM35" s="6010"/>
      <c r="CN35" s="6010"/>
      <c r="CO35" s="6011"/>
      <c r="CP35" s="450"/>
      <c r="CQ35" s="444"/>
    </row>
    <row r="36" spans="1:95" ht="12" customHeight="1" x14ac:dyDescent="0.2">
      <c r="A36" s="444"/>
      <c r="B36" s="906"/>
      <c r="C36" s="5976" t="s">
        <v>3285</v>
      </c>
      <c r="D36" s="5977"/>
      <c r="E36" s="461" t="e">
        <f>IF(C33=0,"",VLOOKUP(C33,'Tablas Magia'!$D$6:$Z$680,8,FALSE))</f>
        <v>#N/A</v>
      </c>
      <c r="F36" s="461" t="e">
        <f>IF(C33=0,"",VLOOKUP(C33,'Tablas Magia'!$D$6:$Z$680,12,FALSE))</f>
        <v>#N/A</v>
      </c>
      <c r="G36" s="462" t="e">
        <f>IF(C33=0,"",VLOOKUP(C33,'Tablas Magia'!$D$6:$Z$680,16,FALSE))</f>
        <v>#N/A</v>
      </c>
      <c r="H36" s="5978" t="e">
        <f>IF(C33=0,"",VLOOKUP(C33,'Tablas Magia'!$D$6:$Z$680,20,FALSE))</f>
        <v>#N/A</v>
      </c>
      <c r="I36" s="5979"/>
      <c r="J36" s="5979"/>
      <c r="K36" s="5979"/>
      <c r="L36" s="5979"/>
      <c r="M36" s="5979"/>
      <c r="N36" s="5979"/>
      <c r="O36" s="5979"/>
      <c r="P36" s="5979"/>
      <c r="Q36" s="5980"/>
      <c r="R36" s="450"/>
      <c r="S36" s="444"/>
      <c r="T36" s="444"/>
      <c r="U36" s="906"/>
      <c r="V36" s="5976" t="s">
        <v>3285</v>
      </c>
      <c r="W36" s="5977"/>
      <c r="X36" s="461" t="e">
        <f>IF(V33=0,"",VLOOKUP(V33,'Tablas Magia'!$D$6:$Z$680,8,FALSE))</f>
        <v>#N/A</v>
      </c>
      <c r="Y36" s="461" t="e">
        <f>IF(V33=0,"",VLOOKUP(V33,'Tablas Magia'!$D$6:$Z$680,12,FALSE))</f>
        <v>#N/A</v>
      </c>
      <c r="Z36" s="462" t="e">
        <f>IF(V33=0,"",VLOOKUP(V33,'Tablas Magia'!$D$6:$Z$680,16,FALSE))</f>
        <v>#N/A</v>
      </c>
      <c r="AA36" s="5978" t="e">
        <f>IF(V33=0,"",VLOOKUP(V33,'Tablas Magia'!$D$6:$Z$680,20,FALSE))</f>
        <v>#N/A</v>
      </c>
      <c r="AB36" s="5979"/>
      <c r="AC36" s="5979"/>
      <c r="AD36" s="5979"/>
      <c r="AE36" s="5979"/>
      <c r="AF36" s="5979"/>
      <c r="AG36" s="5979"/>
      <c r="AH36" s="5979"/>
      <c r="AI36" s="5979"/>
      <c r="AJ36" s="5980"/>
      <c r="AK36" s="450"/>
      <c r="AL36" s="444"/>
      <c r="AM36" s="499"/>
      <c r="AN36" s="906"/>
      <c r="AO36" s="5976" t="s">
        <v>3285</v>
      </c>
      <c r="AP36" s="5977"/>
      <c r="AQ36" s="461" t="e">
        <f>IF(AO33=0,"",VLOOKUP(AO33,'Tablas Magia'!$D$6:$Z$680,8,FALSE))</f>
        <v>#N/A</v>
      </c>
      <c r="AR36" s="461" t="e">
        <f>IF(AO33=0,"",VLOOKUP(AO33,'Tablas Magia'!$D$6:$Z$680,12,FALSE))</f>
        <v>#N/A</v>
      </c>
      <c r="AS36" s="462" t="e">
        <f>IF(AO33=0,"",VLOOKUP(AO33,'Tablas Magia'!$D$6:$Z$680,16,FALSE))</f>
        <v>#N/A</v>
      </c>
      <c r="AT36" s="5978" t="e">
        <f>IF(AO33=0,"",VLOOKUP(AO33,'Tablas Magia'!$D$6:$Z$680,20,FALSE))</f>
        <v>#N/A</v>
      </c>
      <c r="AU36" s="5979"/>
      <c r="AV36" s="5979"/>
      <c r="AW36" s="5979"/>
      <c r="AX36" s="5979"/>
      <c r="AY36" s="5979"/>
      <c r="AZ36" s="5979"/>
      <c r="BA36" s="5979"/>
      <c r="BB36" s="5979"/>
      <c r="BC36" s="5980"/>
      <c r="BD36" s="450"/>
      <c r="BE36" s="444"/>
      <c r="BF36" s="444"/>
      <c r="BG36" s="906"/>
      <c r="BH36" s="5976" t="s">
        <v>3285</v>
      </c>
      <c r="BI36" s="5977"/>
      <c r="BJ36" s="461" t="e">
        <f>IF(BH33=0,"",VLOOKUP(BH33,'Tablas Magia'!$D$6:$Z$680,8,FALSE))</f>
        <v>#N/A</v>
      </c>
      <c r="BK36" s="461" t="e">
        <f>IF(BH33=0,"",VLOOKUP(BH33,'Tablas Magia'!$D$6:$Z$680,12,FALSE))</f>
        <v>#N/A</v>
      </c>
      <c r="BL36" s="462" t="e">
        <f>IF(BH33=0,"",VLOOKUP(BH33,'Tablas Magia'!$D$6:$Z$680,16,FALSE))</f>
        <v>#N/A</v>
      </c>
      <c r="BM36" s="5978" t="e">
        <f>IF(BH33=0,"",VLOOKUP(BH33,'Tablas Magia'!$D$6:$Z$680,20,FALSE))</f>
        <v>#N/A</v>
      </c>
      <c r="BN36" s="5979"/>
      <c r="BO36" s="5979"/>
      <c r="BP36" s="5979"/>
      <c r="BQ36" s="5979"/>
      <c r="BR36" s="5979"/>
      <c r="BS36" s="5979"/>
      <c r="BT36" s="5979"/>
      <c r="BU36" s="5979"/>
      <c r="BV36" s="5980"/>
      <c r="BW36" s="450"/>
      <c r="BX36" s="444"/>
      <c r="BY36" s="444"/>
      <c r="BZ36" s="906"/>
      <c r="CA36" s="5976" t="s">
        <v>3285</v>
      </c>
      <c r="CB36" s="5977"/>
      <c r="CC36" s="461" t="e">
        <f>IF(CA33=0,"",VLOOKUP(CA33,'Tablas Magia'!$D$6:$Z$680,8,FALSE))</f>
        <v>#N/A</v>
      </c>
      <c r="CD36" s="461" t="e">
        <f>IF(CA33=0,"",VLOOKUP(CA33,'Tablas Magia'!$D$6:$Z$680,12,FALSE))</f>
        <v>#N/A</v>
      </c>
      <c r="CE36" s="462" t="e">
        <f>IF(CA33=0,"",VLOOKUP(CA33,'Tablas Magia'!$D$6:$Z$680,16,FALSE))</f>
        <v>#N/A</v>
      </c>
      <c r="CF36" s="5978" t="e">
        <f>IF(CA33=0,"",VLOOKUP(CA33,'Tablas Magia'!$D$6:$Z$680,20,FALSE))</f>
        <v>#N/A</v>
      </c>
      <c r="CG36" s="5979"/>
      <c r="CH36" s="5979"/>
      <c r="CI36" s="5979"/>
      <c r="CJ36" s="5979"/>
      <c r="CK36" s="5979"/>
      <c r="CL36" s="5979"/>
      <c r="CM36" s="5979"/>
      <c r="CN36" s="5979"/>
      <c r="CO36" s="5980"/>
      <c r="CP36" s="450"/>
      <c r="CQ36" s="444"/>
    </row>
    <row r="37" spans="1:95" ht="12" customHeight="1" x14ac:dyDescent="0.2">
      <c r="A37" s="444"/>
      <c r="B37" s="906"/>
      <c r="C37" s="5981" t="s">
        <v>3286</v>
      </c>
      <c r="D37" s="5982"/>
      <c r="E37" s="459" t="e">
        <f>IF(C33=0,"",VLOOKUP(C33,'Tablas Magia'!$D$6:$Z$680,9,FALSE))</f>
        <v>#N/A</v>
      </c>
      <c r="F37" s="459" t="e">
        <f>IF(C33=0,"",VLOOKUP(C33,'Tablas Magia'!$D$6:$Z$680,13,FALSE))</f>
        <v>#N/A</v>
      </c>
      <c r="G37" s="460" t="e">
        <f>IF(C33=0,"",VLOOKUP(C33,'Tablas Magia'!$D$6:$Z$680,17,FALSE))</f>
        <v>#N/A</v>
      </c>
      <c r="H37" s="5983" t="e">
        <f>IF(C33=0,"",VLOOKUP(C33,'Tablas Magia'!$D$6:$Z$680,21,FALSE))</f>
        <v>#N/A</v>
      </c>
      <c r="I37" s="5984"/>
      <c r="J37" s="5984"/>
      <c r="K37" s="5984"/>
      <c r="L37" s="5984"/>
      <c r="M37" s="5984"/>
      <c r="N37" s="5984"/>
      <c r="O37" s="5984"/>
      <c r="P37" s="5984"/>
      <c r="Q37" s="5985"/>
      <c r="R37" s="450"/>
      <c r="S37" s="444"/>
      <c r="T37" s="444"/>
      <c r="U37" s="906"/>
      <c r="V37" s="5981" t="s">
        <v>3286</v>
      </c>
      <c r="W37" s="5982"/>
      <c r="X37" s="459" t="e">
        <f>IF(V33=0,"",VLOOKUP(V33,'Tablas Magia'!$D$6:$Z$680,9,FALSE))</f>
        <v>#N/A</v>
      </c>
      <c r="Y37" s="459" t="e">
        <f>IF(V33=0,"",VLOOKUP(V33,'Tablas Magia'!$D$6:$Z$680,13,FALSE))</f>
        <v>#N/A</v>
      </c>
      <c r="Z37" s="460" t="e">
        <f>IF(V33=0,"",VLOOKUP(V33,'Tablas Magia'!$D$6:$Z$680,17,FALSE))</f>
        <v>#N/A</v>
      </c>
      <c r="AA37" s="5983" t="e">
        <f>IF(V33=0,"",VLOOKUP(V33,'Tablas Magia'!$D$6:$Z$680,21,FALSE))</f>
        <v>#N/A</v>
      </c>
      <c r="AB37" s="5984"/>
      <c r="AC37" s="5984"/>
      <c r="AD37" s="5984"/>
      <c r="AE37" s="5984"/>
      <c r="AF37" s="5984"/>
      <c r="AG37" s="5984"/>
      <c r="AH37" s="5984"/>
      <c r="AI37" s="5984"/>
      <c r="AJ37" s="5985"/>
      <c r="AK37" s="450"/>
      <c r="AL37" s="444"/>
      <c r="AM37" s="499"/>
      <c r="AN37" s="906"/>
      <c r="AO37" s="5981" t="s">
        <v>3286</v>
      </c>
      <c r="AP37" s="5982"/>
      <c r="AQ37" s="459" t="e">
        <f>IF(AO33=0,"",VLOOKUP(AO33,'Tablas Magia'!$D$6:$Z$680,9,FALSE))</f>
        <v>#N/A</v>
      </c>
      <c r="AR37" s="459" t="e">
        <f>IF(AO33=0,"",VLOOKUP(AO33,'Tablas Magia'!$D$6:$Z$680,13,FALSE))</f>
        <v>#N/A</v>
      </c>
      <c r="AS37" s="460" t="e">
        <f>IF(AO33=0,"",VLOOKUP(AO33,'Tablas Magia'!$D$6:$Z$680,17,FALSE))</f>
        <v>#N/A</v>
      </c>
      <c r="AT37" s="5983" t="e">
        <f>IF(AO33=0,"",VLOOKUP(AO33,'Tablas Magia'!$D$6:$Z$680,21,FALSE))</f>
        <v>#N/A</v>
      </c>
      <c r="AU37" s="5984"/>
      <c r="AV37" s="5984"/>
      <c r="AW37" s="5984"/>
      <c r="AX37" s="5984"/>
      <c r="AY37" s="5984"/>
      <c r="AZ37" s="5984"/>
      <c r="BA37" s="5984"/>
      <c r="BB37" s="5984"/>
      <c r="BC37" s="5985"/>
      <c r="BD37" s="450"/>
      <c r="BE37" s="444"/>
      <c r="BF37" s="444"/>
      <c r="BG37" s="906"/>
      <c r="BH37" s="5981" t="s">
        <v>3286</v>
      </c>
      <c r="BI37" s="5982"/>
      <c r="BJ37" s="459" t="e">
        <f>IF(BH33=0,"",VLOOKUP(BH33,'Tablas Magia'!$D$6:$Z$680,9,FALSE))</f>
        <v>#N/A</v>
      </c>
      <c r="BK37" s="459" t="e">
        <f>IF(BH33=0,"",VLOOKUP(BH33,'Tablas Magia'!$D$6:$Z$680,13,FALSE))</f>
        <v>#N/A</v>
      </c>
      <c r="BL37" s="460" t="e">
        <f>IF(BH33=0,"",VLOOKUP(BH33,'Tablas Magia'!$D$6:$Z$680,17,FALSE))</f>
        <v>#N/A</v>
      </c>
      <c r="BM37" s="5983" t="e">
        <f>IF(BH33=0,"",VLOOKUP(BH33,'Tablas Magia'!$D$6:$Z$680,21,FALSE))</f>
        <v>#N/A</v>
      </c>
      <c r="BN37" s="5984"/>
      <c r="BO37" s="5984"/>
      <c r="BP37" s="5984"/>
      <c r="BQ37" s="5984"/>
      <c r="BR37" s="5984"/>
      <c r="BS37" s="5984"/>
      <c r="BT37" s="5984"/>
      <c r="BU37" s="5984"/>
      <c r="BV37" s="5985"/>
      <c r="BW37" s="450"/>
      <c r="BX37" s="444"/>
      <c r="BY37" s="444"/>
      <c r="BZ37" s="906"/>
      <c r="CA37" s="5981" t="s">
        <v>3286</v>
      </c>
      <c r="CB37" s="5982"/>
      <c r="CC37" s="459" t="e">
        <f>IF(CA33=0,"",VLOOKUP(CA33,'Tablas Magia'!$D$6:$Z$680,9,FALSE))</f>
        <v>#N/A</v>
      </c>
      <c r="CD37" s="459" t="e">
        <f>IF(CA33=0,"",VLOOKUP(CA33,'Tablas Magia'!$D$6:$Z$680,13,FALSE))</f>
        <v>#N/A</v>
      </c>
      <c r="CE37" s="460" t="e">
        <f>IF(CA33=0,"",VLOOKUP(CA33,'Tablas Magia'!$D$6:$Z$680,17,FALSE))</f>
        <v>#N/A</v>
      </c>
      <c r="CF37" s="5983" t="e">
        <f>IF(CA33=0,"",VLOOKUP(CA33,'Tablas Magia'!$D$6:$Z$680,21,FALSE))</f>
        <v>#N/A</v>
      </c>
      <c r="CG37" s="5984"/>
      <c r="CH37" s="5984"/>
      <c r="CI37" s="5984"/>
      <c r="CJ37" s="5984"/>
      <c r="CK37" s="5984"/>
      <c r="CL37" s="5984"/>
      <c r="CM37" s="5984"/>
      <c r="CN37" s="5984"/>
      <c r="CO37" s="5985"/>
      <c r="CP37" s="450"/>
      <c r="CQ37" s="444"/>
    </row>
    <row r="38" spans="1:95" ht="12" customHeight="1" thickBot="1" x14ac:dyDescent="0.25">
      <c r="A38" s="444"/>
      <c r="B38" s="906"/>
      <c r="C38" s="5991" t="s">
        <v>3287</v>
      </c>
      <c r="D38" s="5992"/>
      <c r="E38" s="463" t="e">
        <f>IF(C33=0,"",VLOOKUP(C33,'Tablas Magia'!$D$6:$Z$680,10,FALSE))</f>
        <v>#N/A</v>
      </c>
      <c r="F38" s="463" t="e">
        <f>IF(C33=0,"",VLOOKUP(C33,'Tablas Magia'!$D$6:$Z$680,14,FALSE))</f>
        <v>#N/A</v>
      </c>
      <c r="G38" s="464" t="e">
        <f>IF(C33=0,"",VLOOKUP(C33,'Tablas Magia'!$D$6:$Z$680,18,FALSE))</f>
        <v>#N/A</v>
      </c>
      <c r="H38" s="5993" t="e">
        <f>IF(C33=0,"",VLOOKUP(C33,'Tablas Magia'!$D$6:$Z$680,22,FALSE))</f>
        <v>#N/A</v>
      </c>
      <c r="I38" s="5994"/>
      <c r="J38" s="5994"/>
      <c r="K38" s="5994"/>
      <c r="L38" s="5994"/>
      <c r="M38" s="5994"/>
      <c r="N38" s="5994"/>
      <c r="O38" s="5994"/>
      <c r="P38" s="5994"/>
      <c r="Q38" s="5995"/>
      <c r="R38" s="450"/>
      <c r="S38" s="444"/>
      <c r="T38" s="444"/>
      <c r="U38" s="906"/>
      <c r="V38" s="5991" t="s">
        <v>3287</v>
      </c>
      <c r="W38" s="5992"/>
      <c r="X38" s="463" t="e">
        <f>IF(V33=0,"",VLOOKUP(V33,'Tablas Magia'!$D$6:$Z$680,10,FALSE))</f>
        <v>#N/A</v>
      </c>
      <c r="Y38" s="463" t="e">
        <f>IF(V33=0,"",VLOOKUP(V33,'Tablas Magia'!$D$6:$Z$680,14,FALSE))</f>
        <v>#N/A</v>
      </c>
      <c r="Z38" s="464" t="e">
        <f>IF(V33=0,"",VLOOKUP(V33,'Tablas Magia'!$D$6:$Z$680,18,FALSE))</f>
        <v>#N/A</v>
      </c>
      <c r="AA38" s="5993" t="e">
        <f>IF(V33=0,"",VLOOKUP(V33,'Tablas Magia'!$D$6:$Z$680,22,FALSE))</f>
        <v>#N/A</v>
      </c>
      <c r="AB38" s="5994"/>
      <c r="AC38" s="5994"/>
      <c r="AD38" s="5994"/>
      <c r="AE38" s="5994"/>
      <c r="AF38" s="5994"/>
      <c r="AG38" s="5994"/>
      <c r="AH38" s="5994"/>
      <c r="AI38" s="5994"/>
      <c r="AJ38" s="5995"/>
      <c r="AK38" s="450"/>
      <c r="AL38" s="444"/>
      <c r="AM38" s="499"/>
      <c r="AN38" s="906"/>
      <c r="AO38" s="5991" t="s">
        <v>3287</v>
      </c>
      <c r="AP38" s="5992"/>
      <c r="AQ38" s="463" t="e">
        <f>IF(AO33=0,"",VLOOKUP(AO33,'Tablas Magia'!$D$6:$Z$680,10,FALSE))</f>
        <v>#N/A</v>
      </c>
      <c r="AR38" s="463" t="e">
        <f>IF(AO33=0,"",VLOOKUP(AO33,'Tablas Magia'!$D$6:$Z$680,14,FALSE))</f>
        <v>#N/A</v>
      </c>
      <c r="AS38" s="464" t="e">
        <f>IF(AO33=0,"",VLOOKUP(AO33,'Tablas Magia'!$D$6:$Z$680,18,FALSE))</f>
        <v>#N/A</v>
      </c>
      <c r="AT38" s="5993" t="e">
        <f>IF(AO33=0,"",VLOOKUP(AO33,'Tablas Magia'!$D$6:$Z$680,22,FALSE))</f>
        <v>#N/A</v>
      </c>
      <c r="AU38" s="5994"/>
      <c r="AV38" s="5994"/>
      <c r="AW38" s="5994"/>
      <c r="AX38" s="5994"/>
      <c r="AY38" s="5994"/>
      <c r="AZ38" s="5994"/>
      <c r="BA38" s="5994"/>
      <c r="BB38" s="5994"/>
      <c r="BC38" s="5995"/>
      <c r="BD38" s="450"/>
      <c r="BE38" s="444"/>
      <c r="BF38" s="444"/>
      <c r="BG38" s="906"/>
      <c r="BH38" s="5991" t="s">
        <v>3287</v>
      </c>
      <c r="BI38" s="5992"/>
      <c r="BJ38" s="463" t="e">
        <f>IF(BH33=0,"",VLOOKUP(BH33,'Tablas Magia'!$D$6:$Z$680,10,FALSE))</f>
        <v>#N/A</v>
      </c>
      <c r="BK38" s="463" t="e">
        <f>IF(BH33=0,"",VLOOKUP(BH33,'Tablas Magia'!$D$6:$Z$680,14,FALSE))</f>
        <v>#N/A</v>
      </c>
      <c r="BL38" s="464" t="e">
        <f>IF(BH33=0,"",VLOOKUP(BH33,'Tablas Magia'!$D$6:$Z$680,18,FALSE))</f>
        <v>#N/A</v>
      </c>
      <c r="BM38" s="5993" t="e">
        <f>IF(BH33=0,"",VLOOKUP(BH33,'Tablas Magia'!$D$6:$Z$680,22,FALSE))</f>
        <v>#N/A</v>
      </c>
      <c r="BN38" s="5994"/>
      <c r="BO38" s="5994"/>
      <c r="BP38" s="5994"/>
      <c r="BQ38" s="5994"/>
      <c r="BR38" s="5994"/>
      <c r="BS38" s="5994"/>
      <c r="BT38" s="5994"/>
      <c r="BU38" s="5994"/>
      <c r="BV38" s="5995"/>
      <c r="BW38" s="450"/>
      <c r="BX38" s="444"/>
      <c r="BY38" s="444"/>
      <c r="BZ38" s="906"/>
      <c r="CA38" s="5991" t="s">
        <v>3287</v>
      </c>
      <c r="CB38" s="5992"/>
      <c r="CC38" s="463" t="e">
        <f>IF(CA33=0,"",VLOOKUP(CA33,'Tablas Magia'!$D$6:$Z$680,10,FALSE))</f>
        <v>#N/A</v>
      </c>
      <c r="CD38" s="463" t="e">
        <f>IF(CA33=0,"",VLOOKUP(CA33,'Tablas Magia'!$D$6:$Z$680,14,FALSE))</f>
        <v>#N/A</v>
      </c>
      <c r="CE38" s="464" t="e">
        <f>IF(CA33=0,"",VLOOKUP(CA33,'Tablas Magia'!$D$6:$Z$680,18,FALSE))</f>
        <v>#N/A</v>
      </c>
      <c r="CF38" s="5993" t="e">
        <f>IF(CA33=0,"",VLOOKUP(CA33,'Tablas Magia'!$D$6:$Z$680,22,FALSE))</f>
        <v>#N/A</v>
      </c>
      <c r="CG38" s="5994"/>
      <c r="CH38" s="5994"/>
      <c r="CI38" s="5994"/>
      <c r="CJ38" s="5994"/>
      <c r="CK38" s="5994"/>
      <c r="CL38" s="5994"/>
      <c r="CM38" s="5994"/>
      <c r="CN38" s="5994"/>
      <c r="CO38" s="5995"/>
      <c r="CP38" s="450"/>
      <c r="CQ38" s="444"/>
    </row>
    <row r="39" spans="1:95" ht="12" customHeight="1" x14ac:dyDescent="0.2">
      <c r="A39" s="444"/>
      <c r="B39" s="906"/>
      <c r="C39" s="5996" t="e">
        <f>IF(C33=0,"",VLOOKUP(C33,'Tablas Magia'!$D$6:$Z$680,23,FALSE))</f>
        <v>#N/A</v>
      </c>
      <c r="D39" s="5997"/>
      <c r="E39" s="5997"/>
      <c r="F39" s="5997"/>
      <c r="G39" s="5997"/>
      <c r="H39" s="5997"/>
      <c r="I39" s="5997"/>
      <c r="J39" s="5997"/>
      <c r="K39" s="5997"/>
      <c r="L39" s="5997"/>
      <c r="M39" s="5997"/>
      <c r="N39" s="5997"/>
      <c r="O39" s="5997"/>
      <c r="P39" s="5997"/>
      <c r="Q39" s="5998"/>
      <c r="R39" s="450"/>
      <c r="S39" s="444"/>
      <c r="T39" s="444"/>
      <c r="U39" s="906"/>
      <c r="V39" s="5996" t="e">
        <f>IF(V33=0,"",VLOOKUP(V33,'Tablas Magia'!$D$6:$Z$680,23,FALSE))</f>
        <v>#N/A</v>
      </c>
      <c r="W39" s="5997"/>
      <c r="X39" s="5997"/>
      <c r="Y39" s="5997"/>
      <c r="Z39" s="5997"/>
      <c r="AA39" s="5997"/>
      <c r="AB39" s="5997"/>
      <c r="AC39" s="5997"/>
      <c r="AD39" s="5997"/>
      <c r="AE39" s="5997"/>
      <c r="AF39" s="5997"/>
      <c r="AG39" s="5997"/>
      <c r="AH39" s="5997"/>
      <c r="AI39" s="5997"/>
      <c r="AJ39" s="5998"/>
      <c r="AK39" s="450"/>
      <c r="AL39" s="444"/>
      <c r="AM39" s="499"/>
      <c r="AN39" s="906"/>
      <c r="AO39" s="5996" t="e">
        <f>IF(AO33=0,"",VLOOKUP(AO33,'Tablas Magia'!$D$6:$Z$680,23,FALSE))</f>
        <v>#N/A</v>
      </c>
      <c r="AP39" s="5997"/>
      <c r="AQ39" s="5997"/>
      <c r="AR39" s="5997"/>
      <c r="AS39" s="5997"/>
      <c r="AT39" s="5997"/>
      <c r="AU39" s="5997"/>
      <c r="AV39" s="5997"/>
      <c r="AW39" s="5997"/>
      <c r="AX39" s="5997"/>
      <c r="AY39" s="5997"/>
      <c r="AZ39" s="5997"/>
      <c r="BA39" s="5997"/>
      <c r="BB39" s="5997"/>
      <c r="BC39" s="5998"/>
      <c r="BD39" s="450"/>
      <c r="BE39" s="444"/>
      <c r="BF39" s="444"/>
      <c r="BG39" s="906"/>
      <c r="BH39" s="5996" t="e">
        <f>IF(BH33=0,"",VLOOKUP(BH33,'Tablas Magia'!$D$6:$Z$680,23,FALSE))</f>
        <v>#N/A</v>
      </c>
      <c r="BI39" s="5997"/>
      <c r="BJ39" s="5997"/>
      <c r="BK39" s="5997"/>
      <c r="BL39" s="5997"/>
      <c r="BM39" s="5997"/>
      <c r="BN39" s="5997"/>
      <c r="BO39" s="5997"/>
      <c r="BP39" s="5997"/>
      <c r="BQ39" s="5997"/>
      <c r="BR39" s="5997"/>
      <c r="BS39" s="5997"/>
      <c r="BT39" s="5997"/>
      <c r="BU39" s="5997"/>
      <c r="BV39" s="5998"/>
      <c r="BW39" s="450"/>
      <c r="BX39" s="444"/>
      <c r="BY39" s="444"/>
      <c r="BZ39" s="906"/>
      <c r="CA39" s="5996" t="e">
        <f>IF(CA33=0,"",VLOOKUP(CA33,'Tablas Magia'!$D$6:$Z$680,23,FALSE))</f>
        <v>#N/A</v>
      </c>
      <c r="CB39" s="5997"/>
      <c r="CC39" s="5997"/>
      <c r="CD39" s="5997"/>
      <c r="CE39" s="5997"/>
      <c r="CF39" s="5997"/>
      <c r="CG39" s="5997"/>
      <c r="CH39" s="5997"/>
      <c r="CI39" s="5997"/>
      <c r="CJ39" s="5997"/>
      <c r="CK39" s="5997"/>
      <c r="CL39" s="5997"/>
      <c r="CM39" s="5997"/>
      <c r="CN39" s="5997"/>
      <c r="CO39" s="5998"/>
      <c r="CP39" s="450"/>
      <c r="CQ39" s="444"/>
    </row>
    <row r="40" spans="1:95" ht="12" customHeight="1" x14ac:dyDescent="0.2">
      <c r="A40" s="444"/>
      <c r="B40" s="906"/>
      <c r="C40" s="5999"/>
      <c r="D40" s="6000"/>
      <c r="E40" s="6000"/>
      <c r="F40" s="6000"/>
      <c r="G40" s="6000"/>
      <c r="H40" s="6000"/>
      <c r="I40" s="6000"/>
      <c r="J40" s="6000"/>
      <c r="K40" s="6000"/>
      <c r="L40" s="6000"/>
      <c r="M40" s="6000"/>
      <c r="N40" s="6000"/>
      <c r="O40" s="6000"/>
      <c r="P40" s="6000"/>
      <c r="Q40" s="6001"/>
      <c r="R40" s="450"/>
      <c r="S40" s="444"/>
      <c r="T40" s="444"/>
      <c r="U40" s="906"/>
      <c r="V40" s="5999"/>
      <c r="W40" s="6000"/>
      <c r="X40" s="6000"/>
      <c r="Y40" s="6000"/>
      <c r="Z40" s="6000"/>
      <c r="AA40" s="6000"/>
      <c r="AB40" s="6000"/>
      <c r="AC40" s="6000"/>
      <c r="AD40" s="6000"/>
      <c r="AE40" s="6000"/>
      <c r="AF40" s="6000"/>
      <c r="AG40" s="6000"/>
      <c r="AH40" s="6000"/>
      <c r="AI40" s="6000"/>
      <c r="AJ40" s="6001"/>
      <c r="AK40" s="450"/>
      <c r="AL40" s="444"/>
      <c r="AM40" s="499"/>
      <c r="AN40" s="906"/>
      <c r="AO40" s="5999"/>
      <c r="AP40" s="6000"/>
      <c r="AQ40" s="6000"/>
      <c r="AR40" s="6000"/>
      <c r="AS40" s="6000"/>
      <c r="AT40" s="6000"/>
      <c r="AU40" s="6000"/>
      <c r="AV40" s="6000"/>
      <c r="AW40" s="6000"/>
      <c r="AX40" s="6000"/>
      <c r="AY40" s="6000"/>
      <c r="AZ40" s="6000"/>
      <c r="BA40" s="6000"/>
      <c r="BB40" s="6000"/>
      <c r="BC40" s="6001"/>
      <c r="BD40" s="450"/>
      <c r="BE40" s="444"/>
      <c r="BF40" s="444"/>
      <c r="BG40" s="906"/>
      <c r="BH40" s="5999"/>
      <c r="BI40" s="6000"/>
      <c r="BJ40" s="6000"/>
      <c r="BK40" s="6000"/>
      <c r="BL40" s="6000"/>
      <c r="BM40" s="6000"/>
      <c r="BN40" s="6000"/>
      <c r="BO40" s="6000"/>
      <c r="BP40" s="6000"/>
      <c r="BQ40" s="6000"/>
      <c r="BR40" s="6000"/>
      <c r="BS40" s="6000"/>
      <c r="BT40" s="6000"/>
      <c r="BU40" s="6000"/>
      <c r="BV40" s="6001"/>
      <c r="BW40" s="450"/>
      <c r="BX40" s="444"/>
      <c r="BY40" s="444"/>
      <c r="BZ40" s="906"/>
      <c r="CA40" s="5999"/>
      <c r="CB40" s="6000"/>
      <c r="CC40" s="6000"/>
      <c r="CD40" s="6000"/>
      <c r="CE40" s="6000"/>
      <c r="CF40" s="6000"/>
      <c r="CG40" s="6000"/>
      <c r="CH40" s="6000"/>
      <c r="CI40" s="6000"/>
      <c r="CJ40" s="6000"/>
      <c r="CK40" s="6000"/>
      <c r="CL40" s="6000"/>
      <c r="CM40" s="6000"/>
      <c r="CN40" s="6000"/>
      <c r="CO40" s="6001"/>
      <c r="CP40" s="450"/>
      <c r="CQ40" s="444"/>
    </row>
    <row r="41" spans="1:95" ht="12" customHeight="1" x14ac:dyDescent="0.2">
      <c r="A41" s="444"/>
      <c r="B41" s="906"/>
      <c r="C41" s="5999"/>
      <c r="D41" s="6000"/>
      <c r="E41" s="6000"/>
      <c r="F41" s="6000"/>
      <c r="G41" s="6000"/>
      <c r="H41" s="6000"/>
      <c r="I41" s="6000"/>
      <c r="J41" s="6000"/>
      <c r="K41" s="6000"/>
      <c r="L41" s="6000"/>
      <c r="M41" s="6000"/>
      <c r="N41" s="6000"/>
      <c r="O41" s="6000"/>
      <c r="P41" s="6000"/>
      <c r="Q41" s="6001"/>
      <c r="R41" s="450"/>
      <c r="S41" s="444"/>
      <c r="T41" s="444"/>
      <c r="U41" s="906"/>
      <c r="V41" s="5999"/>
      <c r="W41" s="6000"/>
      <c r="X41" s="6000"/>
      <c r="Y41" s="6000"/>
      <c r="Z41" s="6000"/>
      <c r="AA41" s="6000"/>
      <c r="AB41" s="6000"/>
      <c r="AC41" s="6000"/>
      <c r="AD41" s="6000"/>
      <c r="AE41" s="6000"/>
      <c r="AF41" s="6000"/>
      <c r="AG41" s="6000"/>
      <c r="AH41" s="6000"/>
      <c r="AI41" s="6000"/>
      <c r="AJ41" s="6001"/>
      <c r="AK41" s="450"/>
      <c r="AL41" s="444"/>
      <c r="AM41" s="499"/>
      <c r="AN41" s="906"/>
      <c r="AO41" s="5999"/>
      <c r="AP41" s="6000"/>
      <c r="AQ41" s="6000"/>
      <c r="AR41" s="6000"/>
      <c r="AS41" s="6000"/>
      <c r="AT41" s="6000"/>
      <c r="AU41" s="6000"/>
      <c r="AV41" s="6000"/>
      <c r="AW41" s="6000"/>
      <c r="AX41" s="6000"/>
      <c r="AY41" s="6000"/>
      <c r="AZ41" s="6000"/>
      <c r="BA41" s="6000"/>
      <c r="BB41" s="6000"/>
      <c r="BC41" s="6001"/>
      <c r="BD41" s="450"/>
      <c r="BE41" s="444"/>
      <c r="BF41" s="444"/>
      <c r="BG41" s="906"/>
      <c r="BH41" s="5999"/>
      <c r="BI41" s="6000"/>
      <c r="BJ41" s="6000"/>
      <c r="BK41" s="6000"/>
      <c r="BL41" s="6000"/>
      <c r="BM41" s="6000"/>
      <c r="BN41" s="6000"/>
      <c r="BO41" s="6000"/>
      <c r="BP41" s="6000"/>
      <c r="BQ41" s="6000"/>
      <c r="BR41" s="6000"/>
      <c r="BS41" s="6000"/>
      <c r="BT41" s="6000"/>
      <c r="BU41" s="6000"/>
      <c r="BV41" s="6001"/>
      <c r="BW41" s="450"/>
      <c r="BX41" s="444"/>
      <c r="BY41" s="444"/>
      <c r="BZ41" s="906"/>
      <c r="CA41" s="5999"/>
      <c r="CB41" s="6000"/>
      <c r="CC41" s="6000"/>
      <c r="CD41" s="6000"/>
      <c r="CE41" s="6000"/>
      <c r="CF41" s="6000"/>
      <c r="CG41" s="6000"/>
      <c r="CH41" s="6000"/>
      <c r="CI41" s="6000"/>
      <c r="CJ41" s="6000"/>
      <c r="CK41" s="6000"/>
      <c r="CL41" s="6000"/>
      <c r="CM41" s="6000"/>
      <c r="CN41" s="6000"/>
      <c r="CO41" s="6001"/>
      <c r="CP41" s="450"/>
      <c r="CQ41" s="444"/>
    </row>
    <row r="42" spans="1:95" ht="12" customHeight="1" thickBot="1" x14ac:dyDescent="0.25">
      <c r="A42" s="444"/>
      <c r="B42" s="906"/>
      <c r="C42" s="6002"/>
      <c r="D42" s="6003"/>
      <c r="E42" s="6003"/>
      <c r="F42" s="6003"/>
      <c r="G42" s="6003"/>
      <c r="H42" s="6003"/>
      <c r="I42" s="6003"/>
      <c r="J42" s="6003"/>
      <c r="K42" s="6003"/>
      <c r="L42" s="6003"/>
      <c r="M42" s="6003"/>
      <c r="N42" s="6003"/>
      <c r="O42" s="6003"/>
      <c r="P42" s="6003"/>
      <c r="Q42" s="6004"/>
      <c r="R42" s="450"/>
      <c r="S42" s="444"/>
      <c r="T42" s="444"/>
      <c r="U42" s="906"/>
      <c r="V42" s="6002"/>
      <c r="W42" s="6003"/>
      <c r="X42" s="6003"/>
      <c r="Y42" s="6003"/>
      <c r="Z42" s="6003"/>
      <c r="AA42" s="6003"/>
      <c r="AB42" s="6003"/>
      <c r="AC42" s="6003"/>
      <c r="AD42" s="6003"/>
      <c r="AE42" s="6003"/>
      <c r="AF42" s="6003"/>
      <c r="AG42" s="6003"/>
      <c r="AH42" s="6003"/>
      <c r="AI42" s="6003"/>
      <c r="AJ42" s="6004"/>
      <c r="AK42" s="450"/>
      <c r="AL42" s="444"/>
      <c r="AM42" s="499"/>
      <c r="AN42" s="906"/>
      <c r="AO42" s="6002"/>
      <c r="AP42" s="6003"/>
      <c r="AQ42" s="6003"/>
      <c r="AR42" s="6003"/>
      <c r="AS42" s="6003"/>
      <c r="AT42" s="6003"/>
      <c r="AU42" s="6003"/>
      <c r="AV42" s="6003"/>
      <c r="AW42" s="6003"/>
      <c r="AX42" s="6003"/>
      <c r="AY42" s="6003"/>
      <c r="AZ42" s="6003"/>
      <c r="BA42" s="6003"/>
      <c r="BB42" s="6003"/>
      <c r="BC42" s="6004"/>
      <c r="BD42" s="450"/>
      <c r="BE42" s="444"/>
      <c r="BF42" s="444"/>
      <c r="BG42" s="906"/>
      <c r="BH42" s="6002"/>
      <c r="BI42" s="6003"/>
      <c r="BJ42" s="6003"/>
      <c r="BK42" s="6003"/>
      <c r="BL42" s="6003"/>
      <c r="BM42" s="6003"/>
      <c r="BN42" s="6003"/>
      <c r="BO42" s="6003"/>
      <c r="BP42" s="6003"/>
      <c r="BQ42" s="6003"/>
      <c r="BR42" s="6003"/>
      <c r="BS42" s="6003"/>
      <c r="BT42" s="6003"/>
      <c r="BU42" s="6003"/>
      <c r="BV42" s="6004"/>
      <c r="BW42" s="450"/>
      <c r="BX42" s="444"/>
      <c r="BY42" s="444"/>
      <c r="BZ42" s="906"/>
      <c r="CA42" s="6002"/>
      <c r="CB42" s="6003"/>
      <c r="CC42" s="6003"/>
      <c r="CD42" s="6003"/>
      <c r="CE42" s="6003"/>
      <c r="CF42" s="6003"/>
      <c r="CG42" s="6003"/>
      <c r="CH42" s="6003"/>
      <c r="CI42" s="6003"/>
      <c r="CJ42" s="6003"/>
      <c r="CK42" s="6003"/>
      <c r="CL42" s="6003"/>
      <c r="CM42" s="6003"/>
      <c r="CN42" s="6003"/>
      <c r="CO42" s="6004"/>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601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13"/>
      <c r="E44" s="6013"/>
      <c r="F44" s="6013"/>
      <c r="G44" s="6020"/>
      <c r="H44" s="454" t="s">
        <v>1333</v>
      </c>
      <c r="I44" s="455">
        <f>B44</f>
        <v>8</v>
      </c>
      <c r="J44" s="6005" t="s">
        <v>6388</v>
      </c>
      <c r="K44" s="6005"/>
      <c r="L44" s="6005"/>
      <c r="M44" s="5972" t="e">
        <f>IF(C44=0,"",VLOOKUP(C44,'Tablas Magia'!$D$6:$Z$680,2,FALSE))</f>
        <v>#N/A</v>
      </c>
      <c r="N44" s="5972"/>
      <c r="O44" s="1959"/>
      <c r="P44" s="6016" t="str">
        <f>IFERROR(IF(M44="Libre Acceso","Aprendido",IF(IFERROR(VLOOKUP(M44,Místicos!$C$15:$H$25,6,0)&gt;=I44,FALSE),"Aprendido",IF(IFERROR(VLOOKUP(M44,Místicos!$E$15:$H$25,4,0)&gt;=I44,FALSE),"Aprendido",""))),"")</f>
        <v/>
      </c>
      <c r="Q44" s="6017"/>
      <c r="R44" s="450"/>
      <c r="S44" s="444"/>
      <c r="T44" s="444"/>
      <c r="U44" s="906">
        <f>U33+2</f>
        <v>28</v>
      </c>
      <c r="V44" s="601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13"/>
      <c r="X44" s="6013"/>
      <c r="Y44" s="6013"/>
      <c r="Z44" s="6020"/>
      <c r="AA44" s="454" t="s">
        <v>1333</v>
      </c>
      <c r="AB44" s="455">
        <f>U44</f>
        <v>28</v>
      </c>
      <c r="AC44" s="6005" t="s">
        <v>6388</v>
      </c>
      <c r="AD44" s="6005"/>
      <c r="AE44" s="6005"/>
      <c r="AF44" s="5972" t="e">
        <f>IF(V44=0,"",VLOOKUP(V44,'Tablas Magia'!$D$6:$Z$680,2,FALSE))</f>
        <v>#N/A</v>
      </c>
      <c r="AG44" s="5972"/>
      <c r="AH44" s="1959"/>
      <c r="AI44" s="6016" t="str">
        <f>IFERROR(IF(AF44="Libre Acceso","Aprendido",IF(IFERROR(VLOOKUP(AF44,Místicos!$C$15:$H$25,6,0)&gt;=AB44,FALSE),"Aprendido",IF(IFERROR(VLOOKUP(AF44,Místicos!$E$15:$H$25,4,0)&gt;=AB44,FALSE),"Aprendido",""))),"")</f>
        <v/>
      </c>
      <c r="AJ44" s="6017"/>
      <c r="AK44" s="450"/>
      <c r="AL44" s="444"/>
      <c r="AM44" s="499"/>
      <c r="AN44" s="906">
        <f>AN33+2</f>
        <v>48</v>
      </c>
      <c r="AO44" s="601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13"/>
      <c r="AQ44" s="6013"/>
      <c r="AR44" s="6013"/>
      <c r="AS44" s="6020"/>
      <c r="AT44" s="454" t="s">
        <v>1333</v>
      </c>
      <c r="AU44" s="455">
        <f>AN44</f>
        <v>48</v>
      </c>
      <c r="AV44" s="6005" t="s">
        <v>6388</v>
      </c>
      <c r="AW44" s="6005"/>
      <c r="AX44" s="6005"/>
      <c r="AY44" s="5972" t="e">
        <f>IF(AO44=0,"",VLOOKUP(AO44,'Tablas Magia'!$D$6:$Z$680,2,FALSE))</f>
        <v>#N/A</v>
      </c>
      <c r="AZ44" s="5972"/>
      <c r="BA44" s="1959"/>
      <c r="BB44" s="6016" t="str">
        <f>IFERROR(IF(AY44="Libre Acceso","Aprendido",IF(IFERROR(VLOOKUP(AY44,Místicos!$C$15:$H$25,6,0)&gt;=AU44,FALSE),"Aprendido",IF(IFERROR(VLOOKUP(AY44,Místicos!$E$15:$H$25,4,0)&gt;=AU44,FALSE),"Aprendido",""))),"")</f>
        <v/>
      </c>
      <c r="BC44" s="6017"/>
      <c r="BD44" s="450"/>
      <c r="BE44" s="444"/>
      <c r="BF44" s="444"/>
      <c r="BG44" s="906">
        <f>BG33+2</f>
        <v>68</v>
      </c>
      <c r="BH44" s="601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13"/>
      <c r="BJ44" s="6013"/>
      <c r="BK44" s="6013"/>
      <c r="BL44" s="6020"/>
      <c r="BM44" s="454" t="s">
        <v>1333</v>
      </c>
      <c r="BN44" s="455">
        <f>BG44</f>
        <v>68</v>
      </c>
      <c r="BO44" s="6005" t="s">
        <v>6388</v>
      </c>
      <c r="BP44" s="6005"/>
      <c r="BQ44" s="6005"/>
      <c r="BR44" s="5972" t="e">
        <f>IF(BH44=0,"",VLOOKUP(BH44,'Tablas Magia'!$D$6:$Z$680,2,FALSE))</f>
        <v>#N/A</v>
      </c>
      <c r="BS44" s="5972"/>
      <c r="BT44" s="1959"/>
      <c r="BU44" s="6016" t="str">
        <f>IFERROR(IF(BR44="Libre Acceso","Aprendido",IF(IFERROR(VLOOKUP(BR44,Místicos!$C$15:$H$25,6,0)&gt;=BN44,FALSE),"Aprendido",IF(IFERROR(VLOOKUP(BR44,Místicos!$E$15:$H$25,4,0)&gt;=BN44,FALSE),"Aprendido",""))),"")</f>
        <v/>
      </c>
      <c r="BV44" s="6017"/>
      <c r="BW44" s="450"/>
      <c r="BX44" s="444"/>
      <c r="BY44" s="444"/>
      <c r="BZ44" s="906">
        <f>BZ33+2</f>
        <v>88</v>
      </c>
      <c r="CA44" s="601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13"/>
      <c r="CC44" s="6013"/>
      <c r="CD44" s="6013"/>
      <c r="CE44" s="6020"/>
      <c r="CF44" s="454" t="s">
        <v>1333</v>
      </c>
      <c r="CG44" s="455">
        <f>BZ44</f>
        <v>88</v>
      </c>
      <c r="CH44" s="6005" t="s">
        <v>6388</v>
      </c>
      <c r="CI44" s="6005"/>
      <c r="CJ44" s="6005"/>
      <c r="CK44" s="5972" t="e">
        <f>IF(CA44=0,"",VLOOKUP(CA44,'Tablas Magia'!$D$6:$Z$680,2,FALSE))</f>
        <v>#N/A</v>
      </c>
      <c r="CL44" s="5972"/>
      <c r="CM44" s="1959"/>
      <c r="CN44" s="6016" t="str">
        <f>IFERROR(IF(CK44="Libre Acceso","Aprendido",IF(IFERROR(VLOOKUP(CK44,Místicos!$C$15:$H$25,6,0)&gt;=CG44,FALSE),"Aprendido",IF(IFERROR(VLOOKUP(CK44,Místicos!$E$15:$H$25,4,0)&gt;=CG44,FALSE),"Aprendido",""))),"")</f>
        <v/>
      </c>
      <c r="CO44" s="6017"/>
      <c r="CP44" s="450"/>
      <c r="CQ44" s="444"/>
    </row>
    <row r="45" spans="1:95" ht="12" customHeight="1" x14ac:dyDescent="0.2">
      <c r="A45" s="444"/>
      <c r="B45" s="906"/>
      <c r="C45" s="5989" t="s">
        <v>6389</v>
      </c>
      <c r="D45" s="6006"/>
      <c r="E45" s="1972" t="s">
        <v>6390</v>
      </c>
      <c r="F45" s="1972" t="s">
        <v>1517</v>
      </c>
      <c r="G45" s="1972" t="s">
        <v>2914</v>
      </c>
      <c r="H45" s="1973" t="s">
        <v>1845</v>
      </c>
      <c r="I45" s="6007" t="e">
        <f>IF(C44=0,"",VLOOKUP(C44,'Tablas Magia'!$D$6:$Z$680,5,FALSE))</f>
        <v>#N/A</v>
      </c>
      <c r="J45" s="6007"/>
      <c r="K45" s="6018" t="s">
        <v>6391</v>
      </c>
      <c r="L45" s="6018"/>
      <c r="M45" s="6007" t="e">
        <f>IF(C44=0,"",VLOOKUP(C44,'Tablas Magia'!$D$6:$Z$680,6,FALSE))</f>
        <v>#N/A</v>
      </c>
      <c r="N45" s="6007"/>
      <c r="O45" s="6008" t="s">
        <v>6392</v>
      </c>
      <c r="P45" s="6008"/>
      <c r="Q45" s="1974" t="e">
        <f>IF(C44=0,"",VLOOKUP(C44,'Tablas Magia'!$D$6:$Z$680,4,FALSE))</f>
        <v>#N/A</v>
      </c>
      <c r="R45" s="450"/>
      <c r="S45" s="444"/>
      <c r="T45" s="444"/>
      <c r="U45" s="906"/>
      <c r="V45" s="5989" t="s">
        <v>6389</v>
      </c>
      <c r="W45" s="6006"/>
      <c r="X45" s="1972" t="s">
        <v>6390</v>
      </c>
      <c r="Y45" s="1972" t="s">
        <v>1517</v>
      </c>
      <c r="Z45" s="1972" t="s">
        <v>2914</v>
      </c>
      <c r="AA45" s="1973" t="s">
        <v>1845</v>
      </c>
      <c r="AB45" s="6007" t="e">
        <f>IF(V44=0,"",VLOOKUP(V44,'Tablas Magia'!$D$6:$Z$680,5,FALSE))</f>
        <v>#N/A</v>
      </c>
      <c r="AC45" s="6007"/>
      <c r="AD45" s="6018" t="s">
        <v>6391</v>
      </c>
      <c r="AE45" s="6018"/>
      <c r="AF45" s="6007" t="e">
        <f>IF(V44=0,"",VLOOKUP(V44,'Tablas Magia'!$D$6:$Z$680,6,FALSE))</f>
        <v>#N/A</v>
      </c>
      <c r="AG45" s="6007"/>
      <c r="AH45" s="6008" t="s">
        <v>6392</v>
      </c>
      <c r="AI45" s="6008"/>
      <c r="AJ45" s="1974" t="e">
        <f>IF(V44=0,"",VLOOKUP(V44,'Tablas Magia'!$D$6:$Z$680,4,FALSE))</f>
        <v>#N/A</v>
      </c>
      <c r="AK45" s="450"/>
      <c r="AL45" s="444"/>
      <c r="AM45" s="499"/>
      <c r="AN45" s="906"/>
      <c r="AO45" s="5989" t="s">
        <v>6389</v>
      </c>
      <c r="AP45" s="6006"/>
      <c r="AQ45" s="1972" t="s">
        <v>6390</v>
      </c>
      <c r="AR45" s="1972" t="s">
        <v>1517</v>
      </c>
      <c r="AS45" s="1972" t="s">
        <v>2914</v>
      </c>
      <c r="AT45" s="1973" t="s">
        <v>1845</v>
      </c>
      <c r="AU45" s="6007" t="e">
        <f>IF(AO44=0,"",VLOOKUP(AO44,'Tablas Magia'!$D$6:$Z$680,5,FALSE))</f>
        <v>#N/A</v>
      </c>
      <c r="AV45" s="6007"/>
      <c r="AW45" s="6018" t="s">
        <v>6391</v>
      </c>
      <c r="AX45" s="6018"/>
      <c r="AY45" s="6007" t="e">
        <f>IF(AO44=0,"",VLOOKUP(AO44,'Tablas Magia'!$D$6:$Z$680,6,FALSE))</f>
        <v>#N/A</v>
      </c>
      <c r="AZ45" s="6007"/>
      <c r="BA45" s="6008" t="s">
        <v>6392</v>
      </c>
      <c r="BB45" s="6008"/>
      <c r="BC45" s="1974" t="e">
        <f>IF(AO44=0,"",VLOOKUP(AO44,'Tablas Magia'!$D$6:$Z$680,4,FALSE))</f>
        <v>#N/A</v>
      </c>
      <c r="BD45" s="450"/>
      <c r="BE45" s="444"/>
      <c r="BF45" s="444"/>
      <c r="BG45" s="906"/>
      <c r="BH45" s="5989" t="s">
        <v>6389</v>
      </c>
      <c r="BI45" s="6006"/>
      <c r="BJ45" s="1972" t="s">
        <v>6390</v>
      </c>
      <c r="BK45" s="1972" t="s">
        <v>1517</v>
      </c>
      <c r="BL45" s="1972" t="s">
        <v>2914</v>
      </c>
      <c r="BM45" s="1973" t="s">
        <v>1845</v>
      </c>
      <c r="BN45" s="6007" t="e">
        <f>IF(BH44=0,"",VLOOKUP(BH44,'Tablas Magia'!$D$6:$Z$680,5,FALSE))</f>
        <v>#N/A</v>
      </c>
      <c r="BO45" s="6007"/>
      <c r="BP45" s="6018" t="s">
        <v>6391</v>
      </c>
      <c r="BQ45" s="6018"/>
      <c r="BR45" s="6007" t="e">
        <f>IF(BH44=0,"",VLOOKUP(BH44,'Tablas Magia'!$D$6:$Z$680,6,FALSE))</f>
        <v>#N/A</v>
      </c>
      <c r="BS45" s="6007"/>
      <c r="BT45" s="6008" t="s">
        <v>6392</v>
      </c>
      <c r="BU45" s="6008"/>
      <c r="BV45" s="1974" t="e">
        <f>IF(BH44=0,"",VLOOKUP(BH44,'Tablas Magia'!$D$6:$Z$680,4,FALSE))</f>
        <v>#N/A</v>
      </c>
      <c r="BW45" s="450"/>
      <c r="BX45" s="444"/>
      <c r="BY45" s="444"/>
      <c r="BZ45" s="906"/>
      <c r="CA45" s="5989" t="s">
        <v>6389</v>
      </c>
      <c r="CB45" s="6006"/>
      <c r="CC45" s="1972" t="s">
        <v>6390</v>
      </c>
      <c r="CD45" s="1972" t="s">
        <v>1517</v>
      </c>
      <c r="CE45" s="1972" t="s">
        <v>2914</v>
      </c>
      <c r="CF45" s="1973" t="s">
        <v>1845</v>
      </c>
      <c r="CG45" s="6007" t="e">
        <f>IF(CA44=0,"",VLOOKUP(CA44,'Tablas Magia'!$D$6:$Z$680,5,FALSE))</f>
        <v>#N/A</v>
      </c>
      <c r="CH45" s="6007"/>
      <c r="CI45" s="6018" t="s">
        <v>6391</v>
      </c>
      <c r="CJ45" s="6018"/>
      <c r="CK45" s="6007" t="e">
        <f>IF(CA44=0,"",VLOOKUP(CA44,'Tablas Magia'!$D$6:$Z$680,6,FALSE))</f>
        <v>#N/A</v>
      </c>
      <c r="CL45" s="6007"/>
      <c r="CM45" s="6008" t="s">
        <v>6392</v>
      </c>
      <c r="CN45" s="6008"/>
      <c r="CO45" s="1974" t="e">
        <f>IF(CA44=0,"",VLOOKUP(CA44,'Tablas Magia'!$D$6:$Z$680,4,FALSE))</f>
        <v>#N/A</v>
      </c>
      <c r="CP45" s="450"/>
      <c r="CQ45" s="444"/>
    </row>
    <row r="46" spans="1:95" ht="12" customHeight="1" x14ac:dyDescent="0.2">
      <c r="A46" s="444"/>
      <c r="B46" s="906"/>
      <c r="C46" s="6014" t="s">
        <v>1373</v>
      </c>
      <c r="D46" s="6015"/>
      <c r="E46" s="459" t="e">
        <f>IF(C44=0,"",VLOOKUP(C44,'Tablas Magia'!$D$6:$Z$680,7,FALSE))</f>
        <v>#N/A</v>
      </c>
      <c r="F46" s="459" t="e">
        <f>IF(C44=0,"",VLOOKUP(C44,'Tablas Magia'!$D$6:$Z$680,11,FALSE))</f>
        <v>#N/A</v>
      </c>
      <c r="G46" s="460" t="e">
        <f>IF(C44=0,"",VLOOKUP(C44,'Tablas Magia'!$D$6:$Z$680,15,FALSE))</f>
        <v>#N/A</v>
      </c>
      <c r="H46" s="6009" t="e">
        <f>IF(C44=0,"",VLOOKUP(C44,'Tablas Magia'!$D$6:$Z$680,19,FALSE))</f>
        <v>#N/A</v>
      </c>
      <c r="I46" s="6010"/>
      <c r="J46" s="6010"/>
      <c r="K46" s="6010"/>
      <c r="L46" s="6010"/>
      <c r="M46" s="6010"/>
      <c r="N46" s="6010"/>
      <c r="O46" s="6010"/>
      <c r="P46" s="6010"/>
      <c r="Q46" s="6011"/>
      <c r="R46" s="450"/>
      <c r="S46" s="444"/>
      <c r="T46" s="444"/>
      <c r="U46" s="906"/>
      <c r="V46" s="6014" t="s">
        <v>1373</v>
      </c>
      <c r="W46" s="6015"/>
      <c r="X46" s="459" t="e">
        <f>IF(V44=0,"",VLOOKUP(V44,'Tablas Magia'!$D$6:$Z$680,7,FALSE))</f>
        <v>#N/A</v>
      </c>
      <c r="Y46" s="459" t="e">
        <f>IF(V44=0,"",VLOOKUP(V44,'Tablas Magia'!$D$6:$Z$680,11,FALSE))</f>
        <v>#N/A</v>
      </c>
      <c r="Z46" s="460" t="e">
        <f>IF(V44=0,"",VLOOKUP(V44,'Tablas Magia'!$D$6:$Z$680,15,FALSE))</f>
        <v>#N/A</v>
      </c>
      <c r="AA46" s="6009" t="e">
        <f>IF(V44=0,"",VLOOKUP(V44,'Tablas Magia'!$D$6:$Z$680,19,FALSE))</f>
        <v>#N/A</v>
      </c>
      <c r="AB46" s="6010"/>
      <c r="AC46" s="6010"/>
      <c r="AD46" s="6010"/>
      <c r="AE46" s="6010"/>
      <c r="AF46" s="6010"/>
      <c r="AG46" s="6010"/>
      <c r="AH46" s="6010"/>
      <c r="AI46" s="6010"/>
      <c r="AJ46" s="6011"/>
      <c r="AK46" s="450"/>
      <c r="AL46" s="444"/>
      <c r="AM46" s="499"/>
      <c r="AN46" s="906"/>
      <c r="AO46" s="6014" t="s">
        <v>1373</v>
      </c>
      <c r="AP46" s="6015"/>
      <c r="AQ46" s="459" t="e">
        <f>IF(AO44=0,"",VLOOKUP(AO44,'Tablas Magia'!$D$6:$Z$680,7,FALSE))</f>
        <v>#N/A</v>
      </c>
      <c r="AR46" s="459" t="e">
        <f>IF(AO44=0,"",VLOOKUP(AO44,'Tablas Magia'!$D$6:$Z$680,11,FALSE))</f>
        <v>#N/A</v>
      </c>
      <c r="AS46" s="460" t="e">
        <f>IF(AO44=0,"",VLOOKUP(AO44,'Tablas Magia'!$D$6:$Z$680,15,FALSE))</f>
        <v>#N/A</v>
      </c>
      <c r="AT46" s="6009" t="e">
        <f>IF(AO44=0,"",VLOOKUP(AO44,'Tablas Magia'!$D$6:$Z$680,19,FALSE))</f>
        <v>#N/A</v>
      </c>
      <c r="AU46" s="6010"/>
      <c r="AV46" s="6010"/>
      <c r="AW46" s="6010"/>
      <c r="AX46" s="6010"/>
      <c r="AY46" s="6010"/>
      <c r="AZ46" s="6010"/>
      <c r="BA46" s="6010"/>
      <c r="BB46" s="6010"/>
      <c r="BC46" s="6011"/>
      <c r="BD46" s="450"/>
      <c r="BE46" s="444"/>
      <c r="BF46" s="444"/>
      <c r="BG46" s="906"/>
      <c r="BH46" s="6014" t="s">
        <v>1373</v>
      </c>
      <c r="BI46" s="6015"/>
      <c r="BJ46" s="459" t="e">
        <f>IF(BH44=0,"",VLOOKUP(BH44,'Tablas Magia'!$D$6:$Z$680,7,FALSE))</f>
        <v>#N/A</v>
      </c>
      <c r="BK46" s="459" t="e">
        <f>IF(BH44=0,"",VLOOKUP(BH44,'Tablas Magia'!$D$6:$Z$680,11,FALSE))</f>
        <v>#N/A</v>
      </c>
      <c r="BL46" s="460" t="e">
        <f>IF(BH44=0,"",VLOOKUP(BH44,'Tablas Magia'!$D$6:$Z$680,15,FALSE))</f>
        <v>#N/A</v>
      </c>
      <c r="BM46" s="6009" t="e">
        <f>IF(BH44=0,"",VLOOKUP(BH44,'Tablas Magia'!$D$6:$Z$680,19,FALSE))</f>
        <v>#N/A</v>
      </c>
      <c r="BN46" s="6010"/>
      <c r="BO46" s="6010"/>
      <c r="BP46" s="6010"/>
      <c r="BQ46" s="6010"/>
      <c r="BR46" s="6010"/>
      <c r="BS46" s="6010"/>
      <c r="BT46" s="6010"/>
      <c r="BU46" s="6010"/>
      <c r="BV46" s="6011"/>
      <c r="BW46" s="450"/>
      <c r="BX46" s="444"/>
      <c r="BY46" s="444"/>
      <c r="BZ46" s="906"/>
      <c r="CA46" s="6014" t="s">
        <v>1373</v>
      </c>
      <c r="CB46" s="6015"/>
      <c r="CC46" s="459" t="e">
        <f>IF(CA44=0,"",VLOOKUP(CA44,'Tablas Magia'!$D$6:$Z$680,7,FALSE))</f>
        <v>#N/A</v>
      </c>
      <c r="CD46" s="459" t="e">
        <f>IF(CA44=0,"",VLOOKUP(CA44,'Tablas Magia'!$D$6:$Z$680,11,FALSE))</f>
        <v>#N/A</v>
      </c>
      <c r="CE46" s="460" t="e">
        <f>IF(CA44=0,"",VLOOKUP(CA44,'Tablas Magia'!$D$6:$Z$680,15,FALSE))</f>
        <v>#N/A</v>
      </c>
      <c r="CF46" s="6009" t="e">
        <f>IF(CA44=0,"",VLOOKUP(CA44,'Tablas Magia'!$D$6:$Z$680,19,FALSE))</f>
        <v>#N/A</v>
      </c>
      <c r="CG46" s="6010"/>
      <c r="CH46" s="6010"/>
      <c r="CI46" s="6010"/>
      <c r="CJ46" s="6010"/>
      <c r="CK46" s="6010"/>
      <c r="CL46" s="6010"/>
      <c r="CM46" s="6010"/>
      <c r="CN46" s="6010"/>
      <c r="CO46" s="6011"/>
      <c r="CP46" s="450"/>
      <c r="CQ46" s="444"/>
    </row>
    <row r="47" spans="1:95" ht="12" customHeight="1" x14ac:dyDescent="0.2">
      <c r="A47" s="444"/>
      <c r="B47" s="906"/>
      <c r="C47" s="5976" t="s">
        <v>3285</v>
      </c>
      <c r="D47" s="5977"/>
      <c r="E47" s="461" t="e">
        <f>IF(C44=0,"",VLOOKUP(C44,'Tablas Magia'!$D$6:$Z$680,8,FALSE))</f>
        <v>#N/A</v>
      </c>
      <c r="F47" s="461" t="e">
        <f>IF(C44=0,"",VLOOKUP(C44,'Tablas Magia'!$D$6:$Z$680,12,FALSE))</f>
        <v>#N/A</v>
      </c>
      <c r="G47" s="462" t="e">
        <f>IF(C44=0,"",VLOOKUP(C44,'Tablas Magia'!$D$6:$Z$680,16,FALSE))</f>
        <v>#N/A</v>
      </c>
      <c r="H47" s="5978" t="e">
        <f>IF(C44=0,"",VLOOKUP(C44,'Tablas Magia'!$D$6:$Z$680,20,FALSE))</f>
        <v>#N/A</v>
      </c>
      <c r="I47" s="5979"/>
      <c r="J47" s="5979"/>
      <c r="K47" s="5979"/>
      <c r="L47" s="5979"/>
      <c r="M47" s="5979"/>
      <c r="N47" s="5979"/>
      <c r="O47" s="5979"/>
      <c r="P47" s="5979"/>
      <c r="Q47" s="5980"/>
      <c r="R47" s="450"/>
      <c r="S47" s="444"/>
      <c r="T47" s="444"/>
      <c r="U47" s="906"/>
      <c r="V47" s="5976" t="s">
        <v>3285</v>
      </c>
      <c r="W47" s="5977"/>
      <c r="X47" s="461" t="e">
        <f>IF(V44=0,"",VLOOKUP(V44,'Tablas Magia'!$D$6:$Z$680,8,FALSE))</f>
        <v>#N/A</v>
      </c>
      <c r="Y47" s="461" t="e">
        <f>IF(V44=0,"",VLOOKUP(V44,'Tablas Magia'!$D$6:$Z$680,12,FALSE))</f>
        <v>#N/A</v>
      </c>
      <c r="Z47" s="462" t="e">
        <f>IF(V44=0,"",VLOOKUP(V44,'Tablas Magia'!$D$6:$Z$680,16,FALSE))</f>
        <v>#N/A</v>
      </c>
      <c r="AA47" s="5978" t="e">
        <f>IF(V44=0,"",VLOOKUP(V44,'Tablas Magia'!$D$6:$Z$680,20,FALSE))</f>
        <v>#N/A</v>
      </c>
      <c r="AB47" s="5979"/>
      <c r="AC47" s="5979"/>
      <c r="AD47" s="5979"/>
      <c r="AE47" s="5979"/>
      <c r="AF47" s="5979"/>
      <c r="AG47" s="5979"/>
      <c r="AH47" s="5979"/>
      <c r="AI47" s="5979"/>
      <c r="AJ47" s="5980"/>
      <c r="AK47" s="450"/>
      <c r="AL47" s="444"/>
      <c r="AM47" s="499"/>
      <c r="AN47" s="906"/>
      <c r="AO47" s="5976" t="s">
        <v>3285</v>
      </c>
      <c r="AP47" s="5977"/>
      <c r="AQ47" s="461" t="e">
        <f>IF(AO44=0,"",VLOOKUP(AO44,'Tablas Magia'!$D$6:$Z$680,8,FALSE))</f>
        <v>#N/A</v>
      </c>
      <c r="AR47" s="461" t="e">
        <f>IF(AO44=0,"",VLOOKUP(AO44,'Tablas Magia'!$D$6:$Z$680,12,FALSE))</f>
        <v>#N/A</v>
      </c>
      <c r="AS47" s="462" t="e">
        <f>IF(AO44=0,"",VLOOKUP(AO44,'Tablas Magia'!$D$6:$Z$680,16,FALSE))</f>
        <v>#N/A</v>
      </c>
      <c r="AT47" s="5978" t="e">
        <f>IF(AO44=0,"",VLOOKUP(AO44,'Tablas Magia'!$D$6:$Z$680,20,FALSE))</f>
        <v>#N/A</v>
      </c>
      <c r="AU47" s="5979"/>
      <c r="AV47" s="5979"/>
      <c r="AW47" s="5979"/>
      <c r="AX47" s="5979"/>
      <c r="AY47" s="5979"/>
      <c r="AZ47" s="5979"/>
      <c r="BA47" s="5979"/>
      <c r="BB47" s="5979"/>
      <c r="BC47" s="5980"/>
      <c r="BD47" s="450"/>
      <c r="BE47" s="444"/>
      <c r="BF47" s="444"/>
      <c r="BG47" s="906"/>
      <c r="BH47" s="5976" t="s">
        <v>3285</v>
      </c>
      <c r="BI47" s="5977"/>
      <c r="BJ47" s="461" t="e">
        <f>IF(BH44=0,"",VLOOKUP(BH44,'Tablas Magia'!$D$6:$Z$680,8,FALSE))</f>
        <v>#N/A</v>
      </c>
      <c r="BK47" s="461" t="e">
        <f>IF(BH44=0,"",VLOOKUP(BH44,'Tablas Magia'!$D$6:$Z$680,12,FALSE))</f>
        <v>#N/A</v>
      </c>
      <c r="BL47" s="462" t="e">
        <f>IF(BH44=0,"",VLOOKUP(BH44,'Tablas Magia'!$D$6:$Z$680,16,FALSE))</f>
        <v>#N/A</v>
      </c>
      <c r="BM47" s="5978" t="e">
        <f>IF(BH44=0,"",VLOOKUP(BH44,'Tablas Magia'!$D$6:$Z$680,20,FALSE))</f>
        <v>#N/A</v>
      </c>
      <c r="BN47" s="5979"/>
      <c r="BO47" s="5979"/>
      <c r="BP47" s="5979"/>
      <c r="BQ47" s="5979"/>
      <c r="BR47" s="5979"/>
      <c r="BS47" s="5979"/>
      <c r="BT47" s="5979"/>
      <c r="BU47" s="5979"/>
      <c r="BV47" s="5980"/>
      <c r="BW47" s="450"/>
      <c r="BX47" s="444"/>
      <c r="BY47" s="444"/>
      <c r="BZ47" s="906"/>
      <c r="CA47" s="5976" t="s">
        <v>3285</v>
      </c>
      <c r="CB47" s="5977"/>
      <c r="CC47" s="461" t="e">
        <f>IF(CA44=0,"",VLOOKUP(CA44,'Tablas Magia'!$D$6:$Z$680,8,FALSE))</f>
        <v>#N/A</v>
      </c>
      <c r="CD47" s="461" t="e">
        <f>IF(CA44=0,"",VLOOKUP(CA44,'Tablas Magia'!$D$6:$Z$680,12,FALSE))</f>
        <v>#N/A</v>
      </c>
      <c r="CE47" s="462" t="e">
        <f>IF(CA44=0,"",VLOOKUP(CA44,'Tablas Magia'!$D$6:$Z$680,16,FALSE))</f>
        <v>#N/A</v>
      </c>
      <c r="CF47" s="5978" t="e">
        <f>IF(CA44=0,"",VLOOKUP(CA44,'Tablas Magia'!$D$6:$Z$680,20,FALSE))</f>
        <v>#N/A</v>
      </c>
      <c r="CG47" s="5979"/>
      <c r="CH47" s="5979"/>
      <c r="CI47" s="5979"/>
      <c r="CJ47" s="5979"/>
      <c r="CK47" s="5979"/>
      <c r="CL47" s="5979"/>
      <c r="CM47" s="5979"/>
      <c r="CN47" s="5979"/>
      <c r="CO47" s="5980"/>
      <c r="CP47" s="450"/>
      <c r="CQ47" s="444"/>
    </row>
    <row r="48" spans="1:95" ht="12" customHeight="1" x14ac:dyDescent="0.2">
      <c r="A48" s="444"/>
      <c r="B48" s="906"/>
      <c r="C48" s="5981" t="s">
        <v>3286</v>
      </c>
      <c r="D48" s="5982"/>
      <c r="E48" s="459" t="e">
        <f>IF(C44=0,"",VLOOKUP(C44,'Tablas Magia'!$D$6:$Z$680,9,FALSE))</f>
        <v>#N/A</v>
      </c>
      <c r="F48" s="459" t="e">
        <f>IF(C44=0,"",VLOOKUP(C44,'Tablas Magia'!$D$6:$Z$680,13,FALSE))</f>
        <v>#N/A</v>
      </c>
      <c r="G48" s="460" t="e">
        <f>IF(C44=0,"",VLOOKUP(C44,'Tablas Magia'!$D$6:$Z$680,17,FALSE))</f>
        <v>#N/A</v>
      </c>
      <c r="H48" s="5983" t="e">
        <f>IF(C44=0,"",VLOOKUP(C44,'Tablas Magia'!$D$6:$Z$680,21,FALSE))</f>
        <v>#N/A</v>
      </c>
      <c r="I48" s="5984"/>
      <c r="J48" s="5984"/>
      <c r="K48" s="5984"/>
      <c r="L48" s="5984"/>
      <c r="M48" s="5984"/>
      <c r="N48" s="5984"/>
      <c r="O48" s="5984"/>
      <c r="P48" s="5984"/>
      <c r="Q48" s="5985"/>
      <c r="R48" s="450"/>
      <c r="S48" s="444"/>
      <c r="T48" s="444"/>
      <c r="U48" s="906"/>
      <c r="V48" s="5981" t="s">
        <v>3286</v>
      </c>
      <c r="W48" s="5982"/>
      <c r="X48" s="459" t="e">
        <f>IF(V44=0,"",VLOOKUP(V44,'Tablas Magia'!$D$6:$Z$680,9,FALSE))</f>
        <v>#N/A</v>
      </c>
      <c r="Y48" s="459" t="e">
        <f>IF(V44=0,"",VLOOKUP(V44,'Tablas Magia'!$D$6:$Z$680,13,FALSE))</f>
        <v>#N/A</v>
      </c>
      <c r="Z48" s="460" t="e">
        <f>IF(V44=0,"",VLOOKUP(V44,'Tablas Magia'!$D$6:$Z$680,17,FALSE))</f>
        <v>#N/A</v>
      </c>
      <c r="AA48" s="5983" t="e">
        <f>IF(V44=0,"",VLOOKUP(V44,'Tablas Magia'!$D$6:$Z$680,21,FALSE))</f>
        <v>#N/A</v>
      </c>
      <c r="AB48" s="5984"/>
      <c r="AC48" s="5984"/>
      <c r="AD48" s="5984"/>
      <c r="AE48" s="5984"/>
      <c r="AF48" s="5984"/>
      <c r="AG48" s="5984"/>
      <c r="AH48" s="5984"/>
      <c r="AI48" s="5984"/>
      <c r="AJ48" s="5985"/>
      <c r="AK48" s="450"/>
      <c r="AL48" s="444"/>
      <c r="AM48" s="499"/>
      <c r="AN48" s="906"/>
      <c r="AO48" s="5981" t="s">
        <v>3286</v>
      </c>
      <c r="AP48" s="5982"/>
      <c r="AQ48" s="459" t="e">
        <f>IF(AO44=0,"",VLOOKUP(AO44,'Tablas Magia'!$D$6:$Z$680,9,FALSE))</f>
        <v>#N/A</v>
      </c>
      <c r="AR48" s="459" t="e">
        <f>IF(AO44=0,"",VLOOKUP(AO44,'Tablas Magia'!$D$6:$Z$680,13,FALSE))</f>
        <v>#N/A</v>
      </c>
      <c r="AS48" s="460" t="e">
        <f>IF(AO44=0,"",VLOOKUP(AO44,'Tablas Magia'!$D$6:$Z$680,17,FALSE))</f>
        <v>#N/A</v>
      </c>
      <c r="AT48" s="5983" t="e">
        <f>IF(AO44=0,"",VLOOKUP(AO44,'Tablas Magia'!$D$6:$Z$680,21,FALSE))</f>
        <v>#N/A</v>
      </c>
      <c r="AU48" s="5984"/>
      <c r="AV48" s="5984"/>
      <c r="AW48" s="5984"/>
      <c r="AX48" s="5984"/>
      <c r="AY48" s="5984"/>
      <c r="AZ48" s="5984"/>
      <c r="BA48" s="5984"/>
      <c r="BB48" s="5984"/>
      <c r="BC48" s="5985"/>
      <c r="BD48" s="450"/>
      <c r="BE48" s="444"/>
      <c r="BF48" s="444"/>
      <c r="BG48" s="906"/>
      <c r="BH48" s="5981" t="s">
        <v>3286</v>
      </c>
      <c r="BI48" s="5982"/>
      <c r="BJ48" s="459" t="e">
        <f>IF(BH44=0,"",VLOOKUP(BH44,'Tablas Magia'!$D$6:$Z$680,9,FALSE))</f>
        <v>#N/A</v>
      </c>
      <c r="BK48" s="459" t="e">
        <f>IF(BH44=0,"",VLOOKUP(BH44,'Tablas Magia'!$D$6:$Z$680,13,FALSE))</f>
        <v>#N/A</v>
      </c>
      <c r="BL48" s="460" t="e">
        <f>IF(BH44=0,"",VLOOKUP(BH44,'Tablas Magia'!$D$6:$Z$680,17,FALSE))</f>
        <v>#N/A</v>
      </c>
      <c r="BM48" s="5983" t="e">
        <f>IF(BH44=0,"",VLOOKUP(BH44,'Tablas Magia'!$D$6:$Z$680,21,FALSE))</f>
        <v>#N/A</v>
      </c>
      <c r="BN48" s="5984"/>
      <c r="BO48" s="5984"/>
      <c r="BP48" s="5984"/>
      <c r="BQ48" s="5984"/>
      <c r="BR48" s="5984"/>
      <c r="BS48" s="5984"/>
      <c r="BT48" s="5984"/>
      <c r="BU48" s="5984"/>
      <c r="BV48" s="5985"/>
      <c r="BW48" s="450"/>
      <c r="BX48" s="444"/>
      <c r="BY48" s="444"/>
      <c r="BZ48" s="906"/>
      <c r="CA48" s="5981" t="s">
        <v>3286</v>
      </c>
      <c r="CB48" s="5982"/>
      <c r="CC48" s="459" t="e">
        <f>IF(CA44=0,"",VLOOKUP(CA44,'Tablas Magia'!$D$6:$Z$680,9,FALSE))</f>
        <v>#N/A</v>
      </c>
      <c r="CD48" s="459" t="e">
        <f>IF(CA44=0,"",VLOOKUP(CA44,'Tablas Magia'!$D$6:$Z$680,13,FALSE))</f>
        <v>#N/A</v>
      </c>
      <c r="CE48" s="460" t="e">
        <f>IF(CA44=0,"",VLOOKUP(CA44,'Tablas Magia'!$D$6:$Z$680,17,FALSE))</f>
        <v>#N/A</v>
      </c>
      <c r="CF48" s="5983" t="e">
        <f>IF(CA44=0,"",VLOOKUP(CA44,'Tablas Magia'!$D$6:$Z$680,21,FALSE))</f>
        <v>#N/A</v>
      </c>
      <c r="CG48" s="5984"/>
      <c r="CH48" s="5984"/>
      <c r="CI48" s="5984"/>
      <c r="CJ48" s="5984"/>
      <c r="CK48" s="5984"/>
      <c r="CL48" s="5984"/>
      <c r="CM48" s="5984"/>
      <c r="CN48" s="5984"/>
      <c r="CO48" s="5985"/>
      <c r="CP48" s="450"/>
      <c r="CQ48" s="444"/>
    </row>
    <row r="49" spans="1:95" ht="12" customHeight="1" thickBot="1" x14ac:dyDescent="0.25">
      <c r="A49" s="444"/>
      <c r="B49" s="906"/>
      <c r="C49" s="5991" t="s">
        <v>3287</v>
      </c>
      <c r="D49" s="5992"/>
      <c r="E49" s="463" t="e">
        <f>IF(C44=0,"",VLOOKUP(C44,'Tablas Magia'!$D$6:$Z$680,10,FALSE))</f>
        <v>#N/A</v>
      </c>
      <c r="F49" s="463" t="e">
        <f>IF(C44=0,"",VLOOKUP(C44,'Tablas Magia'!$D$6:$Z$680,14,FALSE))</f>
        <v>#N/A</v>
      </c>
      <c r="G49" s="464" t="e">
        <f>IF(C44=0,"",VLOOKUP(C44,'Tablas Magia'!$D$6:$Z$680,18,FALSE))</f>
        <v>#N/A</v>
      </c>
      <c r="H49" s="5993" t="e">
        <f>IF(C44=0,"",VLOOKUP(C44,'Tablas Magia'!$D$6:$Z$680,22,FALSE))</f>
        <v>#N/A</v>
      </c>
      <c r="I49" s="5994"/>
      <c r="J49" s="5994"/>
      <c r="K49" s="5994"/>
      <c r="L49" s="5994"/>
      <c r="M49" s="5994"/>
      <c r="N49" s="5994"/>
      <c r="O49" s="5994"/>
      <c r="P49" s="5994"/>
      <c r="Q49" s="5995"/>
      <c r="R49" s="450"/>
      <c r="S49" s="444"/>
      <c r="T49" s="444"/>
      <c r="U49" s="906"/>
      <c r="V49" s="5991" t="s">
        <v>3287</v>
      </c>
      <c r="W49" s="5992"/>
      <c r="X49" s="463" t="e">
        <f>IF(V44=0,"",VLOOKUP(V44,'Tablas Magia'!$D$6:$Z$680,10,FALSE))</f>
        <v>#N/A</v>
      </c>
      <c r="Y49" s="463" t="e">
        <f>IF(V44=0,"",VLOOKUP(V44,'Tablas Magia'!$D$6:$Z$680,14,FALSE))</f>
        <v>#N/A</v>
      </c>
      <c r="Z49" s="464" t="e">
        <f>IF(V44=0,"",VLOOKUP(V44,'Tablas Magia'!$D$6:$Z$680,18,FALSE))</f>
        <v>#N/A</v>
      </c>
      <c r="AA49" s="5993" t="e">
        <f>IF(V44=0,"",VLOOKUP(V44,'Tablas Magia'!$D$6:$Z$680,22,FALSE))</f>
        <v>#N/A</v>
      </c>
      <c r="AB49" s="5994"/>
      <c r="AC49" s="5994"/>
      <c r="AD49" s="5994"/>
      <c r="AE49" s="5994"/>
      <c r="AF49" s="5994"/>
      <c r="AG49" s="5994"/>
      <c r="AH49" s="5994"/>
      <c r="AI49" s="5994"/>
      <c r="AJ49" s="5995"/>
      <c r="AK49" s="450"/>
      <c r="AL49" s="444"/>
      <c r="AM49" s="499"/>
      <c r="AN49" s="906"/>
      <c r="AO49" s="5991" t="s">
        <v>3287</v>
      </c>
      <c r="AP49" s="5992"/>
      <c r="AQ49" s="463" t="e">
        <f>IF(AO44=0,"",VLOOKUP(AO44,'Tablas Magia'!$D$6:$Z$680,10,FALSE))</f>
        <v>#N/A</v>
      </c>
      <c r="AR49" s="463" t="e">
        <f>IF(AO44=0,"",VLOOKUP(AO44,'Tablas Magia'!$D$6:$Z$680,14,FALSE))</f>
        <v>#N/A</v>
      </c>
      <c r="AS49" s="464" t="e">
        <f>IF(AO44=0,"",VLOOKUP(AO44,'Tablas Magia'!$D$6:$Z$680,18,FALSE))</f>
        <v>#N/A</v>
      </c>
      <c r="AT49" s="5993" t="e">
        <f>IF(AO44=0,"",VLOOKUP(AO44,'Tablas Magia'!$D$6:$Z$680,22,FALSE))</f>
        <v>#N/A</v>
      </c>
      <c r="AU49" s="5994"/>
      <c r="AV49" s="5994"/>
      <c r="AW49" s="5994"/>
      <c r="AX49" s="5994"/>
      <c r="AY49" s="5994"/>
      <c r="AZ49" s="5994"/>
      <c r="BA49" s="5994"/>
      <c r="BB49" s="5994"/>
      <c r="BC49" s="5995"/>
      <c r="BD49" s="450"/>
      <c r="BE49" s="444"/>
      <c r="BF49" s="444"/>
      <c r="BG49" s="906"/>
      <c r="BH49" s="5991" t="s">
        <v>3287</v>
      </c>
      <c r="BI49" s="5992"/>
      <c r="BJ49" s="463" t="e">
        <f>IF(BH44=0,"",VLOOKUP(BH44,'Tablas Magia'!$D$6:$Z$680,10,FALSE))</f>
        <v>#N/A</v>
      </c>
      <c r="BK49" s="463" t="e">
        <f>IF(BH44=0,"",VLOOKUP(BH44,'Tablas Magia'!$D$6:$Z$680,14,FALSE))</f>
        <v>#N/A</v>
      </c>
      <c r="BL49" s="464" t="e">
        <f>IF(BH44=0,"",VLOOKUP(BH44,'Tablas Magia'!$D$6:$Z$680,18,FALSE))</f>
        <v>#N/A</v>
      </c>
      <c r="BM49" s="5993" t="e">
        <f>IF(BH44=0,"",VLOOKUP(BH44,'Tablas Magia'!$D$6:$Z$680,22,FALSE))</f>
        <v>#N/A</v>
      </c>
      <c r="BN49" s="5994"/>
      <c r="BO49" s="5994"/>
      <c r="BP49" s="5994"/>
      <c r="BQ49" s="5994"/>
      <c r="BR49" s="5994"/>
      <c r="BS49" s="5994"/>
      <c r="BT49" s="5994"/>
      <c r="BU49" s="5994"/>
      <c r="BV49" s="5995"/>
      <c r="BW49" s="450"/>
      <c r="BX49" s="444"/>
      <c r="BY49" s="444"/>
      <c r="BZ49" s="906"/>
      <c r="CA49" s="5991" t="s">
        <v>3287</v>
      </c>
      <c r="CB49" s="5992"/>
      <c r="CC49" s="463" t="e">
        <f>IF(CA44=0,"",VLOOKUP(CA44,'Tablas Magia'!$D$6:$Z$680,10,FALSE))</f>
        <v>#N/A</v>
      </c>
      <c r="CD49" s="463" t="e">
        <f>IF(CA44=0,"",VLOOKUP(CA44,'Tablas Magia'!$D$6:$Z$680,14,FALSE))</f>
        <v>#N/A</v>
      </c>
      <c r="CE49" s="464" t="e">
        <f>IF(CA44=0,"",VLOOKUP(CA44,'Tablas Magia'!$D$6:$Z$680,18,FALSE))</f>
        <v>#N/A</v>
      </c>
      <c r="CF49" s="5993" t="e">
        <f>IF(CA44=0,"",VLOOKUP(CA44,'Tablas Magia'!$D$6:$Z$680,22,FALSE))</f>
        <v>#N/A</v>
      </c>
      <c r="CG49" s="5994"/>
      <c r="CH49" s="5994"/>
      <c r="CI49" s="5994"/>
      <c r="CJ49" s="5994"/>
      <c r="CK49" s="5994"/>
      <c r="CL49" s="5994"/>
      <c r="CM49" s="5994"/>
      <c r="CN49" s="5994"/>
      <c r="CO49" s="5995"/>
      <c r="CP49" s="450"/>
      <c r="CQ49" s="444"/>
    </row>
    <row r="50" spans="1:95" ht="12" customHeight="1" x14ac:dyDescent="0.2">
      <c r="A50" s="444"/>
      <c r="B50" s="906"/>
      <c r="C50" s="5996" t="e">
        <f>IF(C44=0,"",VLOOKUP(C44,'Tablas Magia'!$D$6:$Z$680,23,FALSE))</f>
        <v>#N/A</v>
      </c>
      <c r="D50" s="5997"/>
      <c r="E50" s="5997"/>
      <c r="F50" s="5997"/>
      <c r="G50" s="5997"/>
      <c r="H50" s="5997"/>
      <c r="I50" s="5997"/>
      <c r="J50" s="5997"/>
      <c r="K50" s="5997"/>
      <c r="L50" s="5997"/>
      <c r="M50" s="5997"/>
      <c r="N50" s="5997"/>
      <c r="O50" s="5997"/>
      <c r="P50" s="5997"/>
      <c r="Q50" s="5998"/>
      <c r="R50" s="450"/>
      <c r="S50" s="444"/>
      <c r="T50" s="444"/>
      <c r="U50" s="906"/>
      <c r="V50" s="5996" t="e">
        <f>IF(V44=0,"",VLOOKUP(V44,'Tablas Magia'!$D$6:$Z$680,23,FALSE))</f>
        <v>#N/A</v>
      </c>
      <c r="W50" s="5997"/>
      <c r="X50" s="5997"/>
      <c r="Y50" s="5997"/>
      <c r="Z50" s="5997"/>
      <c r="AA50" s="5997"/>
      <c r="AB50" s="5997"/>
      <c r="AC50" s="5997"/>
      <c r="AD50" s="5997"/>
      <c r="AE50" s="5997"/>
      <c r="AF50" s="5997"/>
      <c r="AG50" s="5997"/>
      <c r="AH50" s="5997"/>
      <c r="AI50" s="5997"/>
      <c r="AJ50" s="5998"/>
      <c r="AK50" s="450"/>
      <c r="AL50" s="444"/>
      <c r="AM50" s="499"/>
      <c r="AN50" s="906"/>
      <c r="AO50" s="5996" t="e">
        <f>IF(AO44=0,"",VLOOKUP(AO44,'Tablas Magia'!$D$6:$Z$680,23,FALSE))</f>
        <v>#N/A</v>
      </c>
      <c r="AP50" s="5997"/>
      <c r="AQ50" s="5997"/>
      <c r="AR50" s="5997"/>
      <c r="AS50" s="5997"/>
      <c r="AT50" s="5997"/>
      <c r="AU50" s="5997"/>
      <c r="AV50" s="5997"/>
      <c r="AW50" s="5997"/>
      <c r="AX50" s="5997"/>
      <c r="AY50" s="5997"/>
      <c r="AZ50" s="5997"/>
      <c r="BA50" s="5997"/>
      <c r="BB50" s="5997"/>
      <c r="BC50" s="5998"/>
      <c r="BD50" s="450"/>
      <c r="BE50" s="444"/>
      <c r="BF50" s="444"/>
      <c r="BG50" s="906"/>
      <c r="BH50" s="5996" t="e">
        <f>IF(BH44=0,"",VLOOKUP(BH44,'Tablas Magia'!$D$6:$Z$680,23,FALSE))</f>
        <v>#N/A</v>
      </c>
      <c r="BI50" s="5997"/>
      <c r="BJ50" s="5997"/>
      <c r="BK50" s="5997"/>
      <c r="BL50" s="5997"/>
      <c r="BM50" s="5997"/>
      <c r="BN50" s="5997"/>
      <c r="BO50" s="5997"/>
      <c r="BP50" s="5997"/>
      <c r="BQ50" s="5997"/>
      <c r="BR50" s="5997"/>
      <c r="BS50" s="5997"/>
      <c r="BT50" s="5997"/>
      <c r="BU50" s="5997"/>
      <c r="BV50" s="5998"/>
      <c r="BW50" s="450"/>
      <c r="BX50" s="444"/>
      <c r="BY50" s="444"/>
      <c r="BZ50" s="906"/>
      <c r="CA50" s="5996" t="e">
        <f>IF(CA44=0,"",VLOOKUP(CA44,'Tablas Magia'!$D$6:$Z$680,23,FALSE))</f>
        <v>#N/A</v>
      </c>
      <c r="CB50" s="5997"/>
      <c r="CC50" s="5997"/>
      <c r="CD50" s="5997"/>
      <c r="CE50" s="5997"/>
      <c r="CF50" s="5997"/>
      <c r="CG50" s="5997"/>
      <c r="CH50" s="5997"/>
      <c r="CI50" s="5997"/>
      <c r="CJ50" s="5997"/>
      <c r="CK50" s="5997"/>
      <c r="CL50" s="5997"/>
      <c r="CM50" s="5997"/>
      <c r="CN50" s="5997"/>
      <c r="CO50" s="5998"/>
      <c r="CP50" s="450"/>
      <c r="CQ50" s="444"/>
    </row>
    <row r="51" spans="1:95" ht="12" customHeight="1" x14ac:dyDescent="0.2">
      <c r="A51" s="444"/>
      <c r="B51" s="906"/>
      <c r="C51" s="5999"/>
      <c r="D51" s="6000"/>
      <c r="E51" s="6000"/>
      <c r="F51" s="6000"/>
      <c r="G51" s="6000"/>
      <c r="H51" s="6000"/>
      <c r="I51" s="6000"/>
      <c r="J51" s="6000"/>
      <c r="K51" s="6000"/>
      <c r="L51" s="6000"/>
      <c r="M51" s="6000"/>
      <c r="N51" s="6000"/>
      <c r="O51" s="6000"/>
      <c r="P51" s="6000"/>
      <c r="Q51" s="6001"/>
      <c r="R51" s="450"/>
      <c r="S51" s="444"/>
      <c r="T51" s="444"/>
      <c r="U51" s="906"/>
      <c r="V51" s="5999"/>
      <c r="W51" s="6000"/>
      <c r="X51" s="6000"/>
      <c r="Y51" s="6000"/>
      <c r="Z51" s="6000"/>
      <c r="AA51" s="6000"/>
      <c r="AB51" s="6000"/>
      <c r="AC51" s="6000"/>
      <c r="AD51" s="6000"/>
      <c r="AE51" s="6000"/>
      <c r="AF51" s="6000"/>
      <c r="AG51" s="6000"/>
      <c r="AH51" s="6000"/>
      <c r="AI51" s="6000"/>
      <c r="AJ51" s="6001"/>
      <c r="AK51" s="450"/>
      <c r="AL51" s="444"/>
      <c r="AM51" s="499"/>
      <c r="AN51" s="906"/>
      <c r="AO51" s="5999"/>
      <c r="AP51" s="6000"/>
      <c r="AQ51" s="6000"/>
      <c r="AR51" s="6000"/>
      <c r="AS51" s="6000"/>
      <c r="AT51" s="6000"/>
      <c r="AU51" s="6000"/>
      <c r="AV51" s="6000"/>
      <c r="AW51" s="6000"/>
      <c r="AX51" s="6000"/>
      <c r="AY51" s="6000"/>
      <c r="AZ51" s="6000"/>
      <c r="BA51" s="6000"/>
      <c r="BB51" s="6000"/>
      <c r="BC51" s="6001"/>
      <c r="BD51" s="450"/>
      <c r="BE51" s="444"/>
      <c r="BF51" s="444"/>
      <c r="BG51" s="906"/>
      <c r="BH51" s="5999"/>
      <c r="BI51" s="6000"/>
      <c r="BJ51" s="6000"/>
      <c r="BK51" s="6000"/>
      <c r="BL51" s="6000"/>
      <c r="BM51" s="6000"/>
      <c r="BN51" s="6000"/>
      <c r="BO51" s="6000"/>
      <c r="BP51" s="6000"/>
      <c r="BQ51" s="6000"/>
      <c r="BR51" s="6000"/>
      <c r="BS51" s="6000"/>
      <c r="BT51" s="6000"/>
      <c r="BU51" s="6000"/>
      <c r="BV51" s="6001"/>
      <c r="BW51" s="450"/>
      <c r="BX51" s="444"/>
      <c r="BY51" s="444"/>
      <c r="BZ51" s="906"/>
      <c r="CA51" s="5999"/>
      <c r="CB51" s="6000"/>
      <c r="CC51" s="6000"/>
      <c r="CD51" s="6000"/>
      <c r="CE51" s="6000"/>
      <c r="CF51" s="6000"/>
      <c r="CG51" s="6000"/>
      <c r="CH51" s="6000"/>
      <c r="CI51" s="6000"/>
      <c r="CJ51" s="6000"/>
      <c r="CK51" s="6000"/>
      <c r="CL51" s="6000"/>
      <c r="CM51" s="6000"/>
      <c r="CN51" s="6000"/>
      <c r="CO51" s="6001"/>
      <c r="CP51" s="450"/>
      <c r="CQ51" s="444"/>
    </row>
    <row r="52" spans="1:95" ht="12" customHeight="1" x14ac:dyDescent="0.2">
      <c r="A52" s="444"/>
      <c r="B52" s="906"/>
      <c r="C52" s="5999"/>
      <c r="D52" s="6000"/>
      <c r="E52" s="6000"/>
      <c r="F52" s="6000"/>
      <c r="G52" s="6000"/>
      <c r="H52" s="6000"/>
      <c r="I52" s="6000"/>
      <c r="J52" s="6000"/>
      <c r="K52" s="6000"/>
      <c r="L52" s="6000"/>
      <c r="M52" s="6000"/>
      <c r="N52" s="6000"/>
      <c r="O52" s="6000"/>
      <c r="P52" s="6000"/>
      <c r="Q52" s="6001"/>
      <c r="R52" s="450"/>
      <c r="S52" s="444"/>
      <c r="T52" s="444"/>
      <c r="U52" s="906"/>
      <c r="V52" s="5999"/>
      <c r="W52" s="6000"/>
      <c r="X52" s="6000"/>
      <c r="Y52" s="6000"/>
      <c r="Z52" s="6000"/>
      <c r="AA52" s="6000"/>
      <c r="AB52" s="6000"/>
      <c r="AC52" s="6000"/>
      <c r="AD52" s="6000"/>
      <c r="AE52" s="6000"/>
      <c r="AF52" s="6000"/>
      <c r="AG52" s="6000"/>
      <c r="AH52" s="6000"/>
      <c r="AI52" s="6000"/>
      <c r="AJ52" s="6001"/>
      <c r="AK52" s="450"/>
      <c r="AL52" s="444"/>
      <c r="AM52" s="499"/>
      <c r="AN52" s="906"/>
      <c r="AO52" s="5999"/>
      <c r="AP52" s="6000"/>
      <c r="AQ52" s="6000"/>
      <c r="AR52" s="6000"/>
      <c r="AS52" s="6000"/>
      <c r="AT52" s="6000"/>
      <c r="AU52" s="6000"/>
      <c r="AV52" s="6000"/>
      <c r="AW52" s="6000"/>
      <c r="AX52" s="6000"/>
      <c r="AY52" s="6000"/>
      <c r="AZ52" s="6000"/>
      <c r="BA52" s="6000"/>
      <c r="BB52" s="6000"/>
      <c r="BC52" s="6001"/>
      <c r="BD52" s="450"/>
      <c r="BE52" s="444"/>
      <c r="BF52" s="444"/>
      <c r="BG52" s="906"/>
      <c r="BH52" s="5999"/>
      <c r="BI52" s="6000"/>
      <c r="BJ52" s="6000"/>
      <c r="BK52" s="6000"/>
      <c r="BL52" s="6000"/>
      <c r="BM52" s="6000"/>
      <c r="BN52" s="6000"/>
      <c r="BO52" s="6000"/>
      <c r="BP52" s="6000"/>
      <c r="BQ52" s="6000"/>
      <c r="BR52" s="6000"/>
      <c r="BS52" s="6000"/>
      <c r="BT52" s="6000"/>
      <c r="BU52" s="6000"/>
      <c r="BV52" s="6001"/>
      <c r="BW52" s="450"/>
      <c r="BX52" s="444"/>
      <c r="BY52" s="444"/>
      <c r="BZ52" s="906"/>
      <c r="CA52" s="5999"/>
      <c r="CB52" s="6000"/>
      <c r="CC52" s="6000"/>
      <c r="CD52" s="6000"/>
      <c r="CE52" s="6000"/>
      <c r="CF52" s="6000"/>
      <c r="CG52" s="6000"/>
      <c r="CH52" s="6000"/>
      <c r="CI52" s="6000"/>
      <c r="CJ52" s="6000"/>
      <c r="CK52" s="6000"/>
      <c r="CL52" s="6000"/>
      <c r="CM52" s="6000"/>
      <c r="CN52" s="6000"/>
      <c r="CO52" s="6001"/>
      <c r="CP52" s="450"/>
      <c r="CQ52" s="444"/>
    </row>
    <row r="53" spans="1:95" ht="12" customHeight="1" thickBot="1" x14ac:dyDescent="0.25">
      <c r="A53" s="444"/>
      <c r="B53" s="906"/>
      <c r="C53" s="6002"/>
      <c r="D53" s="6003"/>
      <c r="E53" s="6003"/>
      <c r="F53" s="6003"/>
      <c r="G53" s="6003"/>
      <c r="H53" s="6003"/>
      <c r="I53" s="6003"/>
      <c r="J53" s="6003"/>
      <c r="K53" s="6003"/>
      <c r="L53" s="6003"/>
      <c r="M53" s="6003"/>
      <c r="N53" s="6003"/>
      <c r="O53" s="6003"/>
      <c r="P53" s="6003"/>
      <c r="Q53" s="6004"/>
      <c r="R53" s="450"/>
      <c r="S53" s="444"/>
      <c r="T53" s="444"/>
      <c r="U53" s="906"/>
      <c r="V53" s="6002"/>
      <c r="W53" s="6003"/>
      <c r="X53" s="6003"/>
      <c r="Y53" s="6003"/>
      <c r="Z53" s="6003"/>
      <c r="AA53" s="6003"/>
      <c r="AB53" s="6003"/>
      <c r="AC53" s="6003"/>
      <c r="AD53" s="6003"/>
      <c r="AE53" s="6003"/>
      <c r="AF53" s="6003"/>
      <c r="AG53" s="6003"/>
      <c r="AH53" s="6003"/>
      <c r="AI53" s="6003"/>
      <c r="AJ53" s="6004"/>
      <c r="AK53" s="450"/>
      <c r="AL53" s="444"/>
      <c r="AM53" s="499"/>
      <c r="AN53" s="906"/>
      <c r="AO53" s="6002"/>
      <c r="AP53" s="6003"/>
      <c r="AQ53" s="6003"/>
      <c r="AR53" s="6003"/>
      <c r="AS53" s="6003"/>
      <c r="AT53" s="6003"/>
      <c r="AU53" s="6003"/>
      <c r="AV53" s="6003"/>
      <c r="AW53" s="6003"/>
      <c r="AX53" s="6003"/>
      <c r="AY53" s="6003"/>
      <c r="AZ53" s="6003"/>
      <c r="BA53" s="6003"/>
      <c r="BB53" s="6003"/>
      <c r="BC53" s="6004"/>
      <c r="BD53" s="450"/>
      <c r="BE53" s="444"/>
      <c r="BF53" s="444"/>
      <c r="BG53" s="906"/>
      <c r="BH53" s="6002"/>
      <c r="BI53" s="6003"/>
      <c r="BJ53" s="6003"/>
      <c r="BK53" s="6003"/>
      <c r="BL53" s="6003"/>
      <c r="BM53" s="6003"/>
      <c r="BN53" s="6003"/>
      <c r="BO53" s="6003"/>
      <c r="BP53" s="6003"/>
      <c r="BQ53" s="6003"/>
      <c r="BR53" s="6003"/>
      <c r="BS53" s="6003"/>
      <c r="BT53" s="6003"/>
      <c r="BU53" s="6003"/>
      <c r="BV53" s="6004"/>
      <c r="BW53" s="450"/>
      <c r="BX53" s="444"/>
      <c r="BY53" s="444"/>
      <c r="BZ53" s="906"/>
      <c r="CA53" s="6002"/>
      <c r="CB53" s="6003"/>
      <c r="CC53" s="6003"/>
      <c r="CD53" s="6003"/>
      <c r="CE53" s="6003"/>
      <c r="CF53" s="6003"/>
      <c r="CG53" s="6003"/>
      <c r="CH53" s="6003"/>
      <c r="CI53" s="6003"/>
      <c r="CJ53" s="6003"/>
      <c r="CK53" s="6003"/>
      <c r="CL53" s="6003"/>
      <c r="CM53" s="6003"/>
      <c r="CN53" s="6003"/>
      <c r="CO53" s="6004"/>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601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13"/>
      <c r="E55" s="6013"/>
      <c r="F55" s="6013"/>
      <c r="G55" s="6020"/>
      <c r="H55" s="454" t="s">
        <v>1333</v>
      </c>
      <c r="I55" s="455">
        <f>B55</f>
        <v>10</v>
      </c>
      <c r="J55" s="6005" t="s">
        <v>6388</v>
      </c>
      <c r="K55" s="6005"/>
      <c r="L55" s="6005"/>
      <c r="M55" s="5972" t="e">
        <f>IF(C55=0,"",VLOOKUP(C55,'Tablas Magia'!$D$6:$Z$680,2,FALSE))</f>
        <v>#N/A</v>
      </c>
      <c r="N55" s="5972"/>
      <c r="O55" s="1959"/>
      <c r="P55" s="6016" t="str">
        <f>IFERROR(IF(M55="Libre Acceso","Aprendido",IF(IFERROR(VLOOKUP(M55,Místicos!$C$15:$H$25,6,0)&gt;=I55,FALSE),"Aprendido",IF(IFERROR(VLOOKUP(M55,Místicos!$E$15:$H$25,4,0)&gt;=I55,FALSE),"Aprendido",""))),"")</f>
        <v/>
      </c>
      <c r="Q55" s="6017"/>
      <c r="R55" s="450"/>
      <c r="S55" s="444"/>
      <c r="T55" s="444"/>
      <c r="U55" s="906">
        <f>U44+2</f>
        <v>30</v>
      </c>
      <c r="V55" s="601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13"/>
      <c r="X55" s="6013"/>
      <c r="Y55" s="6013"/>
      <c r="Z55" s="6020"/>
      <c r="AA55" s="454" t="s">
        <v>1333</v>
      </c>
      <c r="AB55" s="455">
        <f>U55</f>
        <v>30</v>
      </c>
      <c r="AC55" s="6005" t="s">
        <v>6388</v>
      </c>
      <c r="AD55" s="6005"/>
      <c r="AE55" s="6005"/>
      <c r="AF55" s="5972" t="e">
        <f>IF(V55=0,"",VLOOKUP(V55,'Tablas Magia'!$D$6:$Z$680,2,FALSE))</f>
        <v>#N/A</v>
      </c>
      <c r="AG55" s="5972"/>
      <c r="AH55" s="1959"/>
      <c r="AI55" s="6016" t="str">
        <f>IFERROR(IF(AF55="Libre Acceso","Aprendido",IF(IFERROR(VLOOKUP(AF55,Místicos!$C$15:$H$25,6,0)&gt;=AB55,FALSE),"Aprendido",IF(IFERROR(VLOOKUP(AF55,Místicos!$E$15:$H$25,4,0)&gt;=AB55,FALSE),"Aprendido",""))),"")</f>
        <v/>
      </c>
      <c r="AJ55" s="6017"/>
      <c r="AK55" s="450"/>
      <c r="AL55" s="444"/>
      <c r="AM55" s="499"/>
      <c r="AN55" s="906">
        <f>AN44+2</f>
        <v>50</v>
      </c>
      <c r="AO55" s="601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13"/>
      <c r="AQ55" s="6013"/>
      <c r="AR55" s="6013"/>
      <c r="AS55" s="6020"/>
      <c r="AT55" s="454" t="s">
        <v>1333</v>
      </c>
      <c r="AU55" s="455">
        <f>AN55</f>
        <v>50</v>
      </c>
      <c r="AV55" s="6005" t="s">
        <v>6388</v>
      </c>
      <c r="AW55" s="6005"/>
      <c r="AX55" s="6005"/>
      <c r="AY55" s="5972" t="e">
        <f>IF(AO55=0,"",VLOOKUP(AO55,'Tablas Magia'!$D$6:$Z$680,2,FALSE))</f>
        <v>#N/A</v>
      </c>
      <c r="AZ55" s="5972"/>
      <c r="BA55" s="1959"/>
      <c r="BB55" s="6016" t="str">
        <f>IFERROR(IF(AY55="Libre Acceso","Aprendido",IF(IFERROR(VLOOKUP(AY55,Místicos!$C$15:$H$25,6,0)&gt;=AU55,FALSE),"Aprendido",IF(IFERROR(VLOOKUP(AY55,Místicos!$E$15:$H$25,4,0)&gt;=AU55,FALSE),"Aprendido",""))),"")</f>
        <v/>
      </c>
      <c r="BC55" s="6017"/>
      <c r="BD55" s="450"/>
      <c r="BE55" s="444"/>
      <c r="BF55" s="444"/>
      <c r="BG55" s="906">
        <f>BG44+2</f>
        <v>70</v>
      </c>
      <c r="BH55" s="601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13"/>
      <c r="BJ55" s="6013"/>
      <c r="BK55" s="6013"/>
      <c r="BL55" s="6020"/>
      <c r="BM55" s="454" t="s">
        <v>1333</v>
      </c>
      <c r="BN55" s="455">
        <f>BG55</f>
        <v>70</v>
      </c>
      <c r="BO55" s="6005" t="s">
        <v>6388</v>
      </c>
      <c r="BP55" s="6005"/>
      <c r="BQ55" s="6005"/>
      <c r="BR55" s="5972" t="e">
        <f>IF(BH55=0,"",VLOOKUP(BH55,'Tablas Magia'!$D$6:$Z$680,2,FALSE))</f>
        <v>#N/A</v>
      </c>
      <c r="BS55" s="5972"/>
      <c r="BT55" s="1959"/>
      <c r="BU55" s="6016" t="str">
        <f>IFERROR(IF(BR55="Libre Acceso","Aprendido",IF(IFERROR(VLOOKUP(BR55,Místicos!$C$15:$H$25,6,0)&gt;=BN55,FALSE),"Aprendido",IF(IFERROR(VLOOKUP(BR55,Místicos!$E$15:$H$25,4,0)&gt;=BN55,FALSE),"Aprendido",""))),"")</f>
        <v/>
      </c>
      <c r="BV55" s="6017"/>
      <c r="BW55" s="450"/>
      <c r="BX55" s="444"/>
      <c r="BY55" s="444"/>
      <c r="BZ55" s="906">
        <f>BZ44+2</f>
        <v>90</v>
      </c>
      <c r="CA55" s="601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13"/>
      <c r="CC55" s="6013"/>
      <c r="CD55" s="6013"/>
      <c r="CE55" s="6020"/>
      <c r="CF55" s="454" t="s">
        <v>1333</v>
      </c>
      <c r="CG55" s="455">
        <f>BZ55</f>
        <v>90</v>
      </c>
      <c r="CH55" s="6005" t="s">
        <v>6388</v>
      </c>
      <c r="CI55" s="6005"/>
      <c r="CJ55" s="6005"/>
      <c r="CK55" s="5972" t="e">
        <f>IF(CA55=0,"",VLOOKUP(CA55,'Tablas Magia'!$D$6:$Z$680,2,FALSE))</f>
        <v>#N/A</v>
      </c>
      <c r="CL55" s="5972"/>
      <c r="CM55" s="1959"/>
      <c r="CN55" s="6016" t="str">
        <f>IFERROR(IF(CK55="Libre Acceso","Aprendido",IF(IFERROR(VLOOKUP(CK55,Místicos!$C$15:$H$25,6,0)&gt;=CG55,FALSE),"Aprendido",IF(IFERROR(VLOOKUP(CK55,Místicos!$E$15:$H$25,4,0)&gt;=CG55,FALSE),"Aprendido",""))),"")</f>
        <v/>
      </c>
      <c r="CO55" s="6017"/>
      <c r="CP55" s="450"/>
      <c r="CQ55" s="444"/>
    </row>
    <row r="56" spans="1:95" ht="12" customHeight="1" x14ac:dyDescent="0.2">
      <c r="A56" s="444"/>
      <c r="B56" s="906"/>
      <c r="C56" s="5989" t="s">
        <v>6389</v>
      </c>
      <c r="D56" s="6006"/>
      <c r="E56" s="1972" t="s">
        <v>6390</v>
      </c>
      <c r="F56" s="1972" t="s">
        <v>1517</v>
      </c>
      <c r="G56" s="1972" t="s">
        <v>2914</v>
      </c>
      <c r="H56" s="1973" t="s">
        <v>1845</v>
      </c>
      <c r="I56" s="6007" t="e">
        <f>IF(C55=0,"",VLOOKUP(C55,'Tablas Magia'!$D$6:$Z$680,5,FALSE))</f>
        <v>#N/A</v>
      </c>
      <c r="J56" s="6007"/>
      <c r="K56" s="6018" t="s">
        <v>6391</v>
      </c>
      <c r="L56" s="6018"/>
      <c r="M56" s="6007" t="e">
        <f>IF(C55=0,"",VLOOKUP(C55,'Tablas Magia'!$D$6:$Z$680,6,FALSE))</f>
        <v>#N/A</v>
      </c>
      <c r="N56" s="6007"/>
      <c r="O56" s="6008" t="s">
        <v>6392</v>
      </c>
      <c r="P56" s="6008"/>
      <c r="Q56" s="1974" t="e">
        <f>IF(C55=0,"",VLOOKUP(C55,'Tablas Magia'!$D$6:$Z$680,4,FALSE))</f>
        <v>#N/A</v>
      </c>
      <c r="R56" s="450"/>
      <c r="S56" s="444"/>
      <c r="T56" s="444"/>
      <c r="U56" s="906"/>
      <c r="V56" s="5989" t="s">
        <v>6389</v>
      </c>
      <c r="W56" s="6006"/>
      <c r="X56" s="1972" t="s">
        <v>6390</v>
      </c>
      <c r="Y56" s="1972" t="s">
        <v>1517</v>
      </c>
      <c r="Z56" s="1972" t="s">
        <v>2914</v>
      </c>
      <c r="AA56" s="1973" t="s">
        <v>1845</v>
      </c>
      <c r="AB56" s="6007" t="e">
        <f>IF(V55=0,"",VLOOKUP(V55,'Tablas Magia'!$D$6:$Z$680,5,FALSE))</f>
        <v>#N/A</v>
      </c>
      <c r="AC56" s="6007"/>
      <c r="AD56" s="6018" t="s">
        <v>6391</v>
      </c>
      <c r="AE56" s="6018"/>
      <c r="AF56" s="6007" t="e">
        <f>IF(V55=0,"",VLOOKUP(V55,'Tablas Magia'!$D$6:$Z$680,6,FALSE))</f>
        <v>#N/A</v>
      </c>
      <c r="AG56" s="6007"/>
      <c r="AH56" s="6008" t="s">
        <v>6392</v>
      </c>
      <c r="AI56" s="6008"/>
      <c r="AJ56" s="1974" t="e">
        <f>IF(V55=0,"",VLOOKUP(V55,'Tablas Magia'!$D$6:$Z$680,4,FALSE))</f>
        <v>#N/A</v>
      </c>
      <c r="AK56" s="450"/>
      <c r="AL56" s="444"/>
      <c r="AM56" s="499"/>
      <c r="AN56" s="906"/>
      <c r="AO56" s="5989" t="s">
        <v>6389</v>
      </c>
      <c r="AP56" s="6006"/>
      <c r="AQ56" s="1972" t="s">
        <v>6390</v>
      </c>
      <c r="AR56" s="1972" t="s">
        <v>1517</v>
      </c>
      <c r="AS56" s="1972" t="s">
        <v>2914</v>
      </c>
      <c r="AT56" s="1973" t="s">
        <v>1845</v>
      </c>
      <c r="AU56" s="6007" t="e">
        <f>IF(AO55=0,"",VLOOKUP(AO55,'Tablas Magia'!$D$6:$Z$680,5,FALSE))</f>
        <v>#N/A</v>
      </c>
      <c r="AV56" s="6007"/>
      <c r="AW56" s="6018" t="s">
        <v>6391</v>
      </c>
      <c r="AX56" s="6018"/>
      <c r="AY56" s="6007" t="e">
        <f>IF(AO55=0,"",VLOOKUP(AO55,'Tablas Magia'!$D$6:$Z$680,6,FALSE))</f>
        <v>#N/A</v>
      </c>
      <c r="AZ56" s="6007"/>
      <c r="BA56" s="6008" t="s">
        <v>6392</v>
      </c>
      <c r="BB56" s="6008"/>
      <c r="BC56" s="1974" t="e">
        <f>IF(AO55=0,"",VLOOKUP(AO55,'Tablas Magia'!$D$6:$Z$680,4,FALSE))</f>
        <v>#N/A</v>
      </c>
      <c r="BD56" s="450"/>
      <c r="BE56" s="444"/>
      <c r="BF56" s="444"/>
      <c r="BG56" s="906"/>
      <c r="BH56" s="5989" t="s">
        <v>6389</v>
      </c>
      <c r="BI56" s="6006"/>
      <c r="BJ56" s="1972" t="s">
        <v>6390</v>
      </c>
      <c r="BK56" s="1972" t="s">
        <v>1517</v>
      </c>
      <c r="BL56" s="1972" t="s">
        <v>2914</v>
      </c>
      <c r="BM56" s="1973" t="s">
        <v>1845</v>
      </c>
      <c r="BN56" s="6007" t="e">
        <f>IF(BH55=0,"",VLOOKUP(BH55,'Tablas Magia'!$D$6:$Z$680,5,FALSE))</f>
        <v>#N/A</v>
      </c>
      <c r="BO56" s="6007"/>
      <c r="BP56" s="6018" t="s">
        <v>6391</v>
      </c>
      <c r="BQ56" s="6018"/>
      <c r="BR56" s="6007" t="e">
        <f>IF(BH55=0,"",VLOOKUP(BH55,'Tablas Magia'!$D$6:$Z$680,6,FALSE))</f>
        <v>#N/A</v>
      </c>
      <c r="BS56" s="6007"/>
      <c r="BT56" s="6008" t="s">
        <v>6392</v>
      </c>
      <c r="BU56" s="6008"/>
      <c r="BV56" s="1974" t="e">
        <f>IF(BH55=0,"",VLOOKUP(BH55,'Tablas Magia'!$D$6:$Z$680,4,FALSE))</f>
        <v>#N/A</v>
      </c>
      <c r="BW56" s="450"/>
      <c r="BX56" s="444"/>
      <c r="BY56" s="444"/>
      <c r="BZ56" s="906"/>
      <c r="CA56" s="5989" t="s">
        <v>6389</v>
      </c>
      <c r="CB56" s="6006"/>
      <c r="CC56" s="1972" t="s">
        <v>6390</v>
      </c>
      <c r="CD56" s="1972" t="s">
        <v>1517</v>
      </c>
      <c r="CE56" s="1972" t="s">
        <v>2914</v>
      </c>
      <c r="CF56" s="1973" t="s">
        <v>1845</v>
      </c>
      <c r="CG56" s="6007" t="e">
        <f>IF(CA55=0,"",VLOOKUP(CA55,'Tablas Magia'!$D$6:$Z$680,5,FALSE))</f>
        <v>#N/A</v>
      </c>
      <c r="CH56" s="6007"/>
      <c r="CI56" s="6018" t="s">
        <v>6391</v>
      </c>
      <c r="CJ56" s="6018"/>
      <c r="CK56" s="6007" t="e">
        <f>IF(CA55=0,"",VLOOKUP(CA55,'Tablas Magia'!$D$6:$Z$680,6,FALSE))</f>
        <v>#N/A</v>
      </c>
      <c r="CL56" s="6007"/>
      <c r="CM56" s="6008" t="s">
        <v>6392</v>
      </c>
      <c r="CN56" s="6008"/>
      <c r="CO56" s="1974" t="e">
        <f>IF(CA55=0,"",VLOOKUP(CA55,'Tablas Magia'!$D$6:$Z$680,4,FALSE))</f>
        <v>#N/A</v>
      </c>
      <c r="CP56" s="450"/>
      <c r="CQ56" s="444"/>
    </row>
    <row r="57" spans="1:95" ht="12" customHeight="1" x14ac:dyDescent="0.2">
      <c r="A57" s="444"/>
      <c r="B57" s="906"/>
      <c r="C57" s="6014" t="s">
        <v>1373</v>
      </c>
      <c r="D57" s="6015"/>
      <c r="E57" s="459" t="e">
        <f>IF(C55=0,"",VLOOKUP(C55,'Tablas Magia'!$D$6:$Z$680,7,FALSE))</f>
        <v>#N/A</v>
      </c>
      <c r="F57" s="459" t="e">
        <f>IF(C55=0,"",VLOOKUP(C55,'Tablas Magia'!$D$6:$Z$680,11,FALSE))</f>
        <v>#N/A</v>
      </c>
      <c r="G57" s="460" t="e">
        <f>IF(C55=0,"",VLOOKUP(C55,'Tablas Magia'!$D$6:$Z$680,15,FALSE))</f>
        <v>#N/A</v>
      </c>
      <c r="H57" s="6009" t="e">
        <f>IF(C55=0,"",VLOOKUP(C55,'Tablas Magia'!$D$6:$Z$680,19,FALSE))</f>
        <v>#N/A</v>
      </c>
      <c r="I57" s="6010"/>
      <c r="J57" s="6010"/>
      <c r="K57" s="6010"/>
      <c r="L57" s="6010"/>
      <c r="M57" s="6010"/>
      <c r="N57" s="6010"/>
      <c r="O57" s="6010"/>
      <c r="P57" s="6010"/>
      <c r="Q57" s="6011"/>
      <c r="R57" s="450"/>
      <c r="S57" s="444"/>
      <c r="T57" s="444"/>
      <c r="U57" s="906"/>
      <c r="V57" s="6014" t="s">
        <v>1373</v>
      </c>
      <c r="W57" s="6015"/>
      <c r="X57" s="459" t="e">
        <f>IF(V55=0,"",VLOOKUP(V55,'Tablas Magia'!$D$6:$Z$680,7,FALSE))</f>
        <v>#N/A</v>
      </c>
      <c r="Y57" s="459" t="e">
        <f>IF(V55=0,"",VLOOKUP(V55,'Tablas Magia'!$D$6:$Z$680,11,FALSE))</f>
        <v>#N/A</v>
      </c>
      <c r="Z57" s="460" t="e">
        <f>IF(V55=0,"",VLOOKUP(V55,'Tablas Magia'!$D$6:$Z$680,15,FALSE))</f>
        <v>#N/A</v>
      </c>
      <c r="AA57" s="6009" t="e">
        <f>IF(V55=0,"",VLOOKUP(V55,'Tablas Magia'!$D$6:$Z$680,19,FALSE))</f>
        <v>#N/A</v>
      </c>
      <c r="AB57" s="6010"/>
      <c r="AC57" s="6010"/>
      <c r="AD57" s="6010"/>
      <c r="AE57" s="6010"/>
      <c r="AF57" s="6010"/>
      <c r="AG57" s="6010"/>
      <c r="AH57" s="6010"/>
      <c r="AI57" s="6010"/>
      <c r="AJ57" s="6011"/>
      <c r="AK57" s="450"/>
      <c r="AL57" s="444"/>
      <c r="AM57" s="499"/>
      <c r="AN57" s="906"/>
      <c r="AO57" s="6014" t="s">
        <v>1373</v>
      </c>
      <c r="AP57" s="6015"/>
      <c r="AQ57" s="459" t="e">
        <f>IF(AO55=0,"",VLOOKUP(AO55,'Tablas Magia'!$D$6:$Z$680,7,FALSE))</f>
        <v>#N/A</v>
      </c>
      <c r="AR57" s="459" t="e">
        <f>IF(AO55=0,"",VLOOKUP(AO55,'Tablas Magia'!$D$6:$Z$680,11,FALSE))</f>
        <v>#N/A</v>
      </c>
      <c r="AS57" s="460" t="e">
        <f>IF(AO55=0,"",VLOOKUP(AO55,'Tablas Magia'!$D$6:$Z$680,15,FALSE))</f>
        <v>#N/A</v>
      </c>
      <c r="AT57" s="6009" t="e">
        <f>IF(AO55=0,"",VLOOKUP(AO55,'Tablas Magia'!$D$6:$Z$680,19,FALSE))</f>
        <v>#N/A</v>
      </c>
      <c r="AU57" s="6010"/>
      <c r="AV57" s="6010"/>
      <c r="AW57" s="6010"/>
      <c r="AX57" s="6010"/>
      <c r="AY57" s="6010"/>
      <c r="AZ57" s="6010"/>
      <c r="BA57" s="6010"/>
      <c r="BB57" s="6010"/>
      <c r="BC57" s="6011"/>
      <c r="BD57" s="450"/>
      <c r="BE57" s="444"/>
      <c r="BF57" s="444"/>
      <c r="BG57" s="906"/>
      <c r="BH57" s="6014" t="s">
        <v>1373</v>
      </c>
      <c r="BI57" s="6015"/>
      <c r="BJ57" s="459" t="e">
        <f>IF(BH55=0,"",VLOOKUP(BH55,'Tablas Magia'!$D$6:$Z$680,7,FALSE))</f>
        <v>#N/A</v>
      </c>
      <c r="BK57" s="459" t="e">
        <f>IF(BH55=0,"",VLOOKUP(BH55,'Tablas Magia'!$D$6:$Z$680,11,FALSE))</f>
        <v>#N/A</v>
      </c>
      <c r="BL57" s="460" t="e">
        <f>IF(BH55=0,"",VLOOKUP(BH55,'Tablas Magia'!$D$6:$Z$680,15,FALSE))</f>
        <v>#N/A</v>
      </c>
      <c r="BM57" s="6009" t="e">
        <f>IF(BH55=0,"",VLOOKUP(BH55,'Tablas Magia'!$D$6:$Z$680,19,FALSE))</f>
        <v>#N/A</v>
      </c>
      <c r="BN57" s="6010"/>
      <c r="BO57" s="6010"/>
      <c r="BP57" s="6010"/>
      <c r="BQ57" s="6010"/>
      <c r="BR57" s="6010"/>
      <c r="BS57" s="6010"/>
      <c r="BT57" s="6010"/>
      <c r="BU57" s="6010"/>
      <c r="BV57" s="6011"/>
      <c r="BW57" s="450"/>
      <c r="BX57" s="444"/>
      <c r="BY57" s="444"/>
      <c r="BZ57" s="906"/>
      <c r="CA57" s="6014" t="s">
        <v>1373</v>
      </c>
      <c r="CB57" s="6015"/>
      <c r="CC57" s="459" t="e">
        <f>IF(CA55=0,"",VLOOKUP(CA55,'Tablas Magia'!$D$6:$Z$680,7,FALSE))</f>
        <v>#N/A</v>
      </c>
      <c r="CD57" s="459" t="e">
        <f>IF(CA55=0,"",VLOOKUP(CA55,'Tablas Magia'!$D$6:$Z$680,11,FALSE))</f>
        <v>#N/A</v>
      </c>
      <c r="CE57" s="460" t="e">
        <f>IF(CA55=0,"",VLOOKUP(CA55,'Tablas Magia'!$D$6:$Z$680,15,FALSE))</f>
        <v>#N/A</v>
      </c>
      <c r="CF57" s="6009" t="e">
        <f>IF(CA55=0,"",VLOOKUP(CA55,'Tablas Magia'!$D$6:$Z$680,19,FALSE))</f>
        <v>#N/A</v>
      </c>
      <c r="CG57" s="6010"/>
      <c r="CH57" s="6010"/>
      <c r="CI57" s="6010"/>
      <c r="CJ57" s="6010"/>
      <c r="CK57" s="6010"/>
      <c r="CL57" s="6010"/>
      <c r="CM57" s="6010"/>
      <c r="CN57" s="6010"/>
      <c r="CO57" s="6011"/>
      <c r="CP57" s="450"/>
      <c r="CQ57" s="444"/>
    </row>
    <row r="58" spans="1:95" ht="12" customHeight="1" x14ac:dyDescent="0.2">
      <c r="A58" s="444"/>
      <c r="B58" s="906"/>
      <c r="C58" s="5976" t="s">
        <v>3285</v>
      </c>
      <c r="D58" s="5977"/>
      <c r="E58" s="461" t="e">
        <f>IF(C55=0,"",VLOOKUP(C55,'Tablas Magia'!$D$6:$Z$680,8,FALSE))</f>
        <v>#N/A</v>
      </c>
      <c r="F58" s="461" t="e">
        <f>IF(C55=0,"",VLOOKUP(C55,'Tablas Magia'!$D$6:$Z$680,12,FALSE))</f>
        <v>#N/A</v>
      </c>
      <c r="G58" s="462" t="e">
        <f>IF(C55=0,"",VLOOKUP(C55,'Tablas Magia'!$D$6:$Z$680,16,FALSE))</f>
        <v>#N/A</v>
      </c>
      <c r="H58" s="5978" t="e">
        <f>IF(C55=0,"",VLOOKUP(C55,'Tablas Magia'!$D$6:$Z$680,20,FALSE))</f>
        <v>#N/A</v>
      </c>
      <c r="I58" s="5979"/>
      <c r="J58" s="5979"/>
      <c r="K58" s="5979"/>
      <c r="L58" s="5979"/>
      <c r="M58" s="5979"/>
      <c r="N58" s="5979"/>
      <c r="O58" s="5979"/>
      <c r="P58" s="5979"/>
      <c r="Q58" s="5980"/>
      <c r="R58" s="450"/>
      <c r="S58" s="444"/>
      <c r="T58" s="444"/>
      <c r="U58" s="906"/>
      <c r="V58" s="5976" t="s">
        <v>3285</v>
      </c>
      <c r="W58" s="5977"/>
      <c r="X58" s="461" t="e">
        <f>IF(V55=0,"",VLOOKUP(V55,'Tablas Magia'!$D$6:$Z$680,8,FALSE))</f>
        <v>#N/A</v>
      </c>
      <c r="Y58" s="461" t="e">
        <f>IF(V55=0,"",VLOOKUP(V55,'Tablas Magia'!$D$6:$Z$680,12,FALSE))</f>
        <v>#N/A</v>
      </c>
      <c r="Z58" s="462" t="e">
        <f>IF(V55=0,"",VLOOKUP(V55,'Tablas Magia'!$D$6:$Z$680,16,FALSE))</f>
        <v>#N/A</v>
      </c>
      <c r="AA58" s="5978" t="e">
        <f>IF(V55=0,"",VLOOKUP(V55,'Tablas Magia'!$D$6:$Z$680,20,FALSE))</f>
        <v>#N/A</v>
      </c>
      <c r="AB58" s="5979"/>
      <c r="AC58" s="5979"/>
      <c r="AD58" s="5979"/>
      <c r="AE58" s="5979"/>
      <c r="AF58" s="5979"/>
      <c r="AG58" s="5979"/>
      <c r="AH58" s="5979"/>
      <c r="AI58" s="5979"/>
      <c r="AJ58" s="5980"/>
      <c r="AK58" s="450"/>
      <c r="AL58" s="444"/>
      <c r="AM58" s="499"/>
      <c r="AN58" s="906"/>
      <c r="AO58" s="5976" t="s">
        <v>3285</v>
      </c>
      <c r="AP58" s="5977"/>
      <c r="AQ58" s="461" t="e">
        <f>IF(AO55=0,"",VLOOKUP(AO55,'Tablas Magia'!$D$6:$Z$680,8,FALSE))</f>
        <v>#N/A</v>
      </c>
      <c r="AR58" s="461" t="e">
        <f>IF(AO55=0,"",VLOOKUP(AO55,'Tablas Magia'!$D$6:$Z$680,12,FALSE))</f>
        <v>#N/A</v>
      </c>
      <c r="AS58" s="462" t="e">
        <f>IF(AO55=0,"",VLOOKUP(AO55,'Tablas Magia'!$D$6:$Z$680,16,FALSE))</f>
        <v>#N/A</v>
      </c>
      <c r="AT58" s="5978" t="e">
        <f>IF(AO55=0,"",VLOOKUP(AO55,'Tablas Magia'!$D$6:$Z$680,20,FALSE))</f>
        <v>#N/A</v>
      </c>
      <c r="AU58" s="5979"/>
      <c r="AV58" s="5979"/>
      <c r="AW58" s="5979"/>
      <c r="AX58" s="5979"/>
      <c r="AY58" s="5979"/>
      <c r="AZ58" s="5979"/>
      <c r="BA58" s="5979"/>
      <c r="BB58" s="5979"/>
      <c r="BC58" s="5980"/>
      <c r="BD58" s="450"/>
      <c r="BE58" s="444"/>
      <c r="BF58" s="444"/>
      <c r="BG58" s="906"/>
      <c r="BH58" s="5976" t="s">
        <v>3285</v>
      </c>
      <c r="BI58" s="5977"/>
      <c r="BJ58" s="461" t="e">
        <f>IF(BH55=0,"",VLOOKUP(BH55,'Tablas Magia'!$D$6:$Z$680,8,FALSE))</f>
        <v>#N/A</v>
      </c>
      <c r="BK58" s="461" t="e">
        <f>IF(BH55=0,"",VLOOKUP(BH55,'Tablas Magia'!$D$6:$Z$680,12,FALSE))</f>
        <v>#N/A</v>
      </c>
      <c r="BL58" s="462" t="e">
        <f>IF(BH55=0,"",VLOOKUP(BH55,'Tablas Magia'!$D$6:$Z$680,16,FALSE))</f>
        <v>#N/A</v>
      </c>
      <c r="BM58" s="5978" t="e">
        <f>IF(BH55=0,"",VLOOKUP(BH55,'Tablas Magia'!$D$6:$Z$680,20,FALSE))</f>
        <v>#N/A</v>
      </c>
      <c r="BN58" s="5979"/>
      <c r="BO58" s="5979"/>
      <c r="BP58" s="5979"/>
      <c r="BQ58" s="5979"/>
      <c r="BR58" s="5979"/>
      <c r="BS58" s="5979"/>
      <c r="BT58" s="5979"/>
      <c r="BU58" s="5979"/>
      <c r="BV58" s="5980"/>
      <c r="BW58" s="450"/>
      <c r="BX58" s="444"/>
      <c r="BY58" s="444"/>
      <c r="BZ58" s="906"/>
      <c r="CA58" s="5976" t="s">
        <v>3285</v>
      </c>
      <c r="CB58" s="5977"/>
      <c r="CC58" s="461" t="e">
        <f>IF(CA55=0,"",VLOOKUP(CA55,'Tablas Magia'!$D$6:$Z$680,8,FALSE))</f>
        <v>#N/A</v>
      </c>
      <c r="CD58" s="461" t="e">
        <f>IF(CA55=0,"",VLOOKUP(CA55,'Tablas Magia'!$D$6:$Z$680,12,FALSE))</f>
        <v>#N/A</v>
      </c>
      <c r="CE58" s="462" t="e">
        <f>IF(CA55=0,"",VLOOKUP(CA55,'Tablas Magia'!$D$6:$Z$680,16,FALSE))</f>
        <v>#N/A</v>
      </c>
      <c r="CF58" s="5978" t="e">
        <f>IF(CA55=0,"",VLOOKUP(CA55,'Tablas Magia'!$D$6:$Z$680,20,FALSE))</f>
        <v>#N/A</v>
      </c>
      <c r="CG58" s="5979"/>
      <c r="CH58" s="5979"/>
      <c r="CI58" s="5979"/>
      <c r="CJ58" s="5979"/>
      <c r="CK58" s="5979"/>
      <c r="CL58" s="5979"/>
      <c r="CM58" s="5979"/>
      <c r="CN58" s="5979"/>
      <c r="CO58" s="5980"/>
      <c r="CP58" s="450"/>
      <c r="CQ58" s="444"/>
    </row>
    <row r="59" spans="1:95" ht="12" customHeight="1" x14ac:dyDescent="0.2">
      <c r="A59" s="444"/>
      <c r="B59" s="906"/>
      <c r="C59" s="5981" t="s">
        <v>3286</v>
      </c>
      <c r="D59" s="5982"/>
      <c r="E59" s="459" t="e">
        <f>IF(C55=0,"",VLOOKUP(C55,'Tablas Magia'!$D$6:$Z$680,9,FALSE))</f>
        <v>#N/A</v>
      </c>
      <c r="F59" s="459" t="e">
        <f>IF(C55=0,"",VLOOKUP(C55,'Tablas Magia'!$D$6:$Z$680,13,FALSE))</f>
        <v>#N/A</v>
      </c>
      <c r="G59" s="460" t="e">
        <f>IF(C55=0,"",VLOOKUP(C55,'Tablas Magia'!$D$6:$Z$680,17,FALSE))</f>
        <v>#N/A</v>
      </c>
      <c r="H59" s="5983" t="e">
        <f>IF(C55=0,"",VLOOKUP(C55,'Tablas Magia'!$D$6:$Z$680,21,FALSE))</f>
        <v>#N/A</v>
      </c>
      <c r="I59" s="5984"/>
      <c r="J59" s="5984"/>
      <c r="K59" s="5984"/>
      <c r="L59" s="5984"/>
      <c r="M59" s="5984"/>
      <c r="N59" s="5984"/>
      <c r="O59" s="5984"/>
      <c r="P59" s="5984"/>
      <c r="Q59" s="5985"/>
      <c r="R59" s="450"/>
      <c r="S59" s="444"/>
      <c r="T59" s="444"/>
      <c r="U59" s="906"/>
      <c r="V59" s="5981" t="s">
        <v>3286</v>
      </c>
      <c r="W59" s="5982"/>
      <c r="X59" s="459" t="e">
        <f>IF(V55=0,"",VLOOKUP(V55,'Tablas Magia'!$D$6:$Z$680,9,FALSE))</f>
        <v>#N/A</v>
      </c>
      <c r="Y59" s="459" t="e">
        <f>IF(V55=0,"",VLOOKUP(V55,'Tablas Magia'!$D$6:$Z$680,13,FALSE))</f>
        <v>#N/A</v>
      </c>
      <c r="Z59" s="460" t="e">
        <f>IF(V55=0,"",VLOOKUP(V55,'Tablas Magia'!$D$6:$Z$680,17,FALSE))</f>
        <v>#N/A</v>
      </c>
      <c r="AA59" s="5983" t="e">
        <f>IF(V55=0,"",VLOOKUP(V55,'Tablas Magia'!$D$6:$Z$680,21,FALSE))</f>
        <v>#N/A</v>
      </c>
      <c r="AB59" s="5984"/>
      <c r="AC59" s="5984"/>
      <c r="AD59" s="5984"/>
      <c r="AE59" s="5984"/>
      <c r="AF59" s="5984"/>
      <c r="AG59" s="5984"/>
      <c r="AH59" s="5984"/>
      <c r="AI59" s="5984"/>
      <c r="AJ59" s="5985"/>
      <c r="AK59" s="450"/>
      <c r="AL59" s="444"/>
      <c r="AM59" s="499"/>
      <c r="AN59" s="906"/>
      <c r="AO59" s="5981" t="s">
        <v>3286</v>
      </c>
      <c r="AP59" s="5982"/>
      <c r="AQ59" s="459" t="e">
        <f>IF(AO55=0,"",VLOOKUP(AO55,'Tablas Magia'!$D$6:$Z$680,9,FALSE))</f>
        <v>#N/A</v>
      </c>
      <c r="AR59" s="459" t="e">
        <f>IF(AO55=0,"",VLOOKUP(AO55,'Tablas Magia'!$D$6:$Z$680,13,FALSE))</f>
        <v>#N/A</v>
      </c>
      <c r="AS59" s="460" t="e">
        <f>IF(AO55=0,"",VLOOKUP(AO55,'Tablas Magia'!$D$6:$Z$680,17,FALSE))</f>
        <v>#N/A</v>
      </c>
      <c r="AT59" s="5983" t="e">
        <f>IF(AO55=0,"",VLOOKUP(AO55,'Tablas Magia'!$D$6:$Z$680,21,FALSE))</f>
        <v>#N/A</v>
      </c>
      <c r="AU59" s="5984"/>
      <c r="AV59" s="5984"/>
      <c r="AW59" s="5984"/>
      <c r="AX59" s="5984"/>
      <c r="AY59" s="5984"/>
      <c r="AZ59" s="5984"/>
      <c r="BA59" s="5984"/>
      <c r="BB59" s="5984"/>
      <c r="BC59" s="5985"/>
      <c r="BD59" s="450"/>
      <c r="BE59" s="444"/>
      <c r="BF59" s="444"/>
      <c r="BG59" s="906"/>
      <c r="BH59" s="5981" t="s">
        <v>3286</v>
      </c>
      <c r="BI59" s="5982"/>
      <c r="BJ59" s="459" t="e">
        <f>IF(BH55=0,"",VLOOKUP(BH55,'Tablas Magia'!$D$6:$Z$680,9,FALSE))</f>
        <v>#N/A</v>
      </c>
      <c r="BK59" s="459" t="e">
        <f>IF(BH55=0,"",VLOOKUP(BH55,'Tablas Magia'!$D$6:$Z$680,13,FALSE))</f>
        <v>#N/A</v>
      </c>
      <c r="BL59" s="460" t="e">
        <f>IF(BH55=0,"",VLOOKUP(BH55,'Tablas Magia'!$D$6:$Z$680,17,FALSE))</f>
        <v>#N/A</v>
      </c>
      <c r="BM59" s="5983" t="e">
        <f>IF(BH55=0,"",VLOOKUP(BH55,'Tablas Magia'!$D$6:$Z$680,21,FALSE))</f>
        <v>#N/A</v>
      </c>
      <c r="BN59" s="5984"/>
      <c r="BO59" s="5984"/>
      <c r="BP59" s="5984"/>
      <c r="BQ59" s="5984"/>
      <c r="BR59" s="5984"/>
      <c r="BS59" s="5984"/>
      <c r="BT59" s="5984"/>
      <c r="BU59" s="5984"/>
      <c r="BV59" s="5985"/>
      <c r="BW59" s="450"/>
      <c r="BX59" s="444"/>
      <c r="BY59" s="444"/>
      <c r="BZ59" s="906"/>
      <c r="CA59" s="5981" t="s">
        <v>3286</v>
      </c>
      <c r="CB59" s="5982"/>
      <c r="CC59" s="459" t="e">
        <f>IF(CA55=0,"",VLOOKUP(CA55,'Tablas Magia'!$D$6:$Z$680,9,FALSE))</f>
        <v>#N/A</v>
      </c>
      <c r="CD59" s="459" t="e">
        <f>IF(CA55=0,"",VLOOKUP(CA55,'Tablas Magia'!$D$6:$Z$680,13,FALSE))</f>
        <v>#N/A</v>
      </c>
      <c r="CE59" s="460" t="e">
        <f>IF(CA55=0,"",VLOOKUP(CA55,'Tablas Magia'!$D$6:$Z$680,17,FALSE))</f>
        <v>#N/A</v>
      </c>
      <c r="CF59" s="5983" t="e">
        <f>IF(CA55=0,"",VLOOKUP(CA55,'Tablas Magia'!$D$6:$Z$680,21,FALSE))</f>
        <v>#N/A</v>
      </c>
      <c r="CG59" s="5984"/>
      <c r="CH59" s="5984"/>
      <c r="CI59" s="5984"/>
      <c r="CJ59" s="5984"/>
      <c r="CK59" s="5984"/>
      <c r="CL59" s="5984"/>
      <c r="CM59" s="5984"/>
      <c r="CN59" s="5984"/>
      <c r="CO59" s="5985"/>
      <c r="CP59" s="450"/>
      <c r="CQ59" s="444"/>
    </row>
    <row r="60" spans="1:95" ht="12" customHeight="1" thickBot="1" x14ac:dyDescent="0.25">
      <c r="A60" s="444"/>
      <c r="B60" s="906"/>
      <c r="C60" s="5991" t="s">
        <v>3287</v>
      </c>
      <c r="D60" s="5992"/>
      <c r="E60" s="463" t="e">
        <f>IF(C55=0,"",VLOOKUP(C55,'Tablas Magia'!$D$6:$Z$680,10,FALSE))</f>
        <v>#N/A</v>
      </c>
      <c r="F60" s="463" t="e">
        <f>IF(C55=0,"",VLOOKUP(C55,'Tablas Magia'!$D$6:$Z$680,14,FALSE))</f>
        <v>#N/A</v>
      </c>
      <c r="G60" s="464" t="e">
        <f>IF(C55=0,"",VLOOKUP(C55,'Tablas Magia'!$D$6:$Z$680,18,FALSE))</f>
        <v>#N/A</v>
      </c>
      <c r="H60" s="5993" t="e">
        <f>IF(C55=0,"",VLOOKUP(C55,'Tablas Magia'!$D$6:$Z$680,22,FALSE))</f>
        <v>#N/A</v>
      </c>
      <c r="I60" s="5994"/>
      <c r="J60" s="5994"/>
      <c r="K60" s="5994"/>
      <c r="L60" s="5994"/>
      <c r="M60" s="5994"/>
      <c r="N60" s="5994"/>
      <c r="O60" s="5994"/>
      <c r="P60" s="5994"/>
      <c r="Q60" s="5995"/>
      <c r="R60" s="450"/>
      <c r="S60" s="444"/>
      <c r="T60" s="444"/>
      <c r="U60" s="906"/>
      <c r="V60" s="5991" t="s">
        <v>3287</v>
      </c>
      <c r="W60" s="5992"/>
      <c r="X60" s="463" t="e">
        <f>IF(V55=0,"",VLOOKUP(V55,'Tablas Magia'!$D$6:$Z$680,10,FALSE))</f>
        <v>#N/A</v>
      </c>
      <c r="Y60" s="463" t="e">
        <f>IF(V55=0,"",VLOOKUP(V55,'Tablas Magia'!$D$6:$Z$680,14,FALSE))</f>
        <v>#N/A</v>
      </c>
      <c r="Z60" s="464" t="e">
        <f>IF(V55=0,"",VLOOKUP(V55,'Tablas Magia'!$D$6:$Z$680,18,FALSE))</f>
        <v>#N/A</v>
      </c>
      <c r="AA60" s="5993" t="e">
        <f>IF(V55=0,"",VLOOKUP(V55,'Tablas Magia'!$D$6:$Z$680,22,FALSE))</f>
        <v>#N/A</v>
      </c>
      <c r="AB60" s="5994"/>
      <c r="AC60" s="5994"/>
      <c r="AD60" s="5994"/>
      <c r="AE60" s="5994"/>
      <c r="AF60" s="5994"/>
      <c r="AG60" s="5994"/>
      <c r="AH60" s="5994"/>
      <c r="AI60" s="5994"/>
      <c r="AJ60" s="5995"/>
      <c r="AK60" s="450"/>
      <c r="AL60" s="444"/>
      <c r="AM60" s="499"/>
      <c r="AN60" s="906"/>
      <c r="AO60" s="5991" t="s">
        <v>3287</v>
      </c>
      <c r="AP60" s="5992"/>
      <c r="AQ60" s="463" t="e">
        <f>IF(AO55=0,"",VLOOKUP(AO55,'Tablas Magia'!$D$6:$Z$680,10,FALSE))</f>
        <v>#N/A</v>
      </c>
      <c r="AR60" s="463" t="e">
        <f>IF(AO55=0,"",VLOOKUP(AO55,'Tablas Magia'!$D$6:$Z$680,14,FALSE))</f>
        <v>#N/A</v>
      </c>
      <c r="AS60" s="464" t="e">
        <f>IF(AO55=0,"",VLOOKUP(AO55,'Tablas Magia'!$D$6:$Z$680,18,FALSE))</f>
        <v>#N/A</v>
      </c>
      <c r="AT60" s="5993" t="e">
        <f>IF(AO55=0,"",VLOOKUP(AO55,'Tablas Magia'!$D$6:$Z$680,22,FALSE))</f>
        <v>#N/A</v>
      </c>
      <c r="AU60" s="5994"/>
      <c r="AV60" s="5994"/>
      <c r="AW60" s="5994"/>
      <c r="AX60" s="5994"/>
      <c r="AY60" s="5994"/>
      <c r="AZ60" s="5994"/>
      <c r="BA60" s="5994"/>
      <c r="BB60" s="5994"/>
      <c r="BC60" s="5995"/>
      <c r="BD60" s="450"/>
      <c r="BE60" s="444"/>
      <c r="BF60" s="444"/>
      <c r="BG60" s="906"/>
      <c r="BH60" s="5991" t="s">
        <v>3287</v>
      </c>
      <c r="BI60" s="5992"/>
      <c r="BJ60" s="463" t="e">
        <f>IF(BH55=0,"",VLOOKUP(BH55,'Tablas Magia'!$D$6:$Z$680,10,FALSE))</f>
        <v>#N/A</v>
      </c>
      <c r="BK60" s="463" t="e">
        <f>IF(BH55=0,"",VLOOKUP(BH55,'Tablas Magia'!$D$6:$Z$680,14,FALSE))</f>
        <v>#N/A</v>
      </c>
      <c r="BL60" s="464" t="e">
        <f>IF(BH55=0,"",VLOOKUP(BH55,'Tablas Magia'!$D$6:$Z$680,18,FALSE))</f>
        <v>#N/A</v>
      </c>
      <c r="BM60" s="5993" t="e">
        <f>IF(BH55=0,"",VLOOKUP(BH55,'Tablas Magia'!$D$6:$Z$680,22,FALSE))</f>
        <v>#N/A</v>
      </c>
      <c r="BN60" s="5994"/>
      <c r="BO60" s="5994"/>
      <c r="BP60" s="5994"/>
      <c r="BQ60" s="5994"/>
      <c r="BR60" s="5994"/>
      <c r="BS60" s="5994"/>
      <c r="BT60" s="5994"/>
      <c r="BU60" s="5994"/>
      <c r="BV60" s="5995"/>
      <c r="BW60" s="450"/>
      <c r="BX60" s="444"/>
      <c r="BY60" s="444"/>
      <c r="BZ60" s="906"/>
      <c r="CA60" s="5991" t="s">
        <v>3287</v>
      </c>
      <c r="CB60" s="5992"/>
      <c r="CC60" s="463" t="e">
        <f>IF(CA55=0,"",VLOOKUP(CA55,'Tablas Magia'!$D$6:$Z$680,10,FALSE))</f>
        <v>#N/A</v>
      </c>
      <c r="CD60" s="463" t="e">
        <f>IF(CA55=0,"",VLOOKUP(CA55,'Tablas Magia'!$D$6:$Z$680,14,FALSE))</f>
        <v>#N/A</v>
      </c>
      <c r="CE60" s="464" t="e">
        <f>IF(CA55=0,"",VLOOKUP(CA55,'Tablas Magia'!$D$6:$Z$680,18,FALSE))</f>
        <v>#N/A</v>
      </c>
      <c r="CF60" s="5993" t="e">
        <f>IF(CA55=0,"",VLOOKUP(CA55,'Tablas Magia'!$D$6:$Z$680,22,FALSE))</f>
        <v>#N/A</v>
      </c>
      <c r="CG60" s="5994"/>
      <c r="CH60" s="5994"/>
      <c r="CI60" s="5994"/>
      <c r="CJ60" s="5994"/>
      <c r="CK60" s="5994"/>
      <c r="CL60" s="5994"/>
      <c r="CM60" s="5994"/>
      <c r="CN60" s="5994"/>
      <c r="CO60" s="5995"/>
      <c r="CP60" s="450"/>
      <c r="CQ60" s="444"/>
    </row>
    <row r="61" spans="1:95" ht="12" customHeight="1" x14ac:dyDescent="0.2">
      <c r="A61" s="444"/>
      <c r="B61" s="906"/>
      <c r="C61" s="5996" t="e">
        <f>IF(C55=0,"",VLOOKUP(C55,'Tablas Magia'!$D$6:$Z$680,23,FALSE))</f>
        <v>#N/A</v>
      </c>
      <c r="D61" s="5997"/>
      <c r="E61" s="5997"/>
      <c r="F61" s="5997"/>
      <c r="G61" s="5997"/>
      <c r="H61" s="5997"/>
      <c r="I61" s="5997"/>
      <c r="J61" s="5997"/>
      <c r="K61" s="5997"/>
      <c r="L61" s="5997"/>
      <c r="M61" s="5997"/>
      <c r="N61" s="5997"/>
      <c r="O61" s="5997"/>
      <c r="P61" s="5997"/>
      <c r="Q61" s="5998"/>
      <c r="R61" s="450"/>
      <c r="S61" s="444"/>
      <c r="T61" s="444"/>
      <c r="U61" s="906"/>
      <c r="V61" s="5996" t="e">
        <f>IF(V55=0,"",VLOOKUP(V55,'Tablas Magia'!$D$6:$Z$680,23,FALSE))</f>
        <v>#N/A</v>
      </c>
      <c r="W61" s="5997"/>
      <c r="X61" s="5997"/>
      <c r="Y61" s="5997"/>
      <c r="Z61" s="5997"/>
      <c r="AA61" s="5997"/>
      <c r="AB61" s="5997"/>
      <c r="AC61" s="5997"/>
      <c r="AD61" s="5997"/>
      <c r="AE61" s="5997"/>
      <c r="AF61" s="5997"/>
      <c r="AG61" s="5997"/>
      <c r="AH61" s="5997"/>
      <c r="AI61" s="5997"/>
      <c r="AJ61" s="5998"/>
      <c r="AK61" s="450"/>
      <c r="AL61" s="444"/>
      <c r="AM61" s="499"/>
      <c r="AN61" s="906"/>
      <c r="AO61" s="5996" t="e">
        <f>IF(AO55=0,"",VLOOKUP(AO55,'Tablas Magia'!$D$6:$Z$680,23,FALSE))</f>
        <v>#N/A</v>
      </c>
      <c r="AP61" s="5997"/>
      <c r="AQ61" s="5997"/>
      <c r="AR61" s="5997"/>
      <c r="AS61" s="5997"/>
      <c r="AT61" s="5997"/>
      <c r="AU61" s="5997"/>
      <c r="AV61" s="5997"/>
      <c r="AW61" s="5997"/>
      <c r="AX61" s="5997"/>
      <c r="AY61" s="5997"/>
      <c r="AZ61" s="5997"/>
      <c r="BA61" s="5997"/>
      <c r="BB61" s="5997"/>
      <c r="BC61" s="5998"/>
      <c r="BD61" s="450"/>
      <c r="BE61" s="444"/>
      <c r="BF61" s="444"/>
      <c r="BG61" s="906"/>
      <c r="BH61" s="5996" t="e">
        <f>IF(BH55=0,"",VLOOKUP(BH55,'Tablas Magia'!$D$6:$Z$680,23,FALSE))</f>
        <v>#N/A</v>
      </c>
      <c r="BI61" s="5997"/>
      <c r="BJ61" s="5997"/>
      <c r="BK61" s="5997"/>
      <c r="BL61" s="5997"/>
      <c r="BM61" s="5997"/>
      <c r="BN61" s="5997"/>
      <c r="BO61" s="5997"/>
      <c r="BP61" s="5997"/>
      <c r="BQ61" s="5997"/>
      <c r="BR61" s="5997"/>
      <c r="BS61" s="5997"/>
      <c r="BT61" s="5997"/>
      <c r="BU61" s="5997"/>
      <c r="BV61" s="5998"/>
      <c r="BW61" s="450"/>
      <c r="BX61" s="444"/>
      <c r="BY61" s="444"/>
      <c r="BZ61" s="906"/>
      <c r="CA61" s="5996" t="e">
        <f>IF(CA55=0,"",VLOOKUP(CA55,'Tablas Magia'!$D$6:$Z$680,23,FALSE))</f>
        <v>#N/A</v>
      </c>
      <c r="CB61" s="5997"/>
      <c r="CC61" s="5997"/>
      <c r="CD61" s="5997"/>
      <c r="CE61" s="5997"/>
      <c r="CF61" s="5997"/>
      <c r="CG61" s="5997"/>
      <c r="CH61" s="5997"/>
      <c r="CI61" s="5997"/>
      <c r="CJ61" s="5997"/>
      <c r="CK61" s="5997"/>
      <c r="CL61" s="5997"/>
      <c r="CM61" s="5997"/>
      <c r="CN61" s="5997"/>
      <c r="CO61" s="5998"/>
      <c r="CP61" s="450"/>
      <c r="CQ61" s="444"/>
    </row>
    <row r="62" spans="1:95" ht="12" customHeight="1" x14ac:dyDescent="0.2">
      <c r="A62" s="444"/>
      <c r="B62" s="906"/>
      <c r="C62" s="5999"/>
      <c r="D62" s="6000"/>
      <c r="E62" s="6000"/>
      <c r="F62" s="6000"/>
      <c r="G62" s="6000"/>
      <c r="H62" s="6000"/>
      <c r="I62" s="6000"/>
      <c r="J62" s="6000"/>
      <c r="K62" s="6000"/>
      <c r="L62" s="6000"/>
      <c r="M62" s="6000"/>
      <c r="N62" s="6000"/>
      <c r="O62" s="6000"/>
      <c r="P62" s="6000"/>
      <c r="Q62" s="6001"/>
      <c r="R62" s="450"/>
      <c r="S62" s="444"/>
      <c r="T62" s="444"/>
      <c r="U62" s="906"/>
      <c r="V62" s="5999"/>
      <c r="W62" s="6000"/>
      <c r="X62" s="6000"/>
      <c r="Y62" s="6000"/>
      <c r="Z62" s="6000"/>
      <c r="AA62" s="6000"/>
      <c r="AB62" s="6000"/>
      <c r="AC62" s="6000"/>
      <c r="AD62" s="6000"/>
      <c r="AE62" s="6000"/>
      <c r="AF62" s="6000"/>
      <c r="AG62" s="6000"/>
      <c r="AH62" s="6000"/>
      <c r="AI62" s="6000"/>
      <c r="AJ62" s="6001"/>
      <c r="AK62" s="450"/>
      <c r="AL62" s="444"/>
      <c r="AM62" s="499"/>
      <c r="AN62" s="906"/>
      <c r="AO62" s="5999"/>
      <c r="AP62" s="6000"/>
      <c r="AQ62" s="6000"/>
      <c r="AR62" s="6000"/>
      <c r="AS62" s="6000"/>
      <c r="AT62" s="6000"/>
      <c r="AU62" s="6000"/>
      <c r="AV62" s="6000"/>
      <c r="AW62" s="6000"/>
      <c r="AX62" s="6000"/>
      <c r="AY62" s="6000"/>
      <c r="AZ62" s="6000"/>
      <c r="BA62" s="6000"/>
      <c r="BB62" s="6000"/>
      <c r="BC62" s="6001"/>
      <c r="BD62" s="450"/>
      <c r="BE62" s="444"/>
      <c r="BF62" s="444"/>
      <c r="BG62" s="906"/>
      <c r="BH62" s="5999"/>
      <c r="BI62" s="6000"/>
      <c r="BJ62" s="6000"/>
      <c r="BK62" s="6000"/>
      <c r="BL62" s="6000"/>
      <c r="BM62" s="6000"/>
      <c r="BN62" s="6000"/>
      <c r="BO62" s="6000"/>
      <c r="BP62" s="6000"/>
      <c r="BQ62" s="6000"/>
      <c r="BR62" s="6000"/>
      <c r="BS62" s="6000"/>
      <c r="BT62" s="6000"/>
      <c r="BU62" s="6000"/>
      <c r="BV62" s="6001"/>
      <c r="BW62" s="450"/>
      <c r="BX62" s="444"/>
      <c r="BY62" s="444"/>
      <c r="BZ62" s="906"/>
      <c r="CA62" s="5999"/>
      <c r="CB62" s="6000"/>
      <c r="CC62" s="6000"/>
      <c r="CD62" s="6000"/>
      <c r="CE62" s="6000"/>
      <c r="CF62" s="6000"/>
      <c r="CG62" s="6000"/>
      <c r="CH62" s="6000"/>
      <c r="CI62" s="6000"/>
      <c r="CJ62" s="6000"/>
      <c r="CK62" s="6000"/>
      <c r="CL62" s="6000"/>
      <c r="CM62" s="6000"/>
      <c r="CN62" s="6000"/>
      <c r="CO62" s="6001"/>
      <c r="CP62" s="450"/>
      <c r="CQ62" s="444"/>
    </row>
    <row r="63" spans="1:95" ht="12" customHeight="1" x14ac:dyDescent="0.2">
      <c r="A63" s="444"/>
      <c r="B63" s="906"/>
      <c r="C63" s="5999"/>
      <c r="D63" s="6000"/>
      <c r="E63" s="6000"/>
      <c r="F63" s="6000"/>
      <c r="G63" s="6000"/>
      <c r="H63" s="6000"/>
      <c r="I63" s="6000"/>
      <c r="J63" s="6000"/>
      <c r="K63" s="6000"/>
      <c r="L63" s="6000"/>
      <c r="M63" s="6000"/>
      <c r="N63" s="6000"/>
      <c r="O63" s="6000"/>
      <c r="P63" s="6000"/>
      <c r="Q63" s="6001"/>
      <c r="R63" s="450"/>
      <c r="S63" s="444"/>
      <c r="T63" s="444"/>
      <c r="U63" s="906"/>
      <c r="V63" s="5999"/>
      <c r="W63" s="6000"/>
      <c r="X63" s="6000"/>
      <c r="Y63" s="6000"/>
      <c r="Z63" s="6000"/>
      <c r="AA63" s="6000"/>
      <c r="AB63" s="6000"/>
      <c r="AC63" s="6000"/>
      <c r="AD63" s="6000"/>
      <c r="AE63" s="6000"/>
      <c r="AF63" s="6000"/>
      <c r="AG63" s="6000"/>
      <c r="AH63" s="6000"/>
      <c r="AI63" s="6000"/>
      <c r="AJ63" s="6001"/>
      <c r="AK63" s="450"/>
      <c r="AL63" s="444"/>
      <c r="AM63" s="499"/>
      <c r="AN63" s="906"/>
      <c r="AO63" s="5999"/>
      <c r="AP63" s="6000"/>
      <c r="AQ63" s="6000"/>
      <c r="AR63" s="6000"/>
      <c r="AS63" s="6000"/>
      <c r="AT63" s="6000"/>
      <c r="AU63" s="6000"/>
      <c r="AV63" s="6000"/>
      <c r="AW63" s="6000"/>
      <c r="AX63" s="6000"/>
      <c r="AY63" s="6000"/>
      <c r="AZ63" s="6000"/>
      <c r="BA63" s="6000"/>
      <c r="BB63" s="6000"/>
      <c r="BC63" s="6001"/>
      <c r="BD63" s="450"/>
      <c r="BE63" s="444"/>
      <c r="BF63" s="444"/>
      <c r="BG63" s="906"/>
      <c r="BH63" s="5999"/>
      <c r="BI63" s="6000"/>
      <c r="BJ63" s="6000"/>
      <c r="BK63" s="6000"/>
      <c r="BL63" s="6000"/>
      <c r="BM63" s="6000"/>
      <c r="BN63" s="6000"/>
      <c r="BO63" s="6000"/>
      <c r="BP63" s="6000"/>
      <c r="BQ63" s="6000"/>
      <c r="BR63" s="6000"/>
      <c r="BS63" s="6000"/>
      <c r="BT63" s="6000"/>
      <c r="BU63" s="6000"/>
      <c r="BV63" s="6001"/>
      <c r="BW63" s="450"/>
      <c r="BX63" s="444"/>
      <c r="BY63" s="444"/>
      <c r="BZ63" s="906"/>
      <c r="CA63" s="5999"/>
      <c r="CB63" s="6000"/>
      <c r="CC63" s="6000"/>
      <c r="CD63" s="6000"/>
      <c r="CE63" s="6000"/>
      <c r="CF63" s="6000"/>
      <c r="CG63" s="6000"/>
      <c r="CH63" s="6000"/>
      <c r="CI63" s="6000"/>
      <c r="CJ63" s="6000"/>
      <c r="CK63" s="6000"/>
      <c r="CL63" s="6000"/>
      <c r="CM63" s="6000"/>
      <c r="CN63" s="6000"/>
      <c r="CO63" s="6001"/>
      <c r="CP63" s="450"/>
      <c r="CQ63" s="444"/>
    </row>
    <row r="64" spans="1:95" ht="12" customHeight="1" thickBot="1" x14ac:dyDescent="0.25">
      <c r="A64" s="444"/>
      <c r="B64" s="906"/>
      <c r="C64" s="6002"/>
      <c r="D64" s="6003"/>
      <c r="E64" s="6003"/>
      <c r="F64" s="6003"/>
      <c r="G64" s="6003"/>
      <c r="H64" s="6003"/>
      <c r="I64" s="6003"/>
      <c r="J64" s="6003"/>
      <c r="K64" s="6003"/>
      <c r="L64" s="6003"/>
      <c r="M64" s="6003"/>
      <c r="N64" s="6003"/>
      <c r="O64" s="6003"/>
      <c r="P64" s="6003"/>
      <c r="Q64" s="6004"/>
      <c r="R64" s="450"/>
      <c r="S64" s="444"/>
      <c r="T64" s="444"/>
      <c r="U64" s="906"/>
      <c r="V64" s="6002"/>
      <c r="W64" s="6003"/>
      <c r="X64" s="6003"/>
      <c r="Y64" s="6003"/>
      <c r="Z64" s="6003"/>
      <c r="AA64" s="6003"/>
      <c r="AB64" s="6003"/>
      <c r="AC64" s="6003"/>
      <c r="AD64" s="6003"/>
      <c r="AE64" s="6003"/>
      <c r="AF64" s="6003"/>
      <c r="AG64" s="6003"/>
      <c r="AH64" s="6003"/>
      <c r="AI64" s="6003"/>
      <c r="AJ64" s="6004"/>
      <c r="AK64" s="450"/>
      <c r="AL64" s="444"/>
      <c r="AM64" s="499"/>
      <c r="AN64" s="906"/>
      <c r="AO64" s="6002"/>
      <c r="AP64" s="6003"/>
      <c r="AQ64" s="6003"/>
      <c r="AR64" s="6003"/>
      <c r="AS64" s="6003"/>
      <c r="AT64" s="6003"/>
      <c r="AU64" s="6003"/>
      <c r="AV64" s="6003"/>
      <c r="AW64" s="6003"/>
      <c r="AX64" s="6003"/>
      <c r="AY64" s="6003"/>
      <c r="AZ64" s="6003"/>
      <c r="BA64" s="6003"/>
      <c r="BB64" s="6003"/>
      <c r="BC64" s="6004"/>
      <c r="BD64" s="450"/>
      <c r="BE64" s="444"/>
      <c r="BF64" s="444"/>
      <c r="BG64" s="906"/>
      <c r="BH64" s="6002"/>
      <c r="BI64" s="6003"/>
      <c r="BJ64" s="6003"/>
      <c r="BK64" s="6003"/>
      <c r="BL64" s="6003"/>
      <c r="BM64" s="6003"/>
      <c r="BN64" s="6003"/>
      <c r="BO64" s="6003"/>
      <c r="BP64" s="6003"/>
      <c r="BQ64" s="6003"/>
      <c r="BR64" s="6003"/>
      <c r="BS64" s="6003"/>
      <c r="BT64" s="6003"/>
      <c r="BU64" s="6003"/>
      <c r="BV64" s="6004"/>
      <c r="BW64" s="450"/>
      <c r="BX64" s="444"/>
      <c r="BY64" s="444"/>
      <c r="BZ64" s="906"/>
      <c r="CA64" s="6002"/>
      <c r="CB64" s="6003"/>
      <c r="CC64" s="6003"/>
      <c r="CD64" s="6003"/>
      <c r="CE64" s="6003"/>
      <c r="CF64" s="6003"/>
      <c r="CG64" s="6003"/>
      <c r="CH64" s="6003"/>
      <c r="CI64" s="6003"/>
      <c r="CJ64" s="6003"/>
      <c r="CK64" s="6003"/>
      <c r="CL64" s="6003"/>
      <c r="CM64" s="6003"/>
      <c r="CN64" s="6003"/>
      <c r="CO64" s="6004"/>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6022" t="str">
        <f>"Conjuros de nivel "&amp;B67&amp;"-"&amp;B111</f>
        <v>Conjuros de nivel 12-20</v>
      </c>
      <c r="D66" s="6022"/>
      <c r="E66" s="6022"/>
      <c r="F66" s="6022"/>
      <c r="G66" s="6022"/>
      <c r="H66" s="6022"/>
      <c r="I66" s="6022"/>
      <c r="J66" s="6022"/>
      <c r="K66" s="6022"/>
      <c r="L66" s="6022"/>
      <c r="M66" s="6022"/>
      <c r="N66" s="6022"/>
      <c r="O66" s="6022"/>
      <c r="P66" s="6022"/>
      <c r="Q66" s="6022"/>
      <c r="R66" s="913"/>
      <c r="S66" s="444"/>
      <c r="T66" s="444"/>
      <c r="U66" s="914"/>
      <c r="V66" s="6022" t="str">
        <f>"Conjuros de nivel "&amp;U67&amp;"-"&amp;U111</f>
        <v>Conjuros de nivel 32-40</v>
      </c>
      <c r="W66" s="6022"/>
      <c r="X66" s="6022"/>
      <c r="Y66" s="6022"/>
      <c r="Z66" s="6022"/>
      <c r="AA66" s="6022"/>
      <c r="AB66" s="6022"/>
      <c r="AC66" s="6022"/>
      <c r="AD66" s="6022"/>
      <c r="AE66" s="6022"/>
      <c r="AF66" s="6022"/>
      <c r="AG66" s="6022"/>
      <c r="AH66" s="6022"/>
      <c r="AI66" s="6022"/>
      <c r="AJ66" s="6022"/>
      <c r="AK66" s="913"/>
      <c r="AL66" s="444"/>
      <c r="AM66" s="499"/>
      <c r="AN66" s="914"/>
      <c r="AO66" s="6022" t="str">
        <f>"Conjuros de nivel "&amp;AN67&amp;"-"&amp;AN111</f>
        <v>Conjuros de nivel 52-60</v>
      </c>
      <c r="AP66" s="6022"/>
      <c r="AQ66" s="6022"/>
      <c r="AR66" s="6022"/>
      <c r="AS66" s="6022"/>
      <c r="AT66" s="6022"/>
      <c r="AU66" s="6022"/>
      <c r="AV66" s="6022"/>
      <c r="AW66" s="6022"/>
      <c r="AX66" s="6022"/>
      <c r="AY66" s="6022"/>
      <c r="AZ66" s="6022"/>
      <c r="BA66" s="6022"/>
      <c r="BB66" s="6022"/>
      <c r="BC66" s="6022"/>
      <c r="BD66" s="913"/>
      <c r="BE66" s="444"/>
      <c r="BF66" s="444"/>
      <c r="BG66" s="914"/>
      <c r="BH66" s="6022" t="str">
        <f>"Conjuros de nivel "&amp;BG67&amp;"-"&amp;BG111</f>
        <v>Conjuros de nivel 72-80</v>
      </c>
      <c r="BI66" s="6022"/>
      <c r="BJ66" s="6022"/>
      <c r="BK66" s="6022"/>
      <c r="BL66" s="6022"/>
      <c r="BM66" s="6022"/>
      <c r="BN66" s="6022"/>
      <c r="BO66" s="6022"/>
      <c r="BP66" s="6022"/>
      <c r="BQ66" s="6022"/>
      <c r="BR66" s="6022"/>
      <c r="BS66" s="6022"/>
      <c r="BT66" s="6022"/>
      <c r="BU66" s="6022"/>
      <c r="BV66" s="6022"/>
      <c r="BW66" s="913"/>
      <c r="BX66" s="444"/>
      <c r="BY66" s="444"/>
      <c r="BZ66" s="914"/>
      <c r="CA66" s="6022" t="str">
        <f>"Conjuros de nivel "&amp;BZ67&amp;"-"&amp;BZ111</f>
        <v>Conjuros de nivel 92-100</v>
      </c>
      <c r="CB66" s="6022"/>
      <c r="CC66" s="6022"/>
      <c r="CD66" s="6022"/>
      <c r="CE66" s="6022"/>
      <c r="CF66" s="6022"/>
      <c r="CG66" s="6022"/>
      <c r="CH66" s="6022"/>
      <c r="CI66" s="6022"/>
      <c r="CJ66" s="6022"/>
      <c r="CK66" s="6022"/>
      <c r="CL66" s="6022"/>
      <c r="CM66" s="6022"/>
      <c r="CN66" s="6022"/>
      <c r="CO66" s="6022"/>
      <c r="CP66" s="912"/>
      <c r="CQ66" s="444"/>
    </row>
    <row r="67" spans="1:95" ht="12" customHeight="1" x14ac:dyDescent="0.2">
      <c r="A67" s="444"/>
      <c r="B67" s="906">
        <f>B55+2</f>
        <v>12</v>
      </c>
      <c r="C67" s="601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13"/>
      <c r="E67" s="6013"/>
      <c r="F67" s="6013"/>
      <c r="G67" s="6020"/>
      <c r="H67" s="454" t="s">
        <v>1333</v>
      </c>
      <c r="I67" s="455">
        <f>B67</f>
        <v>12</v>
      </c>
      <c r="J67" s="6005" t="s">
        <v>6388</v>
      </c>
      <c r="K67" s="6005"/>
      <c r="L67" s="6005"/>
      <c r="M67" s="5972" t="e">
        <f>IF(C67=0,"",VLOOKUP(C67,'Tablas Magia'!$D$6:$Z$680,2,FALSE))</f>
        <v>#N/A</v>
      </c>
      <c r="N67" s="5972"/>
      <c r="O67" s="1959"/>
      <c r="P67" s="6016" t="str">
        <f>IFERROR(IF(M67="Libre Acceso","Aprendido",IF(IFERROR(VLOOKUP(M67,Místicos!$C$15:$H$25,6,0)&gt;=I67,FALSE),"Aprendido",IF(IFERROR(VLOOKUP(M67,Místicos!$E$15:$H$25,4,0)&gt;=I67,FALSE),"Aprendido",""))),"")</f>
        <v/>
      </c>
      <c r="Q67" s="6017"/>
      <c r="R67" s="450"/>
      <c r="S67" s="444"/>
      <c r="T67" s="444"/>
      <c r="U67" s="906">
        <f>U55+2</f>
        <v>32</v>
      </c>
      <c r="V67" s="601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13"/>
      <c r="X67" s="6013"/>
      <c r="Y67" s="6013"/>
      <c r="Z67" s="6020"/>
      <c r="AA67" s="454" t="s">
        <v>1333</v>
      </c>
      <c r="AB67" s="455">
        <f>U67</f>
        <v>32</v>
      </c>
      <c r="AC67" s="6005" t="s">
        <v>6388</v>
      </c>
      <c r="AD67" s="6005"/>
      <c r="AE67" s="6005"/>
      <c r="AF67" s="5972" t="e">
        <f>IF(V67=0,"",VLOOKUP(V67,'Tablas Magia'!$D$6:$Z$680,2,FALSE))</f>
        <v>#N/A</v>
      </c>
      <c r="AG67" s="5972"/>
      <c r="AH67" s="1959"/>
      <c r="AI67" s="6016" t="str">
        <f>IFERROR(IF(AF67="Libre Acceso","Aprendido",IF(IFERROR(VLOOKUP(AF67,Místicos!$C$15:$H$25,6,0)&gt;=AB67,FALSE),"Aprendido",IF(IFERROR(VLOOKUP(AF67,Místicos!$E$15:$H$25,4,0)&gt;=AB67,FALSE),"Aprendido",""))),"")</f>
        <v/>
      </c>
      <c r="AJ67" s="6017"/>
      <c r="AK67" s="450"/>
      <c r="AL67" s="444"/>
      <c r="AM67" s="499"/>
      <c r="AN67" s="906">
        <f>AN55+2</f>
        <v>52</v>
      </c>
      <c r="AO67" s="601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13"/>
      <c r="AQ67" s="6013"/>
      <c r="AR67" s="6013"/>
      <c r="AS67" s="6020"/>
      <c r="AT67" s="454" t="s">
        <v>1333</v>
      </c>
      <c r="AU67" s="455">
        <f>AN67</f>
        <v>52</v>
      </c>
      <c r="AV67" s="6005" t="s">
        <v>6388</v>
      </c>
      <c r="AW67" s="6005"/>
      <c r="AX67" s="6005"/>
      <c r="AY67" s="5972" t="e">
        <f>IF(AO67=0,"",VLOOKUP(AO67,'Tablas Magia'!$D$6:$Z$680,2,FALSE))</f>
        <v>#N/A</v>
      </c>
      <c r="AZ67" s="5972"/>
      <c r="BA67" s="1959"/>
      <c r="BB67" s="6016" t="str">
        <f>IFERROR(IF(AY67="Libre Acceso","Aprendido",IF(IFERROR(VLOOKUP(AY67,Místicos!$C$15:$H$25,6,0)&gt;=AU67,FALSE),"Aprendido",IF(IFERROR(VLOOKUP(AY67,Místicos!$E$15:$H$25,4,0)&gt;=AU67,FALSE),"Aprendido",""))),"")</f>
        <v/>
      </c>
      <c r="BC67" s="6017"/>
      <c r="BD67" s="450"/>
      <c r="BE67" s="444"/>
      <c r="BF67" s="444"/>
      <c r="BG67" s="906">
        <f>BG55+2</f>
        <v>72</v>
      </c>
      <c r="BH67" s="601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13"/>
      <c r="BJ67" s="6013"/>
      <c r="BK67" s="6013"/>
      <c r="BL67" s="6020"/>
      <c r="BM67" s="454" t="s">
        <v>1333</v>
      </c>
      <c r="BN67" s="455">
        <f>BG67</f>
        <v>72</v>
      </c>
      <c r="BO67" s="6005" t="s">
        <v>6388</v>
      </c>
      <c r="BP67" s="6005"/>
      <c r="BQ67" s="6005"/>
      <c r="BR67" s="5972" t="e">
        <f>IF(BH67=0,"",VLOOKUP(BH67,'Tablas Magia'!$D$6:$Z$680,2,FALSE))</f>
        <v>#N/A</v>
      </c>
      <c r="BS67" s="5972"/>
      <c r="BT67" s="1959"/>
      <c r="BU67" s="6016" t="str">
        <f>IFERROR(IF(BR67="Libre Acceso","Aprendido",IF(IFERROR(VLOOKUP(BR67,Místicos!$C$15:$H$25,6,0)&gt;=BN67,FALSE),"Aprendido",IF(IFERROR(VLOOKUP(BR67,Místicos!$E$15:$H$25,4,0)&gt;=BN67,FALSE),"Aprendido",""))),"")</f>
        <v/>
      </c>
      <c r="BV67" s="6017"/>
      <c r="BW67" s="450"/>
      <c r="BX67" s="444"/>
      <c r="BY67" s="444"/>
      <c r="BZ67" s="906">
        <f>BZ55+2</f>
        <v>92</v>
      </c>
      <c r="CA67" s="601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13"/>
      <c r="CC67" s="6013"/>
      <c r="CD67" s="6013"/>
      <c r="CE67" s="6020"/>
      <c r="CF67" s="454" t="s">
        <v>1333</v>
      </c>
      <c r="CG67" s="455">
        <f>BZ67</f>
        <v>92</v>
      </c>
      <c r="CH67" s="6005" t="s">
        <v>6388</v>
      </c>
      <c r="CI67" s="6005"/>
      <c r="CJ67" s="6005"/>
      <c r="CK67" s="5972" t="e">
        <f>IF(CA67=0,"",VLOOKUP(CA67,'Tablas Magia'!$D$6:$Z$680,2,FALSE))</f>
        <v>#N/A</v>
      </c>
      <c r="CL67" s="5972"/>
      <c r="CM67" s="1959"/>
      <c r="CN67" s="6016" t="str">
        <f>IFERROR(IF(CK67="Libre Acceso","Aprendido",IF(IFERROR(VLOOKUP(CK67,Místicos!$C$15:$H$25,6,0)&gt;=CG67,FALSE),"Aprendido",IF(IFERROR(VLOOKUP(CK67,Místicos!$E$15:$H$25,4,0)&gt;=CG67,FALSE),"Aprendido",""))),"")</f>
        <v/>
      </c>
      <c r="CO67" s="6017"/>
      <c r="CP67" s="450"/>
      <c r="CQ67" s="444"/>
    </row>
    <row r="68" spans="1:95" ht="12" customHeight="1" x14ac:dyDescent="0.2">
      <c r="A68" s="444"/>
      <c r="B68" s="906"/>
      <c r="C68" s="5989" t="s">
        <v>6389</v>
      </c>
      <c r="D68" s="6006"/>
      <c r="E68" s="1972" t="s">
        <v>6390</v>
      </c>
      <c r="F68" s="1972" t="s">
        <v>1517</v>
      </c>
      <c r="G68" s="1972" t="s">
        <v>2914</v>
      </c>
      <c r="H68" s="1973" t="s">
        <v>1845</v>
      </c>
      <c r="I68" s="6007" t="e">
        <f>IF(C67=0,"",VLOOKUP(C67,'Tablas Magia'!$D$6:$Z$680,5,FALSE))</f>
        <v>#N/A</v>
      </c>
      <c r="J68" s="6007"/>
      <c r="K68" s="6018" t="s">
        <v>6391</v>
      </c>
      <c r="L68" s="6018"/>
      <c r="M68" s="6007" t="e">
        <f>IF(C67=0,"",VLOOKUP(C67,'Tablas Magia'!$D$6:$Z$680,6,FALSE))</f>
        <v>#N/A</v>
      </c>
      <c r="N68" s="6007"/>
      <c r="O68" s="6008" t="s">
        <v>6392</v>
      </c>
      <c r="P68" s="6008"/>
      <c r="Q68" s="1974" t="e">
        <f>IF(C67=0,"",VLOOKUP(C67,'Tablas Magia'!$D$6:$Z$680,4,FALSE))</f>
        <v>#N/A</v>
      </c>
      <c r="R68" s="450"/>
      <c r="S68" s="444"/>
      <c r="T68" s="444"/>
      <c r="U68" s="906"/>
      <c r="V68" s="5989" t="s">
        <v>6389</v>
      </c>
      <c r="W68" s="6006"/>
      <c r="X68" s="1972" t="s">
        <v>6390</v>
      </c>
      <c r="Y68" s="1972" t="s">
        <v>1517</v>
      </c>
      <c r="Z68" s="1972" t="s">
        <v>2914</v>
      </c>
      <c r="AA68" s="1973" t="s">
        <v>1845</v>
      </c>
      <c r="AB68" s="6007" t="e">
        <f>IF(V67=0,"",VLOOKUP(V67,'Tablas Magia'!$D$6:$Z$680,5,FALSE))</f>
        <v>#N/A</v>
      </c>
      <c r="AC68" s="6007"/>
      <c r="AD68" s="6018" t="s">
        <v>6391</v>
      </c>
      <c r="AE68" s="6018"/>
      <c r="AF68" s="6007" t="e">
        <f>IF(V67=0,"",VLOOKUP(V67,'Tablas Magia'!$D$6:$Z$680,6,FALSE))</f>
        <v>#N/A</v>
      </c>
      <c r="AG68" s="6007"/>
      <c r="AH68" s="6008" t="s">
        <v>6392</v>
      </c>
      <c r="AI68" s="6008"/>
      <c r="AJ68" s="1974" t="e">
        <f>IF(V67=0,"",VLOOKUP(V67,'Tablas Magia'!$D$6:$Z$680,4,FALSE))</f>
        <v>#N/A</v>
      </c>
      <c r="AK68" s="450"/>
      <c r="AL68" s="444"/>
      <c r="AM68" s="499"/>
      <c r="AN68" s="906"/>
      <c r="AO68" s="5989" t="s">
        <v>6389</v>
      </c>
      <c r="AP68" s="6006"/>
      <c r="AQ68" s="1972" t="s">
        <v>6390</v>
      </c>
      <c r="AR68" s="1972" t="s">
        <v>1517</v>
      </c>
      <c r="AS68" s="1972" t="s">
        <v>2914</v>
      </c>
      <c r="AT68" s="1973" t="s">
        <v>1845</v>
      </c>
      <c r="AU68" s="6007" t="e">
        <f>IF(AO67=0,"",VLOOKUP(AO67,'Tablas Magia'!$D$6:$Z$680,5,FALSE))</f>
        <v>#N/A</v>
      </c>
      <c r="AV68" s="6007"/>
      <c r="AW68" s="6018" t="s">
        <v>6391</v>
      </c>
      <c r="AX68" s="6018"/>
      <c r="AY68" s="6007" t="e">
        <f>IF(AO67=0,"",VLOOKUP(AO67,'Tablas Magia'!$D$6:$Z$680,6,FALSE))</f>
        <v>#N/A</v>
      </c>
      <c r="AZ68" s="6007"/>
      <c r="BA68" s="6008" t="s">
        <v>6392</v>
      </c>
      <c r="BB68" s="6008"/>
      <c r="BC68" s="1974" t="e">
        <f>IF(AO67=0,"",VLOOKUP(AO67,'Tablas Magia'!$D$6:$Z$680,4,FALSE))</f>
        <v>#N/A</v>
      </c>
      <c r="BD68" s="450"/>
      <c r="BE68" s="444"/>
      <c r="BF68" s="444"/>
      <c r="BG68" s="906"/>
      <c r="BH68" s="5989" t="s">
        <v>6389</v>
      </c>
      <c r="BI68" s="6006"/>
      <c r="BJ68" s="1972" t="s">
        <v>6390</v>
      </c>
      <c r="BK68" s="1972" t="s">
        <v>1517</v>
      </c>
      <c r="BL68" s="1972" t="s">
        <v>2914</v>
      </c>
      <c r="BM68" s="1973" t="s">
        <v>1845</v>
      </c>
      <c r="BN68" s="6007" t="e">
        <f>IF(BH67=0,"",VLOOKUP(BH67,'Tablas Magia'!$D$6:$Z$680,5,FALSE))</f>
        <v>#N/A</v>
      </c>
      <c r="BO68" s="6007"/>
      <c r="BP68" s="6018" t="s">
        <v>6391</v>
      </c>
      <c r="BQ68" s="6018"/>
      <c r="BR68" s="6007" t="e">
        <f>IF(BH67=0,"",VLOOKUP(BH67,'Tablas Magia'!$D$6:$Z$680,6,FALSE))</f>
        <v>#N/A</v>
      </c>
      <c r="BS68" s="6007"/>
      <c r="BT68" s="6008" t="s">
        <v>6392</v>
      </c>
      <c r="BU68" s="6008"/>
      <c r="BV68" s="1974" t="e">
        <f>IF(BH67=0,"",VLOOKUP(BH67,'Tablas Magia'!$D$6:$Z$680,4,FALSE))</f>
        <v>#N/A</v>
      </c>
      <c r="BW68" s="450"/>
      <c r="BX68" s="444"/>
      <c r="BY68" s="444"/>
      <c r="BZ68" s="906"/>
      <c r="CA68" s="5989" t="s">
        <v>6389</v>
      </c>
      <c r="CB68" s="6006"/>
      <c r="CC68" s="1972" t="s">
        <v>6390</v>
      </c>
      <c r="CD68" s="1972" t="s">
        <v>1517</v>
      </c>
      <c r="CE68" s="1972" t="s">
        <v>2914</v>
      </c>
      <c r="CF68" s="1973" t="s">
        <v>1845</v>
      </c>
      <c r="CG68" s="6007" t="e">
        <f>IF(CA67=0,"",VLOOKUP(CA67,'Tablas Magia'!$D$6:$Z$680,5,FALSE))</f>
        <v>#N/A</v>
      </c>
      <c r="CH68" s="6007"/>
      <c r="CI68" s="6018" t="s">
        <v>6391</v>
      </c>
      <c r="CJ68" s="6018"/>
      <c r="CK68" s="6007" t="e">
        <f>IF(CA67=0,"",VLOOKUP(CA67,'Tablas Magia'!$D$6:$Z$680,6,FALSE))</f>
        <v>#N/A</v>
      </c>
      <c r="CL68" s="6007"/>
      <c r="CM68" s="6008" t="s">
        <v>6392</v>
      </c>
      <c r="CN68" s="6008"/>
      <c r="CO68" s="1974" t="e">
        <f>IF(CA67=0,"",VLOOKUP(CA67,'Tablas Magia'!$D$6:$Z$680,4,FALSE))</f>
        <v>#N/A</v>
      </c>
      <c r="CP68" s="450"/>
      <c r="CQ68" s="444"/>
    </row>
    <row r="69" spans="1:95" ht="12" customHeight="1" x14ac:dyDescent="0.2">
      <c r="A69" s="444"/>
      <c r="B69" s="906"/>
      <c r="C69" s="6014" t="s">
        <v>1373</v>
      </c>
      <c r="D69" s="6015"/>
      <c r="E69" s="459" t="e">
        <f>IF(C67=0,"",VLOOKUP(C67,'Tablas Magia'!$D$6:$Z$680,7,FALSE))</f>
        <v>#N/A</v>
      </c>
      <c r="F69" s="459" t="e">
        <f>IF(C67=0,"",VLOOKUP(C67,'Tablas Magia'!$D$6:$Z$680,11,FALSE))</f>
        <v>#N/A</v>
      </c>
      <c r="G69" s="460" t="e">
        <f>IF(C67=0,"",VLOOKUP(C67,'Tablas Magia'!$D$6:$Z$680,15,FALSE))</f>
        <v>#N/A</v>
      </c>
      <c r="H69" s="6009" t="e">
        <f>IF(C67=0,"",VLOOKUP(C67,'Tablas Magia'!$D$6:$Z$680,19,FALSE))</f>
        <v>#N/A</v>
      </c>
      <c r="I69" s="6010"/>
      <c r="J69" s="6010"/>
      <c r="K69" s="6010"/>
      <c r="L69" s="6010"/>
      <c r="M69" s="6010"/>
      <c r="N69" s="6010"/>
      <c r="O69" s="6010"/>
      <c r="P69" s="6010"/>
      <c r="Q69" s="6011"/>
      <c r="R69" s="450"/>
      <c r="S69" s="444"/>
      <c r="T69" s="444"/>
      <c r="U69" s="906"/>
      <c r="V69" s="6014" t="s">
        <v>1373</v>
      </c>
      <c r="W69" s="6015"/>
      <c r="X69" s="459" t="e">
        <f>IF(V67=0,"",VLOOKUP(V67,'Tablas Magia'!$D$6:$Z$680,7,FALSE))</f>
        <v>#N/A</v>
      </c>
      <c r="Y69" s="459" t="e">
        <f>IF(V67=0,"",VLOOKUP(V67,'Tablas Magia'!$D$6:$Z$680,11,FALSE))</f>
        <v>#N/A</v>
      </c>
      <c r="Z69" s="460" t="e">
        <f>IF(V67=0,"",VLOOKUP(V67,'Tablas Magia'!$D$6:$Z$680,15,FALSE))</f>
        <v>#N/A</v>
      </c>
      <c r="AA69" s="6009" t="e">
        <f>IF(V67=0,"",VLOOKUP(V67,'Tablas Magia'!$D$6:$Z$680,19,FALSE))</f>
        <v>#N/A</v>
      </c>
      <c r="AB69" s="6010"/>
      <c r="AC69" s="6010"/>
      <c r="AD69" s="6010"/>
      <c r="AE69" s="6010"/>
      <c r="AF69" s="6010"/>
      <c r="AG69" s="6010"/>
      <c r="AH69" s="6010"/>
      <c r="AI69" s="6010"/>
      <c r="AJ69" s="6011"/>
      <c r="AK69" s="450"/>
      <c r="AL69" s="444"/>
      <c r="AM69" s="499"/>
      <c r="AN69" s="906"/>
      <c r="AO69" s="6014" t="s">
        <v>1373</v>
      </c>
      <c r="AP69" s="6015"/>
      <c r="AQ69" s="459" t="e">
        <f>IF(AO67=0,"",VLOOKUP(AO67,'Tablas Magia'!$D$6:$Z$680,7,FALSE))</f>
        <v>#N/A</v>
      </c>
      <c r="AR69" s="459" t="e">
        <f>IF(AO67=0,"",VLOOKUP(AO67,'Tablas Magia'!$D$6:$Z$680,11,FALSE))</f>
        <v>#N/A</v>
      </c>
      <c r="AS69" s="460" t="e">
        <f>IF(AO67=0,"",VLOOKUP(AO67,'Tablas Magia'!$D$6:$Z$680,15,FALSE))</f>
        <v>#N/A</v>
      </c>
      <c r="AT69" s="6009" t="e">
        <f>IF(AO67=0,"",VLOOKUP(AO67,'Tablas Magia'!$D$6:$Z$680,19,FALSE))</f>
        <v>#N/A</v>
      </c>
      <c r="AU69" s="6010"/>
      <c r="AV69" s="6010"/>
      <c r="AW69" s="6010"/>
      <c r="AX69" s="6010"/>
      <c r="AY69" s="6010"/>
      <c r="AZ69" s="6010"/>
      <c r="BA69" s="6010"/>
      <c r="BB69" s="6010"/>
      <c r="BC69" s="6011"/>
      <c r="BD69" s="450"/>
      <c r="BE69" s="444"/>
      <c r="BF69" s="444"/>
      <c r="BG69" s="906"/>
      <c r="BH69" s="6014" t="s">
        <v>1373</v>
      </c>
      <c r="BI69" s="6015"/>
      <c r="BJ69" s="459" t="e">
        <f>IF(BH67=0,"",VLOOKUP(BH67,'Tablas Magia'!$D$6:$Z$680,7,FALSE))</f>
        <v>#N/A</v>
      </c>
      <c r="BK69" s="459" t="e">
        <f>IF(BH67=0,"",VLOOKUP(BH67,'Tablas Magia'!$D$6:$Z$680,11,FALSE))</f>
        <v>#N/A</v>
      </c>
      <c r="BL69" s="460" t="e">
        <f>IF(BH67=0,"",VLOOKUP(BH67,'Tablas Magia'!$D$6:$Z$680,15,FALSE))</f>
        <v>#N/A</v>
      </c>
      <c r="BM69" s="6009" t="e">
        <f>IF(BH67=0,"",VLOOKUP(BH67,'Tablas Magia'!$D$6:$Z$680,19,FALSE))</f>
        <v>#N/A</v>
      </c>
      <c r="BN69" s="6010"/>
      <c r="BO69" s="6010"/>
      <c r="BP69" s="6010"/>
      <c r="BQ69" s="6010"/>
      <c r="BR69" s="6010"/>
      <c r="BS69" s="6010"/>
      <c r="BT69" s="6010"/>
      <c r="BU69" s="6010"/>
      <c r="BV69" s="6011"/>
      <c r="BW69" s="450"/>
      <c r="BX69" s="444"/>
      <c r="BY69" s="444"/>
      <c r="BZ69" s="906"/>
      <c r="CA69" s="6014" t="s">
        <v>1373</v>
      </c>
      <c r="CB69" s="6015"/>
      <c r="CC69" s="459" t="e">
        <f>IF(CA67=0,"",VLOOKUP(CA67,'Tablas Magia'!$D$6:$Z$680,7,FALSE))</f>
        <v>#N/A</v>
      </c>
      <c r="CD69" s="459" t="e">
        <f>IF(CA67=0,"",VLOOKUP(CA67,'Tablas Magia'!$D$6:$Z$680,11,FALSE))</f>
        <v>#N/A</v>
      </c>
      <c r="CE69" s="460" t="e">
        <f>IF(CA67=0,"",VLOOKUP(CA67,'Tablas Magia'!$D$6:$Z$680,15,FALSE))</f>
        <v>#N/A</v>
      </c>
      <c r="CF69" s="6009" t="e">
        <f>IF(CA67=0,"",VLOOKUP(CA67,'Tablas Magia'!$D$6:$Z$680,19,FALSE))</f>
        <v>#N/A</v>
      </c>
      <c r="CG69" s="6010"/>
      <c r="CH69" s="6010"/>
      <c r="CI69" s="6010"/>
      <c r="CJ69" s="6010"/>
      <c r="CK69" s="6010"/>
      <c r="CL69" s="6010"/>
      <c r="CM69" s="6010"/>
      <c r="CN69" s="6010"/>
      <c r="CO69" s="6011"/>
      <c r="CP69" s="450"/>
      <c r="CQ69" s="444"/>
    </row>
    <row r="70" spans="1:95" ht="12" customHeight="1" x14ac:dyDescent="0.2">
      <c r="A70" s="444"/>
      <c r="B70" s="906"/>
      <c r="C70" s="5976" t="s">
        <v>3285</v>
      </c>
      <c r="D70" s="5977"/>
      <c r="E70" s="461" t="e">
        <f>IF(C67=0,"",VLOOKUP(C67,'Tablas Magia'!$D$6:$Z$680,8,FALSE))</f>
        <v>#N/A</v>
      </c>
      <c r="F70" s="461" t="e">
        <f>IF(C67=0,"",VLOOKUP(C67,'Tablas Magia'!$D$6:$Z$680,12,FALSE))</f>
        <v>#N/A</v>
      </c>
      <c r="G70" s="462" t="e">
        <f>IF(C67=0,"",VLOOKUP(C67,'Tablas Magia'!$D$6:$Z$680,16,FALSE))</f>
        <v>#N/A</v>
      </c>
      <c r="H70" s="5978" t="e">
        <f>IF(C67=0,"",VLOOKUP(C67,'Tablas Magia'!$D$6:$Z$680,20,FALSE))</f>
        <v>#N/A</v>
      </c>
      <c r="I70" s="5979"/>
      <c r="J70" s="5979"/>
      <c r="K70" s="5979"/>
      <c r="L70" s="5979"/>
      <c r="M70" s="5979"/>
      <c r="N70" s="5979"/>
      <c r="O70" s="5979"/>
      <c r="P70" s="5979"/>
      <c r="Q70" s="5980"/>
      <c r="R70" s="450"/>
      <c r="S70" s="444"/>
      <c r="T70" s="444"/>
      <c r="U70" s="906"/>
      <c r="V70" s="5976" t="s">
        <v>3285</v>
      </c>
      <c r="W70" s="5977"/>
      <c r="X70" s="461" t="e">
        <f>IF(V67=0,"",VLOOKUP(V67,'Tablas Magia'!$D$6:$Z$680,8,FALSE))</f>
        <v>#N/A</v>
      </c>
      <c r="Y70" s="461" t="e">
        <f>IF(V67=0,"",VLOOKUP(V67,'Tablas Magia'!$D$6:$Z$680,12,FALSE))</f>
        <v>#N/A</v>
      </c>
      <c r="Z70" s="462" t="e">
        <f>IF(V67=0,"",VLOOKUP(V67,'Tablas Magia'!$D$6:$Z$680,16,FALSE))</f>
        <v>#N/A</v>
      </c>
      <c r="AA70" s="5978" t="e">
        <f>IF(V67=0,"",VLOOKUP(V67,'Tablas Magia'!$D$6:$Z$680,20,FALSE))</f>
        <v>#N/A</v>
      </c>
      <c r="AB70" s="5979"/>
      <c r="AC70" s="5979"/>
      <c r="AD70" s="5979"/>
      <c r="AE70" s="5979"/>
      <c r="AF70" s="5979"/>
      <c r="AG70" s="5979"/>
      <c r="AH70" s="5979"/>
      <c r="AI70" s="5979"/>
      <c r="AJ70" s="5980"/>
      <c r="AK70" s="450"/>
      <c r="AL70" s="444"/>
      <c r="AM70" s="499"/>
      <c r="AN70" s="906"/>
      <c r="AO70" s="5976" t="s">
        <v>3285</v>
      </c>
      <c r="AP70" s="5977"/>
      <c r="AQ70" s="461" t="e">
        <f>IF(AO67=0,"",VLOOKUP(AO67,'Tablas Magia'!$D$6:$Z$680,8,FALSE))</f>
        <v>#N/A</v>
      </c>
      <c r="AR70" s="461" t="e">
        <f>IF(AO67=0,"",VLOOKUP(AO67,'Tablas Magia'!$D$6:$Z$680,12,FALSE))</f>
        <v>#N/A</v>
      </c>
      <c r="AS70" s="462" t="e">
        <f>IF(AO67=0,"",VLOOKUP(AO67,'Tablas Magia'!$D$6:$Z$680,16,FALSE))</f>
        <v>#N/A</v>
      </c>
      <c r="AT70" s="5978" t="e">
        <f>IF(AO67=0,"",VLOOKUP(AO67,'Tablas Magia'!$D$6:$Z$680,20,FALSE))</f>
        <v>#N/A</v>
      </c>
      <c r="AU70" s="5979"/>
      <c r="AV70" s="5979"/>
      <c r="AW70" s="5979"/>
      <c r="AX70" s="5979"/>
      <c r="AY70" s="5979"/>
      <c r="AZ70" s="5979"/>
      <c r="BA70" s="5979"/>
      <c r="BB70" s="5979"/>
      <c r="BC70" s="5980"/>
      <c r="BD70" s="450"/>
      <c r="BE70" s="444"/>
      <c r="BF70" s="444"/>
      <c r="BG70" s="906"/>
      <c r="BH70" s="5976" t="s">
        <v>3285</v>
      </c>
      <c r="BI70" s="5977"/>
      <c r="BJ70" s="461" t="e">
        <f>IF(BH67=0,"",VLOOKUP(BH67,'Tablas Magia'!$D$6:$Z$680,8,FALSE))</f>
        <v>#N/A</v>
      </c>
      <c r="BK70" s="461" t="e">
        <f>IF(BH67=0,"",VLOOKUP(BH67,'Tablas Magia'!$D$6:$Z$680,12,FALSE))</f>
        <v>#N/A</v>
      </c>
      <c r="BL70" s="462" t="e">
        <f>IF(BH67=0,"",VLOOKUP(BH67,'Tablas Magia'!$D$6:$Z$680,16,FALSE))</f>
        <v>#N/A</v>
      </c>
      <c r="BM70" s="5978" t="e">
        <f>IF(BH67=0,"",VLOOKUP(BH67,'Tablas Magia'!$D$6:$Z$680,20,FALSE))</f>
        <v>#N/A</v>
      </c>
      <c r="BN70" s="5979"/>
      <c r="BO70" s="5979"/>
      <c r="BP70" s="5979"/>
      <c r="BQ70" s="5979"/>
      <c r="BR70" s="5979"/>
      <c r="BS70" s="5979"/>
      <c r="BT70" s="5979"/>
      <c r="BU70" s="5979"/>
      <c r="BV70" s="5980"/>
      <c r="BW70" s="450"/>
      <c r="BX70" s="444"/>
      <c r="BY70" s="444"/>
      <c r="BZ70" s="906"/>
      <c r="CA70" s="5976" t="s">
        <v>3285</v>
      </c>
      <c r="CB70" s="5977"/>
      <c r="CC70" s="461" t="e">
        <f>IF(CA67=0,"",VLOOKUP(CA67,'Tablas Magia'!$D$6:$Z$680,8,FALSE))</f>
        <v>#N/A</v>
      </c>
      <c r="CD70" s="461" t="e">
        <f>IF(CA67=0,"",VLOOKUP(CA67,'Tablas Magia'!$D$6:$Z$680,12,FALSE))</f>
        <v>#N/A</v>
      </c>
      <c r="CE70" s="462" t="e">
        <f>IF(CA67=0,"",VLOOKUP(CA67,'Tablas Magia'!$D$6:$Z$680,16,FALSE))</f>
        <v>#N/A</v>
      </c>
      <c r="CF70" s="5978" t="e">
        <f>IF(CA67=0,"",VLOOKUP(CA67,'Tablas Magia'!$D$6:$Z$680,20,FALSE))</f>
        <v>#N/A</v>
      </c>
      <c r="CG70" s="5979"/>
      <c r="CH70" s="5979"/>
      <c r="CI70" s="5979"/>
      <c r="CJ70" s="5979"/>
      <c r="CK70" s="5979"/>
      <c r="CL70" s="5979"/>
      <c r="CM70" s="5979"/>
      <c r="CN70" s="5979"/>
      <c r="CO70" s="5980"/>
      <c r="CP70" s="450"/>
      <c r="CQ70" s="444"/>
    </row>
    <row r="71" spans="1:95" ht="12" customHeight="1" x14ac:dyDescent="0.2">
      <c r="A71" s="444"/>
      <c r="B71" s="906"/>
      <c r="C71" s="5981" t="s">
        <v>3286</v>
      </c>
      <c r="D71" s="5982"/>
      <c r="E71" s="459" t="e">
        <f>IF(C67=0,"",VLOOKUP(C67,'Tablas Magia'!$D$6:$Z$680,9,FALSE))</f>
        <v>#N/A</v>
      </c>
      <c r="F71" s="459" t="e">
        <f>IF(C67=0,"",VLOOKUP(C67,'Tablas Magia'!$D$6:$Z$680,13,FALSE))</f>
        <v>#N/A</v>
      </c>
      <c r="G71" s="460" t="e">
        <f>IF(C67=0,"",VLOOKUP(C67,'Tablas Magia'!$D$6:$Z$680,17,FALSE))</f>
        <v>#N/A</v>
      </c>
      <c r="H71" s="5983" t="e">
        <f>IF(C67=0,"",VLOOKUP(C67,'Tablas Magia'!$D$6:$Z$680,21,FALSE))</f>
        <v>#N/A</v>
      </c>
      <c r="I71" s="5984"/>
      <c r="J71" s="5984"/>
      <c r="K71" s="5984"/>
      <c r="L71" s="5984"/>
      <c r="M71" s="5984"/>
      <c r="N71" s="5984"/>
      <c r="O71" s="5984"/>
      <c r="P71" s="5984"/>
      <c r="Q71" s="5985"/>
      <c r="R71" s="450"/>
      <c r="S71" s="444"/>
      <c r="T71" s="444"/>
      <c r="U71" s="906"/>
      <c r="V71" s="5981" t="s">
        <v>3286</v>
      </c>
      <c r="W71" s="5982"/>
      <c r="X71" s="459" t="e">
        <f>IF(V67=0,"",VLOOKUP(V67,'Tablas Magia'!$D$6:$Z$680,9,FALSE))</f>
        <v>#N/A</v>
      </c>
      <c r="Y71" s="459" t="e">
        <f>IF(V67=0,"",VLOOKUP(V67,'Tablas Magia'!$D$6:$Z$680,13,FALSE))</f>
        <v>#N/A</v>
      </c>
      <c r="Z71" s="460" t="e">
        <f>IF(V67=0,"",VLOOKUP(V67,'Tablas Magia'!$D$6:$Z$680,17,FALSE))</f>
        <v>#N/A</v>
      </c>
      <c r="AA71" s="5983" t="e">
        <f>IF(V67=0,"",VLOOKUP(V67,'Tablas Magia'!$D$6:$Z$680,21,FALSE))</f>
        <v>#N/A</v>
      </c>
      <c r="AB71" s="5984"/>
      <c r="AC71" s="5984"/>
      <c r="AD71" s="5984"/>
      <c r="AE71" s="5984"/>
      <c r="AF71" s="5984"/>
      <c r="AG71" s="5984"/>
      <c r="AH71" s="5984"/>
      <c r="AI71" s="5984"/>
      <c r="AJ71" s="5985"/>
      <c r="AK71" s="450"/>
      <c r="AL71" s="444"/>
      <c r="AM71" s="499"/>
      <c r="AN71" s="906"/>
      <c r="AO71" s="5981" t="s">
        <v>3286</v>
      </c>
      <c r="AP71" s="5982"/>
      <c r="AQ71" s="459" t="e">
        <f>IF(AO67=0,"",VLOOKUP(AO67,'Tablas Magia'!$D$6:$Z$680,9,FALSE))</f>
        <v>#N/A</v>
      </c>
      <c r="AR71" s="459" t="e">
        <f>IF(AO67=0,"",VLOOKUP(AO67,'Tablas Magia'!$D$6:$Z$680,13,FALSE))</f>
        <v>#N/A</v>
      </c>
      <c r="AS71" s="460" t="e">
        <f>IF(AO67=0,"",VLOOKUP(AO67,'Tablas Magia'!$D$6:$Z$680,17,FALSE))</f>
        <v>#N/A</v>
      </c>
      <c r="AT71" s="5983" t="e">
        <f>IF(AO67=0,"",VLOOKUP(AO67,'Tablas Magia'!$D$6:$Z$680,21,FALSE))</f>
        <v>#N/A</v>
      </c>
      <c r="AU71" s="5984"/>
      <c r="AV71" s="5984"/>
      <c r="AW71" s="5984"/>
      <c r="AX71" s="5984"/>
      <c r="AY71" s="5984"/>
      <c r="AZ71" s="5984"/>
      <c r="BA71" s="5984"/>
      <c r="BB71" s="5984"/>
      <c r="BC71" s="5985"/>
      <c r="BD71" s="450"/>
      <c r="BE71" s="444"/>
      <c r="BF71" s="444"/>
      <c r="BG71" s="906"/>
      <c r="BH71" s="5981" t="s">
        <v>3286</v>
      </c>
      <c r="BI71" s="5982"/>
      <c r="BJ71" s="459" t="e">
        <f>IF(BH67=0,"",VLOOKUP(BH67,'Tablas Magia'!$D$6:$Z$680,9,FALSE))</f>
        <v>#N/A</v>
      </c>
      <c r="BK71" s="459" t="e">
        <f>IF(BH67=0,"",VLOOKUP(BH67,'Tablas Magia'!$D$6:$Z$680,13,FALSE))</f>
        <v>#N/A</v>
      </c>
      <c r="BL71" s="460" t="e">
        <f>IF(BH67=0,"",VLOOKUP(BH67,'Tablas Magia'!$D$6:$Z$680,17,FALSE))</f>
        <v>#N/A</v>
      </c>
      <c r="BM71" s="5983" t="e">
        <f>IF(BH67=0,"",VLOOKUP(BH67,'Tablas Magia'!$D$6:$Z$680,21,FALSE))</f>
        <v>#N/A</v>
      </c>
      <c r="BN71" s="5984"/>
      <c r="BO71" s="5984"/>
      <c r="BP71" s="5984"/>
      <c r="BQ71" s="5984"/>
      <c r="BR71" s="5984"/>
      <c r="BS71" s="5984"/>
      <c r="BT71" s="5984"/>
      <c r="BU71" s="5984"/>
      <c r="BV71" s="5985"/>
      <c r="BW71" s="450"/>
      <c r="BX71" s="444"/>
      <c r="BY71" s="444"/>
      <c r="BZ71" s="906"/>
      <c r="CA71" s="5981" t="s">
        <v>3286</v>
      </c>
      <c r="CB71" s="5982"/>
      <c r="CC71" s="459" t="e">
        <f>IF(CA67=0,"",VLOOKUP(CA67,'Tablas Magia'!$D$6:$Z$680,9,FALSE))</f>
        <v>#N/A</v>
      </c>
      <c r="CD71" s="459" t="e">
        <f>IF(CA67=0,"",VLOOKUP(CA67,'Tablas Magia'!$D$6:$Z$680,13,FALSE))</f>
        <v>#N/A</v>
      </c>
      <c r="CE71" s="460" t="e">
        <f>IF(CA67=0,"",VLOOKUP(CA67,'Tablas Magia'!$D$6:$Z$680,17,FALSE))</f>
        <v>#N/A</v>
      </c>
      <c r="CF71" s="5983" t="e">
        <f>IF(CA67=0,"",VLOOKUP(CA67,'Tablas Magia'!$D$6:$Z$680,21,FALSE))</f>
        <v>#N/A</v>
      </c>
      <c r="CG71" s="5984"/>
      <c r="CH71" s="5984"/>
      <c r="CI71" s="5984"/>
      <c r="CJ71" s="5984"/>
      <c r="CK71" s="5984"/>
      <c r="CL71" s="5984"/>
      <c r="CM71" s="5984"/>
      <c r="CN71" s="5984"/>
      <c r="CO71" s="5985"/>
      <c r="CP71" s="450"/>
      <c r="CQ71" s="444"/>
    </row>
    <row r="72" spans="1:95" ht="12" customHeight="1" thickBot="1" x14ac:dyDescent="0.25">
      <c r="A72" s="444"/>
      <c r="B72" s="906"/>
      <c r="C72" s="5991" t="s">
        <v>3287</v>
      </c>
      <c r="D72" s="5992"/>
      <c r="E72" s="463" t="e">
        <f>IF(C67=0,"",VLOOKUP(C67,'Tablas Magia'!$D$6:$Z$680,10,FALSE))</f>
        <v>#N/A</v>
      </c>
      <c r="F72" s="463" t="e">
        <f>IF(C67=0,"",VLOOKUP(C67,'Tablas Magia'!$D$6:$Z$680,14,FALSE))</f>
        <v>#N/A</v>
      </c>
      <c r="G72" s="464" t="e">
        <f>IF(C67=0,"",VLOOKUP(C67,'Tablas Magia'!$D$6:$Z$680,18,FALSE))</f>
        <v>#N/A</v>
      </c>
      <c r="H72" s="5993" t="e">
        <f>IF(C67=0,"",VLOOKUP(C67,'Tablas Magia'!$D$6:$Z$680,22,FALSE))</f>
        <v>#N/A</v>
      </c>
      <c r="I72" s="5994"/>
      <c r="J72" s="5994"/>
      <c r="K72" s="5994"/>
      <c r="L72" s="5994"/>
      <c r="M72" s="5994"/>
      <c r="N72" s="5994"/>
      <c r="O72" s="5994"/>
      <c r="P72" s="5994"/>
      <c r="Q72" s="5995"/>
      <c r="R72" s="450"/>
      <c r="S72" s="444"/>
      <c r="T72" s="444"/>
      <c r="U72" s="906"/>
      <c r="V72" s="5991" t="s">
        <v>3287</v>
      </c>
      <c r="W72" s="5992"/>
      <c r="X72" s="463" t="e">
        <f>IF(V67=0,"",VLOOKUP(V67,'Tablas Magia'!$D$6:$Z$680,10,FALSE))</f>
        <v>#N/A</v>
      </c>
      <c r="Y72" s="463" t="e">
        <f>IF(V67=0,"",VLOOKUP(V67,'Tablas Magia'!$D$6:$Z$680,14,FALSE))</f>
        <v>#N/A</v>
      </c>
      <c r="Z72" s="464" t="e">
        <f>IF(V67=0,"",VLOOKUP(V67,'Tablas Magia'!$D$6:$Z$680,18,FALSE))</f>
        <v>#N/A</v>
      </c>
      <c r="AA72" s="5993" t="e">
        <f>IF(V67=0,"",VLOOKUP(V67,'Tablas Magia'!$D$6:$Z$680,22,FALSE))</f>
        <v>#N/A</v>
      </c>
      <c r="AB72" s="5994"/>
      <c r="AC72" s="5994"/>
      <c r="AD72" s="5994"/>
      <c r="AE72" s="5994"/>
      <c r="AF72" s="5994"/>
      <c r="AG72" s="5994"/>
      <c r="AH72" s="5994"/>
      <c r="AI72" s="5994"/>
      <c r="AJ72" s="5995"/>
      <c r="AK72" s="450"/>
      <c r="AL72" s="444"/>
      <c r="AM72" s="499"/>
      <c r="AN72" s="906"/>
      <c r="AO72" s="5991" t="s">
        <v>3287</v>
      </c>
      <c r="AP72" s="5992"/>
      <c r="AQ72" s="463" t="e">
        <f>IF(AO67=0,"",VLOOKUP(AO67,'Tablas Magia'!$D$6:$Z$680,10,FALSE))</f>
        <v>#N/A</v>
      </c>
      <c r="AR72" s="463" t="e">
        <f>IF(AO67=0,"",VLOOKUP(AO67,'Tablas Magia'!$D$6:$Z$680,14,FALSE))</f>
        <v>#N/A</v>
      </c>
      <c r="AS72" s="464" t="e">
        <f>IF(AO67=0,"",VLOOKUP(AO67,'Tablas Magia'!$D$6:$Z$680,18,FALSE))</f>
        <v>#N/A</v>
      </c>
      <c r="AT72" s="5993" t="e">
        <f>IF(AO67=0,"",VLOOKUP(AO67,'Tablas Magia'!$D$6:$Z$680,22,FALSE))</f>
        <v>#N/A</v>
      </c>
      <c r="AU72" s="5994"/>
      <c r="AV72" s="5994"/>
      <c r="AW72" s="5994"/>
      <c r="AX72" s="5994"/>
      <c r="AY72" s="5994"/>
      <c r="AZ72" s="5994"/>
      <c r="BA72" s="5994"/>
      <c r="BB72" s="5994"/>
      <c r="BC72" s="5995"/>
      <c r="BD72" s="450"/>
      <c r="BE72" s="444"/>
      <c r="BF72" s="444"/>
      <c r="BG72" s="906"/>
      <c r="BH72" s="5991" t="s">
        <v>3287</v>
      </c>
      <c r="BI72" s="5992"/>
      <c r="BJ72" s="463" t="e">
        <f>IF(BH67=0,"",VLOOKUP(BH67,'Tablas Magia'!$D$6:$Z$680,10,FALSE))</f>
        <v>#N/A</v>
      </c>
      <c r="BK72" s="463" t="e">
        <f>IF(BH67=0,"",VLOOKUP(BH67,'Tablas Magia'!$D$6:$Z$680,14,FALSE))</f>
        <v>#N/A</v>
      </c>
      <c r="BL72" s="464" t="e">
        <f>IF(BH67=0,"",VLOOKUP(BH67,'Tablas Magia'!$D$6:$Z$680,18,FALSE))</f>
        <v>#N/A</v>
      </c>
      <c r="BM72" s="5993" t="e">
        <f>IF(BH67=0,"",VLOOKUP(BH67,'Tablas Magia'!$D$6:$Z$680,22,FALSE))</f>
        <v>#N/A</v>
      </c>
      <c r="BN72" s="5994"/>
      <c r="BO72" s="5994"/>
      <c r="BP72" s="5994"/>
      <c r="BQ72" s="5994"/>
      <c r="BR72" s="5994"/>
      <c r="BS72" s="5994"/>
      <c r="BT72" s="5994"/>
      <c r="BU72" s="5994"/>
      <c r="BV72" s="5995"/>
      <c r="BW72" s="450"/>
      <c r="BX72" s="444"/>
      <c r="BY72" s="444"/>
      <c r="BZ72" s="906"/>
      <c r="CA72" s="5991" t="s">
        <v>3287</v>
      </c>
      <c r="CB72" s="5992"/>
      <c r="CC72" s="463" t="e">
        <f>IF(CA67=0,"",VLOOKUP(CA67,'Tablas Magia'!$D$6:$Z$680,10,FALSE))</f>
        <v>#N/A</v>
      </c>
      <c r="CD72" s="463" t="e">
        <f>IF(CA67=0,"",VLOOKUP(CA67,'Tablas Magia'!$D$6:$Z$680,14,FALSE))</f>
        <v>#N/A</v>
      </c>
      <c r="CE72" s="464" t="e">
        <f>IF(CA67=0,"",VLOOKUP(CA67,'Tablas Magia'!$D$6:$Z$680,18,FALSE))</f>
        <v>#N/A</v>
      </c>
      <c r="CF72" s="5993" t="e">
        <f>IF(CA67=0,"",VLOOKUP(CA67,'Tablas Magia'!$D$6:$Z$680,22,FALSE))</f>
        <v>#N/A</v>
      </c>
      <c r="CG72" s="5994"/>
      <c r="CH72" s="5994"/>
      <c r="CI72" s="5994"/>
      <c r="CJ72" s="5994"/>
      <c r="CK72" s="5994"/>
      <c r="CL72" s="5994"/>
      <c r="CM72" s="5994"/>
      <c r="CN72" s="5994"/>
      <c r="CO72" s="5995"/>
      <c r="CP72" s="450"/>
      <c r="CQ72" s="444"/>
    </row>
    <row r="73" spans="1:95" ht="12" customHeight="1" x14ac:dyDescent="0.2">
      <c r="A73" s="444"/>
      <c r="B73" s="906"/>
      <c r="C73" s="5996" t="e">
        <f>IF(C67=0,"",VLOOKUP(C67,'Tablas Magia'!$D$6:$Z$680,23,FALSE))</f>
        <v>#N/A</v>
      </c>
      <c r="D73" s="5997"/>
      <c r="E73" s="5997"/>
      <c r="F73" s="5997"/>
      <c r="G73" s="5997"/>
      <c r="H73" s="5997"/>
      <c r="I73" s="5997"/>
      <c r="J73" s="5997"/>
      <c r="K73" s="5997"/>
      <c r="L73" s="5997"/>
      <c r="M73" s="5997"/>
      <c r="N73" s="5997"/>
      <c r="O73" s="5997"/>
      <c r="P73" s="5997"/>
      <c r="Q73" s="5998"/>
      <c r="R73" s="450"/>
      <c r="S73" s="444"/>
      <c r="T73" s="444"/>
      <c r="U73" s="906"/>
      <c r="V73" s="5996" t="e">
        <f>IF(V67=0,"",VLOOKUP(V67,'Tablas Magia'!$D$6:$Z$680,23,FALSE))</f>
        <v>#N/A</v>
      </c>
      <c r="W73" s="5997"/>
      <c r="X73" s="5997"/>
      <c r="Y73" s="5997"/>
      <c r="Z73" s="5997"/>
      <c r="AA73" s="5997"/>
      <c r="AB73" s="5997"/>
      <c r="AC73" s="5997"/>
      <c r="AD73" s="5997"/>
      <c r="AE73" s="5997"/>
      <c r="AF73" s="5997"/>
      <c r="AG73" s="5997"/>
      <c r="AH73" s="5997"/>
      <c r="AI73" s="5997"/>
      <c r="AJ73" s="5998"/>
      <c r="AK73" s="450"/>
      <c r="AL73" s="444"/>
      <c r="AM73" s="499"/>
      <c r="AN73" s="906"/>
      <c r="AO73" s="5996" t="e">
        <f>IF(AO67=0,"",VLOOKUP(AO67,'Tablas Magia'!$D$6:$Z$680,23,FALSE))</f>
        <v>#N/A</v>
      </c>
      <c r="AP73" s="5997"/>
      <c r="AQ73" s="5997"/>
      <c r="AR73" s="5997"/>
      <c r="AS73" s="5997"/>
      <c r="AT73" s="5997"/>
      <c r="AU73" s="5997"/>
      <c r="AV73" s="5997"/>
      <c r="AW73" s="5997"/>
      <c r="AX73" s="5997"/>
      <c r="AY73" s="5997"/>
      <c r="AZ73" s="5997"/>
      <c r="BA73" s="5997"/>
      <c r="BB73" s="5997"/>
      <c r="BC73" s="5998"/>
      <c r="BD73" s="450"/>
      <c r="BE73" s="444"/>
      <c r="BF73" s="444"/>
      <c r="BG73" s="906"/>
      <c r="BH73" s="5996" t="e">
        <f>IF(BH67=0,"",VLOOKUP(BH67,'Tablas Magia'!$D$6:$Z$680,23,FALSE))</f>
        <v>#N/A</v>
      </c>
      <c r="BI73" s="5997"/>
      <c r="BJ73" s="5997"/>
      <c r="BK73" s="5997"/>
      <c r="BL73" s="5997"/>
      <c r="BM73" s="5997"/>
      <c r="BN73" s="5997"/>
      <c r="BO73" s="5997"/>
      <c r="BP73" s="5997"/>
      <c r="BQ73" s="5997"/>
      <c r="BR73" s="5997"/>
      <c r="BS73" s="5997"/>
      <c r="BT73" s="5997"/>
      <c r="BU73" s="5997"/>
      <c r="BV73" s="5998"/>
      <c r="BW73" s="450"/>
      <c r="BX73" s="444"/>
      <c r="BY73" s="444"/>
      <c r="BZ73" s="906"/>
      <c r="CA73" s="5996" t="e">
        <f>IF(CA67=0,"",VLOOKUP(CA67,'Tablas Magia'!$D$6:$Z$680,23,FALSE))</f>
        <v>#N/A</v>
      </c>
      <c r="CB73" s="5997"/>
      <c r="CC73" s="5997"/>
      <c r="CD73" s="5997"/>
      <c r="CE73" s="5997"/>
      <c r="CF73" s="5997"/>
      <c r="CG73" s="5997"/>
      <c r="CH73" s="5997"/>
      <c r="CI73" s="5997"/>
      <c r="CJ73" s="5997"/>
      <c r="CK73" s="5997"/>
      <c r="CL73" s="5997"/>
      <c r="CM73" s="5997"/>
      <c r="CN73" s="5997"/>
      <c r="CO73" s="5998"/>
      <c r="CP73" s="450"/>
      <c r="CQ73" s="444"/>
    </row>
    <row r="74" spans="1:95" ht="12" customHeight="1" x14ac:dyDescent="0.2">
      <c r="A74" s="444"/>
      <c r="B74" s="906"/>
      <c r="C74" s="5999"/>
      <c r="D74" s="6000"/>
      <c r="E74" s="6000"/>
      <c r="F74" s="6000"/>
      <c r="G74" s="6000"/>
      <c r="H74" s="6000"/>
      <c r="I74" s="6000"/>
      <c r="J74" s="6000"/>
      <c r="K74" s="6000"/>
      <c r="L74" s="6000"/>
      <c r="M74" s="6000"/>
      <c r="N74" s="6000"/>
      <c r="O74" s="6000"/>
      <c r="P74" s="6000"/>
      <c r="Q74" s="6001"/>
      <c r="R74" s="450"/>
      <c r="S74" s="444"/>
      <c r="T74" s="444"/>
      <c r="U74" s="906"/>
      <c r="V74" s="5999"/>
      <c r="W74" s="6000"/>
      <c r="X74" s="6000"/>
      <c r="Y74" s="6000"/>
      <c r="Z74" s="6000"/>
      <c r="AA74" s="6000"/>
      <c r="AB74" s="6000"/>
      <c r="AC74" s="6000"/>
      <c r="AD74" s="6000"/>
      <c r="AE74" s="6000"/>
      <c r="AF74" s="6000"/>
      <c r="AG74" s="6000"/>
      <c r="AH74" s="6000"/>
      <c r="AI74" s="6000"/>
      <c r="AJ74" s="6001"/>
      <c r="AK74" s="450"/>
      <c r="AL74" s="444"/>
      <c r="AM74" s="499"/>
      <c r="AN74" s="906"/>
      <c r="AO74" s="5999"/>
      <c r="AP74" s="6000"/>
      <c r="AQ74" s="6000"/>
      <c r="AR74" s="6000"/>
      <c r="AS74" s="6000"/>
      <c r="AT74" s="6000"/>
      <c r="AU74" s="6000"/>
      <c r="AV74" s="6000"/>
      <c r="AW74" s="6000"/>
      <c r="AX74" s="6000"/>
      <c r="AY74" s="6000"/>
      <c r="AZ74" s="6000"/>
      <c r="BA74" s="6000"/>
      <c r="BB74" s="6000"/>
      <c r="BC74" s="6001"/>
      <c r="BD74" s="450"/>
      <c r="BE74" s="444"/>
      <c r="BF74" s="444"/>
      <c r="BG74" s="906"/>
      <c r="BH74" s="5999"/>
      <c r="BI74" s="6000"/>
      <c r="BJ74" s="6000"/>
      <c r="BK74" s="6000"/>
      <c r="BL74" s="6000"/>
      <c r="BM74" s="6000"/>
      <c r="BN74" s="6000"/>
      <c r="BO74" s="6000"/>
      <c r="BP74" s="6000"/>
      <c r="BQ74" s="6000"/>
      <c r="BR74" s="6000"/>
      <c r="BS74" s="6000"/>
      <c r="BT74" s="6000"/>
      <c r="BU74" s="6000"/>
      <c r="BV74" s="6001"/>
      <c r="BW74" s="450"/>
      <c r="BX74" s="444"/>
      <c r="BY74" s="444"/>
      <c r="BZ74" s="906"/>
      <c r="CA74" s="5999"/>
      <c r="CB74" s="6000"/>
      <c r="CC74" s="6000"/>
      <c r="CD74" s="6000"/>
      <c r="CE74" s="6000"/>
      <c r="CF74" s="6000"/>
      <c r="CG74" s="6000"/>
      <c r="CH74" s="6000"/>
      <c r="CI74" s="6000"/>
      <c r="CJ74" s="6000"/>
      <c r="CK74" s="6000"/>
      <c r="CL74" s="6000"/>
      <c r="CM74" s="6000"/>
      <c r="CN74" s="6000"/>
      <c r="CO74" s="6001"/>
      <c r="CP74" s="450"/>
      <c r="CQ74" s="444"/>
    </row>
    <row r="75" spans="1:95" ht="12" customHeight="1" x14ac:dyDescent="0.2">
      <c r="A75" s="444"/>
      <c r="B75" s="906"/>
      <c r="C75" s="5999"/>
      <c r="D75" s="6000"/>
      <c r="E75" s="6000"/>
      <c r="F75" s="6000"/>
      <c r="G75" s="6000"/>
      <c r="H75" s="6000"/>
      <c r="I75" s="6000"/>
      <c r="J75" s="6000"/>
      <c r="K75" s="6000"/>
      <c r="L75" s="6000"/>
      <c r="M75" s="6000"/>
      <c r="N75" s="6000"/>
      <c r="O75" s="6000"/>
      <c r="P75" s="6000"/>
      <c r="Q75" s="6001"/>
      <c r="R75" s="450"/>
      <c r="S75" s="444"/>
      <c r="T75" s="444"/>
      <c r="U75" s="906"/>
      <c r="V75" s="5999"/>
      <c r="W75" s="6000"/>
      <c r="X75" s="6000"/>
      <c r="Y75" s="6000"/>
      <c r="Z75" s="6000"/>
      <c r="AA75" s="6000"/>
      <c r="AB75" s="6000"/>
      <c r="AC75" s="6000"/>
      <c r="AD75" s="6000"/>
      <c r="AE75" s="6000"/>
      <c r="AF75" s="6000"/>
      <c r="AG75" s="6000"/>
      <c r="AH75" s="6000"/>
      <c r="AI75" s="6000"/>
      <c r="AJ75" s="6001"/>
      <c r="AK75" s="450"/>
      <c r="AL75" s="444"/>
      <c r="AM75" s="499"/>
      <c r="AN75" s="906"/>
      <c r="AO75" s="5999"/>
      <c r="AP75" s="6000"/>
      <c r="AQ75" s="6000"/>
      <c r="AR75" s="6000"/>
      <c r="AS75" s="6000"/>
      <c r="AT75" s="6000"/>
      <c r="AU75" s="6000"/>
      <c r="AV75" s="6000"/>
      <c r="AW75" s="6000"/>
      <c r="AX75" s="6000"/>
      <c r="AY75" s="6000"/>
      <c r="AZ75" s="6000"/>
      <c r="BA75" s="6000"/>
      <c r="BB75" s="6000"/>
      <c r="BC75" s="6001"/>
      <c r="BD75" s="450"/>
      <c r="BE75" s="444"/>
      <c r="BF75" s="444"/>
      <c r="BG75" s="906"/>
      <c r="BH75" s="5999"/>
      <c r="BI75" s="6000"/>
      <c r="BJ75" s="6000"/>
      <c r="BK75" s="6000"/>
      <c r="BL75" s="6000"/>
      <c r="BM75" s="6000"/>
      <c r="BN75" s="6000"/>
      <c r="BO75" s="6000"/>
      <c r="BP75" s="6000"/>
      <c r="BQ75" s="6000"/>
      <c r="BR75" s="6000"/>
      <c r="BS75" s="6000"/>
      <c r="BT75" s="6000"/>
      <c r="BU75" s="6000"/>
      <c r="BV75" s="6001"/>
      <c r="BW75" s="450"/>
      <c r="BX75" s="444"/>
      <c r="BY75" s="444"/>
      <c r="BZ75" s="906"/>
      <c r="CA75" s="5999"/>
      <c r="CB75" s="6000"/>
      <c r="CC75" s="6000"/>
      <c r="CD75" s="6000"/>
      <c r="CE75" s="6000"/>
      <c r="CF75" s="6000"/>
      <c r="CG75" s="6000"/>
      <c r="CH75" s="6000"/>
      <c r="CI75" s="6000"/>
      <c r="CJ75" s="6000"/>
      <c r="CK75" s="6000"/>
      <c r="CL75" s="6000"/>
      <c r="CM75" s="6000"/>
      <c r="CN75" s="6000"/>
      <c r="CO75" s="6001"/>
      <c r="CP75" s="450"/>
      <c r="CQ75" s="444"/>
    </row>
    <row r="76" spans="1:95" ht="12" customHeight="1" thickBot="1" x14ac:dyDescent="0.25">
      <c r="A76" s="444"/>
      <c r="B76" s="906"/>
      <c r="C76" s="6002"/>
      <c r="D76" s="6003"/>
      <c r="E76" s="6003"/>
      <c r="F76" s="6003"/>
      <c r="G76" s="6003"/>
      <c r="H76" s="6003"/>
      <c r="I76" s="6003"/>
      <c r="J76" s="6003"/>
      <c r="K76" s="6003"/>
      <c r="L76" s="6003"/>
      <c r="M76" s="6003"/>
      <c r="N76" s="6003"/>
      <c r="O76" s="6003"/>
      <c r="P76" s="6003"/>
      <c r="Q76" s="6004"/>
      <c r="R76" s="450"/>
      <c r="S76" s="444"/>
      <c r="T76" s="444"/>
      <c r="U76" s="906"/>
      <c r="V76" s="6002"/>
      <c r="W76" s="6003"/>
      <c r="X76" s="6003"/>
      <c r="Y76" s="6003"/>
      <c r="Z76" s="6003"/>
      <c r="AA76" s="6003"/>
      <c r="AB76" s="6003"/>
      <c r="AC76" s="6003"/>
      <c r="AD76" s="6003"/>
      <c r="AE76" s="6003"/>
      <c r="AF76" s="6003"/>
      <c r="AG76" s="6003"/>
      <c r="AH76" s="6003"/>
      <c r="AI76" s="6003"/>
      <c r="AJ76" s="6004"/>
      <c r="AK76" s="450"/>
      <c r="AL76" s="444"/>
      <c r="AM76" s="499"/>
      <c r="AN76" s="906"/>
      <c r="AO76" s="6002"/>
      <c r="AP76" s="6003"/>
      <c r="AQ76" s="6003"/>
      <c r="AR76" s="6003"/>
      <c r="AS76" s="6003"/>
      <c r="AT76" s="6003"/>
      <c r="AU76" s="6003"/>
      <c r="AV76" s="6003"/>
      <c r="AW76" s="6003"/>
      <c r="AX76" s="6003"/>
      <c r="AY76" s="6003"/>
      <c r="AZ76" s="6003"/>
      <c r="BA76" s="6003"/>
      <c r="BB76" s="6003"/>
      <c r="BC76" s="6004"/>
      <c r="BD76" s="450"/>
      <c r="BE76" s="444"/>
      <c r="BF76" s="444"/>
      <c r="BG76" s="906"/>
      <c r="BH76" s="6002"/>
      <c r="BI76" s="6003"/>
      <c r="BJ76" s="6003"/>
      <c r="BK76" s="6003"/>
      <c r="BL76" s="6003"/>
      <c r="BM76" s="6003"/>
      <c r="BN76" s="6003"/>
      <c r="BO76" s="6003"/>
      <c r="BP76" s="6003"/>
      <c r="BQ76" s="6003"/>
      <c r="BR76" s="6003"/>
      <c r="BS76" s="6003"/>
      <c r="BT76" s="6003"/>
      <c r="BU76" s="6003"/>
      <c r="BV76" s="6004"/>
      <c r="BW76" s="450"/>
      <c r="BX76" s="444"/>
      <c r="BY76" s="444"/>
      <c r="BZ76" s="906"/>
      <c r="CA76" s="6002"/>
      <c r="CB76" s="6003"/>
      <c r="CC76" s="6003"/>
      <c r="CD76" s="6003"/>
      <c r="CE76" s="6003"/>
      <c r="CF76" s="6003"/>
      <c r="CG76" s="6003"/>
      <c r="CH76" s="6003"/>
      <c r="CI76" s="6003"/>
      <c r="CJ76" s="6003"/>
      <c r="CK76" s="6003"/>
      <c r="CL76" s="6003"/>
      <c r="CM76" s="6003"/>
      <c r="CN76" s="6003"/>
      <c r="CO76" s="6004"/>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601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13"/>
      <c r="E78" s="6013"/>
      <c r="F78" s="6013"/>
      <c r="G78" s="6013"/>
      <c r="H78" s="454" t="s">
        <v>1333</v>
      </c>
      <c r="I78" s="455">
        <f>B78</f>
        <v>14</v>
      </c>
      <c r="J78" s="6005" t="s">
        <v>6388</v>
      </c>
      <c r="K78" s="6005"/>
      <c r="L78" s="6005"/>
      <c r="M78" s="5972" t="e">
        <f>IF(C78=0,"",VLOOKUP(C78,'Tablas Magia'!$D$6:$Z$680,2,FALSE))</f>
        <v>#N/A</v>
      </c>
      <c r="N78" s="5972"/>
      <c r="O78" s="1959"/>
      <c r="P78" s="6016" t="str">
        <f>IFERROR(IF(M78="Libre Acceso","Aprendido",IF(IFERROR(VLOOKUP(M78,Místicos!$C$15:$H$25,6,0)&gt;=I78,FALSE),"Aprendido",IF(IFERROR(VLOOKUP(M78,Místicos!$E$15:$H$25,4,0)&gt;=I78,FALSE),"Aprendido",""))),"")</f>
        <v/>
      </c>
      <c r="Q78" s="6017"/>
      <c r="R78" s="450"/>
      <c r="S78" s="444"/>
      <c r="T78" s="444"/>
      <c r="U78" s="906">
        <f>U67+2</f>
        <v>34</v>
      </c>
      <c r="V78" s="601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13"/>
      <c r="X78" s="6013"/>
      <c r="Y78" s="6013"/>
      <c r="Z78" s="6013"/>
      <c r="AA78" s="454" t="s">
        <v>1333</v>
      </c>
      <c r="AB78" s="455">
        <f>U78</f>
        <v>34</v>
      </c>
      <c r="AC78" s="6005" t="s">
        <v>6388</v>
      </c>
      <c r="AD78" s="6005"/>
      <c r="AE78" s="6005"/>
      <c r="AF78" s="5972" t="e">
        <f>IF(V78=0,"",VLOOKUP(V78,'Tablas Magia'!$D$6:$Z$680,2,FALSE))</f>
        <v>#N/A</v>
      </c>
      <c r="AG78" s="5972"/>
      <c r="AH78" s="1959"/>
      <c r="AI78" s="6016" t="str">
        <f>IFERROR(IF(AF78="Libre Acceso","Aprendido",IF(IFERROR(VLOOKUP(AF78,Místicos!$C$15:$H$25,6,0)&gt;=AB78,FALSE),"Aprendido",IF(IFERROR(VLOOKUP(AF78,Místicos!$E$15:$H$25,4,0)&gt;=AB78,FALSE),"Aprendido",""))),"")</f>
        <v/>
      </c>
      <c r="AJ78" s="6017"/>
      <c r="AK78" s="450"/>
      <c r="AL78" s="444"/>
      <c r="AM78" s="499"/>
      <c r="AN78" s="906">
        <f>AN67+2</f>
        <v>54</v>
      </c>
      <c r="AO78" s="601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13"/>
      <c r="AQ78" s="6013"/>
      <c r="AR78" s="6013"/>
      <c r="AS78" s="6013"/>
      <c r="AT78" s="454" t="s">
        <v>1333</v>
      </c>
      <c r="AU78" s="455">
        <f>AN78</f>
        <v>54</v>
      </c>
      <c r="AV78" s="6005" t="s">
        <v>6388</v>
      </c>
      <c r="AW78" s="6005"/>
      <c r="AX78" s="6005"/>
      <c r="AY78" s="5972" t="e">
        <f>IF(AO78=0,"",VLOOKUP(AO78,'Tablas Magia'!$D$6:$Z$680,2,FALSE))</f>
        <v>#N/A</v>
      </c>
      <c r="AZ78" s="5972"/>
      <c r="BA78" s="1959"/>
      <c r="BB78" s="6016" t="str">
        <f>IFERROR(IF(AY78="Libre Acceso","Aprendido",IF(IFERROR(VLOOKUP(AY78,Místicos!$C$15:$H$25,6,0)&gt;=AU78,FALSE),"Aprendido",IF(IFERROR(VLOOKUP(AY78,Místicos!$E$15:$H$25,4,0)&gt;=AU78,FALSE),"Aprendido",""))),"")</f>
        <v/>
      </c>
      <c r="BC78" s="6017"/>
      <c r="BD78" s="450"/>
      <c r="BE78" s="444"/>
      <c r="BF78" s="444"/>
      <c r="BG78" s="906">
        <f>BG67+2</f>
        <v>74</v>
      </c>
      <c r="BH78" s="601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13"/>
      <c r="BJ78" s="6013"/>
      <c r="BK78" s="6013"/>
      <c r="BL78" s="6013"/>
      <c r="BM78" s="454" t="s">
        <v>1333</v>
      </c>
      <c r="BN78" s="455">
        <f>BG78</f>
        <v>74</v>
      </c>
      <c r="BO78" s="6005" t="s">
        <v>6388</v>
      </c>
      <c r="BP78" s="6005"/>
      <c r="BQ78" s="6005"/>
      <c r="BR78" s="5972" t="e">
        <f>IF(BH78=0,"",VLOOKUP(BH78,'Tablas Magia'!$D$6:$Z$680,2,FALSE))</f>
        <v>#N/A</v>
      </c>
      <c r="BS78" s="5972"/>
      <c r="BT78" s="1959"/>
      <c r="BU78" s="6016" t="str">
        <f>IFERROR(IF(BR78="Libre Acceso","Aprendido",IF(IFERROR(VLOOKUP(BR78,Místicos!$C$15:$H$25,6,0)&gt;=BN78,FALSE),"Aprendido",IF(IFERROR(VLOOKUP(BR78,Místicos!$E$15:$H$25,4,0)&gt;=BN78,FALSE),"Aprendido",""))),"")</f>
        <v/>
      </c>
      <c r="BV78" s="6017"/>
      <c r="BW78" s="450"/>
      <c r="BX78" s="444"/>
      <c r="BY78" s="444"/>
      <c r="BZ78" s="906">
        <f>BZ67+2</f>
        <v>94</v>
      </c>
      <c r="CA78" s="601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13"/>
      <c r="CC78" s="6013"/>
      <c r="CD78" s="6013"/>
      <c r="CE78" s="6013"/>
      <c r="CF78" s="454" t="s">
        <v>1333</v>
      </c>
      <c r="CG78" s="455">
        <f>BZ78</f>
        <v>94</v>
      </c>
      <c r="CH78" s="6005" t="s">
        <v>6388</v>
      </c>
      <c r="CI78" s="6005"/>
      <c r="CJ78" s="6005"/>
      <c r="CK78" s="5972" t="e">
        <f>IF(CA78=0,"",VLOOKUP(CA78,'Tablas Magia'!$D$6:$Z$680,2,FALSE))</f>
        <v>#N/A</v>
      </c>
      <c r="CL78" s="5972"/>
      <c r="CM78" s="1959"/>
      <c r="CN78" s="6016" t="str">
        <f>IFERROR(IF(CK78="Libre Acceso","Aprendido",IF(IFERROR(VLOOKUP(CK78,Místicos!$C$15:$H$25,6,0)&gt;=CG78,FALSE),"Aprendido",IF(IFERROR(VLOOKUP(CK78,Místicos!$E$15:$H$25,4,0)&gt;=CG78,FALSE),"Aprendido",""))),"")</f>
        <v/>
      </c>
      <c r="CO78" s="6017"/>
      <c r="CP78" s="450"/>
      <c r="CQ78" s="444"/>
    </row>
    <row r="79" spans="1:95" ht="12" customHeight="1" x14ac:dyDescent="0.2">
      <c r="A79" s="444"/>
      <c r="B79" s="906"/>
      <c r="C79" s="5989" t="s">
        <v>6389</v>
      </c>
      <c r="D79" s="6006"/>
      <c r="E79" s="1972" t="s">
        <v>6390</v>
      </c>
      <c r="F79" s="1972" t="s">
        <v>1517</v>
      </c>
      <c r="G79" s="1972" t="s">
        <v>2914</v>
      </c>
      <c r="H79" s="1973" t="s">
        <v>1845</v>
      </c>
      <c r="I79" s="6007" t="e">
        <f>IF(C78=0,"",VLOOKUP(C78,'Tablas Magia'!$D$6:$Z$680,5,FALSE))</f>
        <v>#N/A</v>
      </c>
      <c r="J79" s="6007"/>
      <c r="K79" s="6018" t="s">
        <v>6391</v>
      </c>
      <c r="L79" s="6018"/>
      <c r="M79" s="6007" t="e">
        <f>IF(C78=0,"",VLOOKUP(C78,'Tablas Magia'!$D$6:$Z$680,6,FALSE))</f>
        <v>#N/A</v>
      </c>
      <c r="N79" s="6007"/>
      <c r="O79" s="6008" t="s">
        <v>6392</v>
      </c>
      <c r="P79" s="6008"/>
      <c r="Q79" s="1974" t="e">
        <f>IF(C78=0,"",VLOOKUP(C78,'Tablas Magia'!$D$6:$Z$680,4,FALSE))</f>
        <v>#N/A</v>
      </c>
      <c r="R79" s="450"/>
      <c r="S79" s="444"/>
      <c r="T79" s="444"/>
      <c r="U79" s="906"/>
      <c r="V79" s="5989" t="s">
        <v>6389</v>
      </c>
      <c r="W79" s="6006"/>
      <c r="X79" s="1972" t="s">
        <v>6390</v>
      </c>
      <c r="Y79" s="1972" t="s">
        <v>1517</v>
      </c>
      <c r="Z79" s="1972" t="s">
        <v>2914</v>
      </c>
      <c r="AA79" s="1973" t="s">
        <v>1845</v>
      </c>
      <c r="AB79" s="6007" t="e">
        <f>IF(V78=0,"",VLOOKUP(V78,'Tablas Magia'!$D$6:$Z$680,5,FALSE))</f>
        <v>#N/A</v>
      </c>
      <c r="AC79" s="6007"/>
      <c r="AD79" s="6018" t="s">
        <v>6391</v>
      </c>
      <c r="AE79" s="6018"/>
      <c r="AF79" s="6007" t="e">
        <f>IF(V78=0,"",VLOOKUP(V78,'Tablas Magia'!$D$6:$Z$680,6,FALSE))</f>
        <v>#N/A</v>
      </c>
      <c r="AG79" s="6007"/>
      <c r="AH79" s="6008" t="s">
        <v>6392</v>
      </c>
      <c r="AI79" s="6008"/>
      <c r="AJ79" s="1974" t="e">
        <f>IF(V78=0,"",VLOOKUP(V78,'Tablas Magia'!$D$6:$Z$680,4,FALSE))</f>
        <v>#N/A</v>
      </c>
      <c r="AK79" s="450"/>
      <c r="AL79" s="444"/>
      <c r="AM79" s="499"/>
      <c r="AN79" s="906"/>
      <c r="AO79" s="5989" t="s">
        <v>6389</v>
      </c>
      <c r="AP79" s="6006"/>
      <c r="AQ79" s="1972" t="s">
        <v>6390</v>
      </c>
      <c r="AR79" s="1972" t="s">
        <v>1517</v>
      </c>
      <c r="AS79" s="1972" t="s">
        <v>2914</v>
      </c>
      <c r="AT79" s="1973" t="s">
        <v>1845</v>
      </c>
      <c r="AU79" s="6007" t="e">
        <f>IF(AO78=0,"",VLOOKUP(AO78,'Tablas Magia'!$D$6:$Z$680,5,FALSE))</f>
        <v>#N/A</v>
      </c>
      <c r="AV79" s="6007"/>
      <c r="AW79" s="6018" t="s">
        <v>6391</v>
      </c>
      <c r="AX79" s="6018"/>
      <c r="AY79" s="6007" t="e">
        <f>IF(AO78=0,"",VLOOKUP(AO78,'Tablas Magia'!$D$6:$Z$680,6,FALSE))</f>
        <v>#N/A</v>
      </c>
      <c r="AZ79" s="6007"/>
      <c r="BA79" s="6008" t="s">
        <v>6392</v>
      </c>
      <c r="BB79" s="6008"/>
      <c r="BC79" s="1974" t="e">
        <f>IF(AO78=0,"",VLOOKUP(AO78,'Tablas Magia'!$D$6:$Z$680,4,FALSE))</f>
        <v>#N/A</v>
      </c>
      <c r="BD79" s="450"/>
      <c r="BE79" s="444"/>
      <c r="BF79" s="444"/>
      <c r="BG79" s="906"/>
      <c r="BH79" s="5989" t="s">
        <v>6389</v>
      </c>
      <c r="BI79" s="6006"/>
      <c r="BJ79" s="1972" t="s">
        <v>6390</v>
      </c>
      <c r="BK79" s="1972" t="s">
        <v>1517</v>
      </c>
      <c r="BL79" s="1972" t="s">
        <v>2914</v>
      </c>
      <c r="BM79" s="1973" t="s">
        <v>1845</v>
      </c>
      <c r="BN79" s="6007" t="e">
        <f>IF(BH78=0,"",VLOOKUP(BH78,'Tablas Magia'!$D$6:$Z$680,5,FALSE))</f>
        <v>#N/A</v>
      </c>
      <c r="BO79" s="6007"/>
      <c r="BP79" s="6018" t="s">
        <v>6391</v>
      </c>
      <c r="BQ79" s="6018"/>
      <c r="BR79" s="6007" t="e">
        <f>IF(BH78=0,"",VLOOKUP(BH78,'Tablas Magia'!$D$6:$Z$680,6,FALSE))</f>
        <v>#N/A</v>
      </c>
      <c r="BS79" s="6007"/>
      <c r="BT79" s="6008" t="s">
        <v>6392</v>
      </c>
      <c r="BU79" s="6008"/>
      <c r="BV79" s="1974" t="e">
        <f>IF(BH78=0,"",VLOOKUP(BH78,'Tablas Magia'!$D$6:$Z$680,4,FALSE))</f>
        <v>#N/A</v>
      </c>
      <c r="BW79" s="450"/>
      <c r="BX79" s="444"/>
      <c r="BY79" s="444"/>
      <c r="BZ79" s="906"/>
      <c r="CA79" s="5989" t="s">
        <v>6389</v>
      </c>
      <c r="CB79" s="6006"/>
      <c r="CC79" s="1972" t="s">
        <v>6390</v>
      </c>
      <c r="CD79" s="1972" t="s">
        <v>1517</v>
      </c>
      <c r="CE79" s="1972" t="s">
        <v>2914</v>
      </c>
      <c r="CF79" s="1973" t="s">
        <v>1845</v>
      </c>
      <c r="CG79" s="6007" t="e">
        <f>IF(CA78=0,"",VLOOKUP(CA78,'Tablas Magia'!$D$6:$Z$680,5,FALSE))</f>
        <v>#N/A</v>
      </c>
      <c r="CH79" s="6007"/>
      <c r="CI79" s="6018" t="s">
        <v>6391</v>
      </c>
      <c r="CJ79" s="6018"/>
      <c r="CK79" s="6007" t="e">
        <f>IF(CA78=0,"",VLOOKUP(CA78,'Tablas Magia'!$D$6:$Z$680,6,FALSE))</f>
        <v>#N/A</v>
      </c>
      <c r="CL79" s="6007"/>
      <c r="CM79" s="6008" t="s">
        <v>6392</v>
      </c>
      <c r="CN79" s="6008"/>
      <c r="CO79" s="1974" t="e">
        <f>IF(CA78=0,"",VLOOKUP(CA78,'Tablas Magia'!$D$6:$Z$680,4,FALSE))</f>
        <v>#N/A</v>
      </c>
      <c r="CP79" s="450"/>
      <c r="CQ79" s="444"/>
    </row>
    <row r="80" spans="1:95" ht="12" customHeight="1" x14ac:dyDescent="0.2">
      <c r="A80" s="444"/>
      <c r="B80" s="906"/>
      <c r="C80" s="5981" t="s">
        <v>1373</v>
      </c>
      <c r="D80" s="5982"/>
      <c r="E80" s="459" t="e">
        <f>IF(C78=0,"",VLOOKUP(C78,'Tablas Magia'!$D$6:$Z$680,7,FALSE))</f>
        <v>#N/A</v>
      </c>
      <c r="F80" s="459" t="e">
        <f>IF(C78=0,"",VLOOKUP(C78,'Tablas Magia'!$D$6:$Z$680,11,FALSE))</f>
        <v>#N/A</v>
      </c>
      <c r="G80" s="460" t="e">
        <f>IF(C78=0,"",VLOOKUP(C78,'Tablas Magia'!$D$6:$Z$680,15,FALSE))</f>
        <v>#N/A</v>
      </c>
      <c r="H80" s="5983" t="e">
        <f>IF(C78=0,"",VLOOKUP(C78,'Tablas Magia'!$D$6:$Z$680,19,FALSE))</f>
        <v>#N/A</v>
      </c>
      <c r="I80" s="5984"/>
      <c r="J80" s="5984"/>
      <c r="K80" s="5984"/>
      <c r="L80" s="5984"/>
      <c r="M80" s="5984"/>
      <c r="N80" s="5984"/>
      <c r="O80" s="5984"/>
      <c r="P80" s="5984"/>
      <c r="Q80" s="5985"/>
      <c r="R80" s="450"/>
      <c r="S80" s="444"/>
      <c r="T80" s="444"/>
      <c r="U80" s="906"/>
      <c r="V80" s="5981" t="s">
        <v>1373</v>
      </c>
      <c r="W80" s="5982"/>
      <c r="X80" s="459" t="e">
        <f>IF(V78=0,"",VLOOKUP(V78,'Tablas Magia'!$D$6:$Z$680,7,FALSE))</f>
        <v>#N/A</v>
      </c>
      <c r="Y80" s="459" t="e">
        <f>IF(V78=0,"",VLOOKUP(V78,'Tablas Magia'!$D$6:$Z$680,11,FALSE))</f>
        <v>#N/A</v>
      </c>
      <c r="Z80" s="460" t="e">
        <f>IF(V78=0,"",VLOOKUP(V78,'Tablas Magia'!$D$6:$Z$680,15,FALSE))</f>
        <v>#N/A</v>
      </c>
      <c r="AA80" s="5983" t="e">
        <f>IF(V78=0,"",VLOOKUP(V78,'Tablas Magia'!$D$6:$Z$680,19,FALSE))</f>
        <v>#N/A</v>
      </c>
      <c r="AB80" s="5984"/>
      <c r="AC80" s="5984"/>
      <c r="AD80" s="5984"/>
      <c r="AE80" s="5984"/>
      <c r="AF80" s="5984"/>
      <c r="AG80" s="5984"/>
      <c r="AH80" s="5984"/>
      <c r="AI80" s="5984"/>
      <c r="AJ80" s="5985"/>
      <c r="AK80" s="450"/>
      <c r="AL80" s="444"/>
      <c r="AM80" s="499"/>
      <c r="AN80" s="906"/>
      <c r="AO80" s="5981" t="s">
        <v>1373</v>
      </c>
      <c r="AP80" s="5982"/>
      <c r="AQ80" s="459" t="e">
        <f>IF(AO78=0,"",VLOOKUP(AO78,'Tablas Magia'!$D$6:$Z$680,7,FALSE))</f>
        <v>#N/A</v>
      </c>
      <c r="AR80" s="459" t="e">
        <f>IF(AO78=0,"",VLOOKUP(AO78,'Tablas Magia'!$D$6:$Z$680,11,FALSE))</f>
        <v>#N/A</v>
      </c>
      <c r="AS80" s="460" t="e">
        <f>IF(AO78=0,"",VLOOKUP(AO78,'Tablas Magia'!$D$6:$Z$680,15,FALSE))</f>
        <v>#N/A</v>
      </c>
      <c r="AT80" s="5983" t="e">
        <f>IF(AO78=0,"",VLOOKUP(AO78,'Tablas Magia'!$D$6:$Z$680,19,FALSE))</f>
        <v>#N/A</v>
      </c>
      <c r="AU80" s="5984"/>
      <c r="AV80" s="5984"/>
      <c r="AW80" s="5984"/>
      <c r="AX80" s="5984"/>
      <c r="AY80" s="5984"/>
      <c r="AZ80" s="5984"/>
      <c r="BA80" s="5984"/>
      <c r="BB80" s="5984"/>
      <c r="BC80" s="5985"/>
      <c r="BD80" s="450"/>
      <c r="BE80" s="444"/>
      <c r="BF80" s="444"/>
      <c r="BG80" s="906"/>
      <c r="BH80" s="5981" t="s">
        <v>1373</v>
      </c>
      <c r="BI80" s="5982"/>
      <c r="BJ80" s="459" t="e">
        <f>IF(BH78=0,"",VLOOKUP(BH78,'Tablas Magia'!$D$6:$Z$680,7,FALSE))</f>
        <v>#N/A</v>
      </c>
      <c r="BK80" s="459" t="e">
        <f>IF(BH78=0,"",VLOOKUP(BH78,'Tablas Magia'!$D$6:$Z$680,11,FALSE))</f>
        <v>#N/A</v>
      </c>
      <c r="BL80" s="460" t="e">
        <f>IF(BH78=0,"",VLOOKUP(BH78,'Tablas Magia'!$D$6:$Z$680,15,FALSE))</f>
        <v>#N/A</v>
      </c>
      <c r="BM80" s="5983" t="e">
        <f>IF(BH78=0,"",VLOOKUP(BH78,'Tablas Magia'!$D$6:$Z$680,19,FALSE))</f>
        <v>#N/A</v>
      </c>
      <c r="BN80" s="5984"/>
      <c r="BO80" s="5984"/>
      <c r="BP80" s="5984"/>
      <c r="BQ80" s="5984"/>
      <c r="BR80" s="5984"/>
      <c r="BS80" s="5984"/>
      <c r="BT80" s="5984"/>
      <c r="BU80" s="5984"/>
      <c r="BV80" s="5985"/>
      <c r="BW80" s="450"/>
      <c r="BX80" s="444"/>
      <c r="BY80" s="444"/>
      <c r="BZ80" s="906"/>
      <c r="CA80" s="5981" t="s">
        <v>1373</v>
      </c>
      <c r="CB80" s="5982"/>
      <c r="CC80" s="459" t="e">
        <f>IF(CA78=0,"",VLOOKUP(CA78,'Tablas Magia'!$D$6:$Z$680,7,FALSE))</f>
        <v>#N/A</v>
      </c>
      <c r="CD80" s="459" t="e">
        <f>IF(CA78=0,"",VLOOKUP(CA78,'Tablas Magia'!$D$6:$Z$680,11,FALSE))</f>
        <v>#N/A</v>
      </c>
      <c r="CE80" s="460" t="e">
        <f>IF(CA78=0,"",VLOOKUP(CA78,'Tablas Magia'!$D$6:$Z$680,15,FALSE))</f>
        <v>#N/A</v>
      </c>
      <c r="CF80" s="5983" t="e">
        <f>IF(CA78=0,"",VLOOKUP(CA78,'Tablas Magia'!$D$6:$Z$680,19,FALSE))</f>
        <v>#N/A</v>
      </c>
      <c r="CG80" s="5984"/>
      <c r="CH80" s="5984"/>
      <c r="CI80" s="5984"/>
      <c r="CJ80" s="5984"/>
      <c r="CK80" s="5984"/>
      <c r="CL80" s="5984"/>
      <c r="CM80" s="5984"/>
      <c r="CN80" s="5984"/>
      <c r="CO80" s="5985"/>
      <c r="CP80" s="450"/>
      <c r="CQ80" s="444"/>
    </row>
    <row r="81" spans="1:95" ht="12" customHeight="1" x14ac:dyDescent="0.2">
      <c r="A81" s="444"/>
      <c r="B81" s="906"/>
      <c r="C81" s="5976" t="s">
        <v>3285</v>
      </c>
      <c r="D81" s="5977"/>
      <c r="E81" s="461" t="e">
        <f>IF(C78=0,"",VLOOKUP(C78,'Tablas Magia'!$D$6:$Z$680,8,FALSE))</f>
        <v>#N/A</v>
      </c>
      <c r="F81" s="461" t="e">
        <f>IF(C78=0,"",VLOOKUP(C78,'Tablas Magia'!$D$6:$Z$680,12,FALSE))</f>
        <v>#N/A</v>
      </c>
      <c r="G81" s="462" t="e">
        <f>IF(C78=0,"",VLOOKUP(C78,'Tablas Magia'!$D$6:$Z$680,16,FALSE))</f>
        <v>#N/A</v>
      </c>
      <c r="H81" s="5978" t="e">
        <f>IF(C78=0,"",VLOOKUP(C78,'Tablas Magia'!$D$6:$Z$680,20,FALSE))</f>
        <v>#N/A</v>
      </c>
      <c r="I81" s="5979"/>
      <c r="J81" s="5979"/>
      <c r="K81" s="5979"/>
      <c r="L81" s="5979"/>
      <c r="M81" s="5979"/>
      <c r="N81" s="5979"/>
      <c r="O81" s="5979"/>
      <c r="P81" s="5979"/>
      <c r="Q81" s="5980"/>
      <c r="R81" s="450"/>
      <c r="S81" s="444"/>
      <c r="T81" s="444"/>
      <c r="U81" s="906"/>
      <c r="V81" s="5976" t="s">
        <v>3285</v>
      </c>
      <c r="W81" s="5977"/>
      <c r="X81" s="461" t="e">
        <f>IF(V78=0,"",VLOOKUP(V78,'Tablas Magia'!$D$6:$Z$680,8,FALSE))</f>
        <v>#N/A</v>
      </c>
      <c r="Y81" s="461" t="e">
        <f>IF(V78=0,"",VLOOKUP(V78,'Tablas Magia'!$D$6:$Z$680,12,FALSE))</f>
        <v>#N/A</v>
      </c>
      <c r="Z81" s="462" t="e">
        <f>IF(V78=0,"",VLOOKUP(V78,'Tablas Magia'!$D$6:$Z$680,16,FALSE))</f>
        <v>#N/A</v>
      </c>
      <c r="AA81" s="5978" t="e">
        <f>IF(V78=0,"",VLOOKUP(V78,'Tablas Magia'!$D$6:$Z$680,20,FALSE))</f>
        <v>#N/A</v>
      </c>
      <c r="AB81" s="5979"/>
      <c r="AC81" s="5979"/>
      <c r="AD81" s="5979"/>
      <c r="AE81" s="5979"/>
      <c r="AF81" s="5979"/>
      <c r="AG81" s="5979"/>
      <c r="AH81" s="5979"/>
      <c r="AI81" s="5979"/>
      <c r="AJ81" s="5980"/>
      <c r="AK81" s="450"/>
      <c r="AL81" s="444"/>
      <c r="AM81" s="499"/>
      <c r="AN81" s="906"/>
      <c r="AO81" s="5976" t="s">
        <v>3285</v>
      </c>
      <c r="AP81" s="5977"/>
      <c r="AQ81" s="461" t="e">
        <f>IF(AO78=0,"",VLOOKUP(AO78,'Tablas Magia'!$D$6:$Z$680,8,FALSE))</f>
        <v>#N/A</v>
      </c>
      <c r="AR81" s="461" t="e">
        <f>IF(AO78=0,"",VLOOKUP(AO78,'Tablas Magia'!$D$6:$Z$680,12,FALSE))</f>
        <v>#N/A</v>
      </c>
      <c r="AS81" s="462" t="e">
        <f>IF(AO78=0,"",VLOOKUP(AO78,'Tablas Magia'!$D$6:$Z$680,16,FALSE))</f>
        <v>#N/A</v>
      </c>
      <c r="AT81" s="5978" t="e">
        <f>IF(AO78=0,"",VLOOKUP(AO78,'Tablas Magia'!$D$6:$Z$680,20,FALSE))</f>
        <v>#N/A</v>
      </c>
      <c r="AU81" s="5979"/>
      <c r="AV81" s="5979"/>
      <c r="AW81" s="5979"/>
      <c r="AX81" s="5979"/>
      <c r="AY81" s="5979"/>
      <c r="AZ81" s="5979"/>
      <c r="BA81" s="5979"/>
      <c r="BB81" s="5979"/>
      <c r="BC81" s="5980"/>
      <c r="BD81" s="450"/>
      <c r="BE81" s="444"/>
      <c r="BF81" s="444"/>
      <c r="BG81" s="906"/>
      <c r="BH81" s="5976" t="s">
        <v>3285</v>
      </c>
      <c r="BI81" s="5977"/>
      <c r="BJ81" s="461" t="e">
        <f>IF(BH78=0,"",VLOOKUP(BH78,'Tablas Magia'!$D$6:$Z$680,8,FALSE))</f>
        <v>#N/A</v>
      </c>
      <c r="BK81" s="461" t="e">
        <f>IF(BH78=0,"",VLOOKUP(BH78,'Tablas Magia'!$D$6:$Z$680,12,FALSE))</f>
        <v>#N/A</v>
      </c>
      <c r="BL81" s="462" t="e">
        <f>IF(BH78=0,"",VLOOKUP(BH78,'Tablas Magia'!$D$6:$Z$680,16,FALSE))</f>
        <v>#N/A</v>
      </c>
      <c r="BM81" s="5978" t="e">
        <f>IF(BH78=0,"",VLOOKUP(BH78,'Tablas Magia'!$D$6:$Z$680,20,FALSE))</f>
        <v>#N/A</v>
      </c>
      <c r="BN81" s="5979"/>
      <c r="BO81" s="5979"/>
      <c r="BP81" s="5979"/>
      <c r="BQ81" s="5979"/>
      <c r="BR81" s="5979"/>
      <c r="BS81" s="5979"/>
      <c r="BT81" s="5979"/>
      <c r="BU81" s="5979"/>
      <c r="BV81" s="5980"/>
      <c r="BW81" s="450"/>
      <c r="BX81" s="444"/>
      <c r="BY81" s="444"/>
      <c r="BZ81" s="906"/>
      <c r="CA81" s="5976" t="s">
        <v>3285</v>
      </c>
      <c r="CB81" s="5977"/>
      <c r="CC81" s="461" t="e">
        <f>IF(CA78=0,"",VLOOKUP(CA78,'Tablas Magia'!$D$6:$Z$680,8,FALSE))</f>
        <v>#N/A</v>
      </c>
      <c r="CD81" s="461" t="e">
        <f>IF(CA78=0,"",VLOOKUP(CA78,'Tablas Magia'!$D$6:$Z$680,12,FALSE))</f>
        <v>#N/A</v>
      </c>
      <c r="CE81" s="462" t="e">
        <f>IF(CA78=0,"",VLOOKUP(CA78,'Tablas Magia'!$D$6:$Z$680,16,FALSE))</f>
        <v>#N/A</v>
      </c>
      <c r="CF81" s="5978" t="e">
        <f>IF(CA78=0,"",VLOOKUP(CA78,'Tablas Magia'!$D$6:$Z$680,20,FALSE))</f>
        <v>#N/A</v>
      </c>
      <c r="CG81" s="5979"/>
      <c r="CH81" s="5979"/>
      <c r="CI81" s="5979"/>
      <c r="CJ81" s="5979"/>
      <c r="CK81" s="5979"/>
      <c r="CL81" s="5979"/>
      <c r="CM81" s="5979"/>
      <c r="CN81" s="5979"/>
      <c r="CO81" s="5980"/>
      <c r="CP81" s="450"/>
      <c r="CQ81" s="444"/>
    </row>
    <row r="82" spans="1:95" ht="12" customHeight="1" x14ac:dyDescent="0.2">
      <c r="A82" s="444"/>
      <c r="B82" s="906"/>
      <c r="C82" s="5981" t="s">
        <v>3286</v>
      </c>
      <c r="D82" s="5982"/>
      <c r="E82" s="459" t="e">
        <f>IF(C78=0,"",VLOOKUP(C78,'Tablas Magia'!$D$6:$Z$680,9,FALSE))</f>
        <v>#N/A</v>
      </c>
      <c r="F82" s="459" t="e">
        <f>IF(C78=0,"",VLOOKUP(C78,'Tablas Magia'!$D$6:$Z$680,13,FALSE))</f>
        <v>#N/A</v>
      </c>
      <c r="G82" s="460" t="e">
        <f>IF(C78=0,"",VLOOKUP(C78,'Tablas Magia'!$D$6:$Z$680,17,FALSE))</f>
        <v>#N/A</v>
      </c>
      <c r="H82" s="5983" t="e">
        <f>IF(C78=0,"",VLOOKUP(C78,'Tablas Magia'!$D$6:$Z$680,21,FALSE))</f>
        <v>#N/A</v>
      </c>
      <c r="I82" s="5984"/>
      <c r="J82" s="5984"/>
      <c r="K82" s="5984"/>
      <c r="L82" s="5984"/>
      <c r="M82" s="5984"/>
      <c r="N82" s="5984"/>
      <c r="O82" s="5984"/>
      <c r="P82" s="5984"/>
      <c r="Q82" s="5985"/>
      <c r="R82" s="450"/>
      <c r="S82" s="444"/>
      <c r="T82" s="444"/>
      <c r="U82" s="906"/>
      <c r="V82" s="5981" t="s">
        <v>3286</v>
      </c>
      <c r="W82" s="5982"/>
      <c r="X82" s="459" t="e">
        <f>IF(V78=0,"",VLOOKUP(V78,'Tablas Magia'!$D$6:$Z$680,9,FALSE))</f>
        <v>#N/A</v>
      </c>
      <c r="Y82" s="459" t="e">
        <f>IF(V78=0,"",VLOOKUP(V78,'Tablas Magia'!$D$6:$Z$680,13,FALSE))</f>
        <v>#N/A</v>
      </c>
      <c r="Z82" s="460" t="e">
        <f>IF(V78=0,"",VLOOKUP(V78,'Tablas Magia'!$D$6:$Z$680,17,FALSE))</f>
        <v>#N/A</v>
      </c>
      <c r="AA82" s="5983" t="e">
        <f>IF(V78=0,"",VLOOKUP(V78,'Tablas Magia'!$D$6:$Z$680,21,FALSE))</f>
        <v>#N/A</v>
      </c>
      <c r="AB82" s="5984"/>
      <c r="AC82" s="5984"/>
      <c r="AD82" s="5984"/>
      <c r="AE82" s="5984"/>
      <c r="AF82" s="5984"/>
      <c r="AG82" s="5984"/>
      <c r="AH82" s="5984"/>
      <c r="AI82" s="5984"/>
      <c r="AJ82" s="5985"/>
      <c r="AK82" s="450"/>
      <c r="AL82" s="444"/>
      <c r="AM82" s="499"/>
      <c r="AN82" s="906"/>
      <c r="AO82" s="5981" t="s">
        <v>3286</v>
      </c>
      <c r="AP82" s="5982"/>
      <c r="AQ82" s="459" t="e">
        <f>IF(AO78=0,"",VLOOKUP(AO78,'Tablas Magia'!$D$6:$Z$680,9,FALSE))</f>
        <v>#N/A</v>
      </c>
      <c r="AR82" s="459" t="e">
        <f>IF(AO78=0,"",VLOOKUP(AO78,'Tablas Magia'!$D$6:$Z$680,13,FALSE))</f>
        <v>#N/A</v>
      </c>
      <c r="AS82" s="460" t="e">
        <f>IF(AO78=0,"",VLOOKUP(AO78,'Tablas Magia'!$D$6:$Z$680,17,FALSE))</f>
        <v>#N/A</v>
      </c>
      <c r="AT82" s="5983" t="e">
        <f>IF(AO78=0,"",VLOOKUP(AO78,'Tablas Magia'!$D$6:$Z$680,21,FALSE))</f>
        <v>#N/A</v>
      </c>
      <c r="AU82" s="5984"/>
      <c r="AV82" s="5984"/>
      <c r="AW82" s="5984"/>
      <c r="AX82" s="5984"/>
      <c r="AY82" s="5984"/>
      <c r="AZ82" s="5984"/>
      <c r="BA82" s="5984"/>
      <c r="BB82" s="5984"/>
      <c r="BC82" s="5985"/>
      <c r="BD82" s="450"/>
      <c r="BE82" s="444"/>
      <c r="BF82" s="444"/>
      <c r="BG82" s="906"/>
      <c r="BH82" s="5981" t="s">
        <v>3286</v>
      </c>
      <c r="BI82" s="5982"/>
      <c r="BJ82" s="459" t="e">
        <f>IF(BH78=0,"",VLOOKUP(BH78,'Tablas Magia'!$D$6:$Z$680,9,FALSE))</f>
        <v>#N/A</v>
      </c>
      <c r="BK82" s="459" t="e">
        <f>IF(BH78=0,"",VLOOKUP(BH78,'Tablas Magia'!$D$6:$Z$680,13,FALSE))</f>
        <v>#N/A</v>
      </c>
      <c r="BL82" s="460" t="e">
        <f>IF(BH78=0,"",VLOOKUP(BH78,'Tablas Magia'!$D$6:$Z$680,17,FALSE))</f>
        <v>#N/A</v>
      </c>
      <c r="BM82" s="5983" t="e">
        <f>IF(BH78=0,"",VLOOKUP(BH78,'Tablas Magia'!$D$6:$Z$680,21,FALSE))</f>
        <v>#N/A</v>
      </c>
      <c r="BN82" s="5984"/>
      <c r="BO82" s="5984"/>
      <c r="BP82" s="5984"/>
      <c r="BQ82" s="5984"/>
      <c r="BR82" s="5984"/>
      <c r="BS82" s="5984"/>
      <c r="BT82" s="5984"/>
      <c r="BU82" s="5984"/>
      <c r="BV82" s="5985"/>
      <c r="BW82" s="450"/>
      <c r="BX82" s="444"/>
      <c r="BY82" s="444"/>
      <c r="BZ82" s="906"/>
      <c r="CA82" s="5981" t="s">
        <v>3286</v>
      </c>
      <c r="CB82" s="5982"/>
      <c r="CC82" s="459" t="e">
        <f>IF(CA78=0,"",VLOOKUP(CA78,'Tablas Magia'!$D$6:$Z$680,9,FALSE))</f>
        <v>#N/A</v>
      </c>
      <c r="CD82" s="459" t="e">
        <f>IF(CA78=0,"",VLOOKUP(CA78,'Tablas Magia'!$D$6:$Z$680,13,FALSE))</f>
        <v>#N/A</v>
      </c>
      <c r="CE82" s="460" t="e">
        <f>IF(CA78=0,"",VLOOKUP(CA78,'Tablas Magia'!$D$6:$Z$680,17,FALSE))</f>
        <v>#N/A</v>
      </c>
      <c r="CF82" s="5983" t="e">
        <f>IF(CA78=0,"",VLOOKUP(CA78,'Tablas Magia'!$D$6:$Z$680,21,FALSE))</f>
        <v>#N/A</v>
      </c>
      <c r="CG82" s="5984"/>
      <c r="CH82" s="5984"/>
      <c r="CI82" s="5984"/>
      <c r="CJ82" s="5984"/>
      <c r="CK82" s="5984"/>
      <c r="CL82" s="5984"/>
      <c r="CM82" s="5984"/>
      <c r="CN82" s="5984"/>
      <c r="CO82" s="5985"/>
      <c r="CP82" s="450"/>
      <c r="CQ82" s="444"/>
    </row>
    <row r="83" spans="1:95" ht="12" customHeight="1" thickBot="1" x14ac:dyDescent="0.25">
      <c r="A83" s="444"/>
      <c r="B83" s="906"/>
      <c r="C83" s="5991" t="s">
        <v>3287</v>
      </c>
      <c r="D83" s="5992"/>
      <c r="E83" s="463" t="e">
        <f>IF(C78=0,"",VLOOKUP(C78,'Tablas Magia'!$D$6:$Z$680,10,FALSE))</f>
        <v>#N/A</v>
      </c>
      <c r="F83" s="463" t="e">
        <f>IF(C78=0,"",VLOOKUP(C78,'Tablas Magia'!$D$6:$Z$680,14,FALSE))</f>
        <v>#N/A</v>
      </c>
      <c r="G83" s="464" t="e">
        <f>IF(C78=0,"",VLOOKUP(C78,'Tablas Magia'!$D$6:$Z$680,18,FALSE))</f>
        <v>#N/A</v>
      </c>
      <c r="H83" s="5993" t="e">
        <f>IF(C78=0,"",VLOOKUP(C78,'Tablas Magia'!$D$6:$Z$680,22,FALSE))</f>
        <v>#N/A</v>
      </c>
      <c r="I83" s="5994"/>
      <c r="J83" s="5994"/>
      <c r="K83" s="5994"/>
      <c r="L83" s="5994"/>
      <c r="M83" s="5994"/>
      <c r="N83" s="5994"/>
      <c r="O83" s="5994"/>
      <c r="P83" s="5994"/>
      <c r="Q83" s="5995"/>
      <c r="R83" s="450"/>
      <c r="S83" s="444"/>
      <c r="T83" s="444"/>
      <c r="U83" s="906"/>
      <c r="V83" s="5991" t="s">
        <v>3287</v>
      </c>
      <c r="W83" s="5992"/>
      <c r="X83" s="463" t="e">
        <f>IF(V78=0,"",VLOOKUP(V78,'Tablas Magia'!$D$6:$Z$680,10,FALSE))</f>
        <v>#N/A</v>
      </c>
      <c r="Y83" s="463" t="e">
        <f>IF(V78=0,"",VLOOKUP(V78,'Tablas Magia'!$D$6:$Z$680,14,FALSE))</f>
        <v>#N/A</v>
      </c>
      <c r="Z83" s="464" t="e">
        <f>IF(V78=0,"",VLOOKUP(V78,'Tablas Magia'!$D$6:$Z$680,18,FALSE))</f>
        <v>#N/A</v>
      </c>
      <c r="AA83" s="5993" t="e">
        <f>IF(V78=0,"",VLOOKUP(V78,'Tablas Magia'!$D$6:$Z$680,22,FALSE))</f>
        <v>#N/A</v>
      </c>
      <c r="AB83" s="5994"/>
      <c r="AC83" s="5994"/>
      <c r="AD83" s="5994"/>
      <c r="AE83" s="5994"/>
      <c r="AF83" s="5994"/>
      <c r="AG83" s="5994"/>
      <c r="AH83" s="5994"/>
      <c r="AI83" s="5994"/>
      <c r="AJ83" s="5995"/>
      <c r="AK83" s="450"/>
      <c r="AL83" s="444"/>
      <c r="AM83" s="499"/>
      <c r="AN83" s="906"/>
      <c r="AO83" s="5991" t="s">
        <v>3287</v>
      </c>
      <c r="AP83" s="5992"/>
      <c r="AQ83" s="463" t="e">
        <f>IF(AO78=0,"",VLOOKUP(AO78,'Tablas Magia'!$D$6:$Z$680,10,FALSE))</f>
        <v>#N/A</v>
      </c>
      <c r="AR83" s="463" t="e">
        <f>IF(AO78=0,"",VLOOKUP(AO78,'Tablas Magia'!$D$6:$Z$680,14,FALSE))</f>
        <v>#N/A</v>
      </c>
      <c r="AS83" s="464" t="e">
        <f>IF(AO78=0,"",VLOOKUP(AO78,'Tablas Magia'!$D$6:$Z$680,18,FALSE))</f>
        <v>#N/A</v>
      </c>
      <c r="AT83" s="5993" t="e">
        <f>IF(AO78=0,"",VLOOKUP(AO78,'Tablas Magia'!$D$6:$Z$680,22,FALSE))</f>
        <v>#N/A</v>
      </c>
      <c r="AU83" s="5994"/>
      <c r="AV83" s="5994"/>
      <c r="AW83" s="5994"/>
      <c r="AX83" s="5994"/>
      <c r="AY83" s="5994"/>
      <c r="AZ83" s="5994"/>
      <c r="BA83" s="5994"/>
      <c r="BB83" s="5994"/>
      <c r="BC83" s="5995"/>
      <c r="BD83" s="450"/>
      <c r="BE83" s="444"/>
      <c r="BF83" s="444"/>
      <c r="BG83" s="906"/>
      <c r="BH83" s="5991" t="s">
        <v>3287</v>
      </c>
      <c r="BI83" s="5992"/>
      <c r="BJ83" s="463" t="e">
        <f>IF(BH78=0,"",VLOOKUP(BH78,'Tablas Magia'!$D$6:$Z$680,10,FALSE))</f>
        <v>#N/A</v>
      </c>
      <c r="BK83" s="463" t="e">
        <f>IF(BH78=0,"",VLOOKUP(BH78,'Tablas Magia'!$D$6:$Z$680,14,FALSE))</f>
        <v>#N/A</v>
      </c>
      <c r="BL83" s="464" t="e">
        <f>IF(BH78=0,"",VLOOKUP(BH78,'Tablas Magia'!$D$6:$Z$680,18,FALSE))</f>
        <v>#N/A</v>
      </c>
      <c r="BM83" s="5993" t="e">
        <f>IF(BH78=0,"",VLOOKUP(BH78,'Tablas Magia'!$D$6:$Z$680,22,FALSE))</f>
        <v>#N/A</v>
      </c>
      <c r="BN83" s="5994"/>
      <c r="BO83" s="5994"/>
      <c r="BP83" s="5994"/>
      <c r="BQ83" s="5994"/>
      <c r="BR83" s="5994"/>
      <c r="BS83" s="5994"/>
      <c r="BT83" s="5994"/>
      <c r="BU83" s="5994"/>
      <c r="BV83" s="5995"/>
      <c r="BW83" s="450"/>
      <c r="BX83" s="444"/>
      <c r="BY83" s="444"/>
      <c r="BZ83" s="906"/>
      <c r="CA83" s="5991" t="s">
        <v>3287</v>
      </c>
      <c r="CB83" s="5992"/>
      <c r="CC83" s="463" t="e">
        <f>IF(CA78=0,"",VLOOKUP(CA78,'Tablas Magia'!$D$6:$Z$680,10,FALSE))</f>
        <v>#N/A</v>
      </c>
      <c r="CD83" s="463" t="e">
        <f>IF(CA78=0,"",VLOOKUP(CA78,'Tablas Magia'!$D$6:$Z$680,14,FALSE))</f>
        <v>#N/A</v>
      </c>
      <c r="CE83" s="464" t="e">
        <f>IF(CA78=0,"",VLOOKUP(CA78,'Tablas Magia'!$D$6:$Z$680,18,FALSE))</f>
        <v>#N/A</v>
      </c>
      <c r="CF83" s="5993" t="e">
        <f>IF(CA78=0,"",VLOOKUP(CA78,'Tablas Magia'!$D$6:$Z$680,22,FALSE))</f>
        <v>#N/A</v>
      </c>
      <c r="CG83" s="5994"/>
      <c r="CH83" s="5994"/>
      <c r="CI83" s="5994"/>
      <c r="CJ83" s="5994"/>
      <c r="CK83" s="5994"/>
      <c r="CL83" s="5994"/>
      <c r="CM83" s="5994"/>
      <c r="CN83" s="5994"/>
      <c r="CO83" s="5995"/>
      <c r="CP83" s="450"/>
      <c r="CQ83" s="444"/>
    </row>
    <row r="84" spans="1:95" ht="12" customHeight="1" x14ac:dyDescent="0.2">
      <c r="A84" s="444"/>
      <c r="B84" s="906"/>
      <c r="C84" s="5996" t="e">
        <f>IF(C78=0,"",VLOOKUP(C78,'Tablas Magia'!$D$6:$Z$680,23,FALSE))</f>
        <v>#N/A</v>
      </c>
      <c r="D84" s="5997"/>
      <c r="E84" s="5997"/>
      <c r="F84" s="5997"/>
      <c r="G84" s="5997"/>
      <c r="H84" s="5997"/>
      <c r="I84" s="5997"/>
      <c r="J84" s="5997"/>
      <c r="K84" s="5997"/>
      <c r="L84" s="5997"/>
      <c r="M84" s="5997"/>
      <c r="N84" s="5997"/>
      <c r="O84" s="5997"/>
      <c r="P84" s="5997"/>
      <c r="Q84" s="5998"/>
      <c r="R84" s="450"/>
      <c r="S84" s="444"/>
      <c r="T84" s="444"/>
      <c r="U84" s="906"/>
      <c r="V84" s="5996" t="e">
        <f>IF(V78=0,"",VLOOKUP(V78,'Tablas Magia'!$D$6:$Z$680,23,FALSE))</f>
        <v>#N/A</v>
      </c>
      <c r="W84" s="5997"/>
      <c r="X84" s="5997"/>
      <c r="Y84" s="5997"/>
      <c r="Z84" s="5997"/>
      <c r="AA84" s="5997"/>
      <c r="AB84" s="5997"/>
      <c r="AC84" s="5997"/>
      <c r="AD84" s="5997"/>
      <c r="AE84" s="5997"/>
      <c r="AF84" s="5997"/>
      <c r="AG84" s="5997"/>
      <c r="AH84" s="5997"/>
      <c r="AI84" s="5997"/>
      <c r="AJ84" s="5998"/>
      <c r="AK84" s="450"/>
      <c r="AL84" s="444"/>
      <c r="AM84" s="499"/>
      <c r="AN84" s="906"/>
      <c r="AO84" s="5996" t="e">
        <f>IF(AO78=0,"",VLOOKUP(AO78,'Tablas Magia'!$D$6:$Z$680,23,FALSE))</f>
        <v>#N/A</v>
      </c>
      <c r="AP84" s="5997"/>
      <c r="AQ84" s="5997"/>
      <c r="AR84" s="5997"/>
      <c r="AS84" s="5997"/>
      <c r="AT84" s="5997"/>
      <c r="AU84" s="5997"/>
      <c r="AV84" s="5997"/>
      <c r="AW84" s="5997"/>
      <c r="AX84" s="5997"/>
      <c r="AY84" s="5997"/>
      <c r="AZ84" s="5997"/>
      <c r="BA84" s="5997"/>
      <c r="BB84" s="5997"/>
      <c r="BC84" s="5998"/>
      <c r="BD84" s="450"/>
      <c r="BE84" s="444"/>
      <c r="BF84" s="444"/>
      <c r="BG84" s="906"/>
      <c r="BH84" s="5996" t="e">
        <f>IF(BH78=0,"",VLOOKUP(BH78,'Tablas Magia'!$D$6:$Z$680,23,FALSE))</f>
        <v>#N/A</v>
      </c>
      <c r="BI84" s="5997"/>
      <c r="BJ84" s="5997"/>
      <c r="BK84" s="5997"/>
      <c r="BL84" s="5997"/>
      <c r="BM84" s="5997"/>
      <c r="BN84" s="5997"/>
      <c r="BO84" s="5997"/>
      <c r="BP84" s="5997"/>
      <c r="BQ84" s="5997"/>
      <c r="BR84" s="5997"/>
      <c r="BS84" s="5997"/>
      <c r="BT84" s="5997"/>
      <c r="BU84" s="5997"/>
      <c r="BV84" s="5998"/>
      <c r="BW84" s="450"/>
      <c r="BX84" s="444"/>
      <c r="BY84" s="444"/>
      <c r="BZ84" s="906"/>
      <c r="CA84" s="5996" t="e">
        <f>IF(CA78=0,"",VLOOKUP(CA78,'Tablas Magia'!$D$6:$Z$680,23,FALSE))</f>
        <v>#N/A</v>
      </c>
      <c r="CB84" s="5997"/>
      <c r="CC84" s="5997"/>
      <c r="CD84" s="5997"/>
      <c r="CE84" s="5997"/>
      <c r="CF84" s="5997"/>
      <c r="CG84" s="5997"/>
      <c r="CH84" s="5997"/>
      <c r="CI84" s="5997"/>
      <c r="CJ84" s="5997"/>
      <c r="CK84" s="5997"/>
      <c r="CL84" s="5997"/>
      <c r="CM84" s="5997"/>
      <c r="CN84" s="5997"/>
      <c r="CO84" s="5998"/>
      <c r="CP84" s="450"/>
      <c r="CQ84" s="444"/>
    </row>
    <row r="85" spans="1:95" ht="12" customHeight="1" x14ac:dyDescent="0.2">
      <c r="A85" s="444"/>
      <c r="B85" s="906"/>
      <c r="C85" s="5999"/>
      <c r="D85" s="6000"/>
      <c r="E85" s="6000"/>
      <c r="F85" s="6000"/>
      <c r="G85" s="6000"/>
      <c r="H85" s="6000"/>
      <c r="I85" s="6000"/>
      <c r="J85" s="6000"/>
      <c r="K85" s="6000"/>
      <c r="L85" s="6000"/>
      <c r="M85" s="6000"/>
      <c r="N85" s="6000"/>
      <c r="O85" s="6000"/>
      <c r="P85" s="6000"/>
      <c r="Q85" s="6001"/>
      <c r="R85" s="450"/>
      <c r="S85" s="444"/>
      <c r="T85" s="444"/>
      <c r="U85" s="906"/>
      <c r="V85" s="5999"/>
      <c r="W85" s="6000"/>
      <c r="X85" s="6000"/>
      <c r="Y85" s="6000"/>
      <c r="Z85" s="6000"/>
      <c r="AA85" s="6000"/>
      <c r="AB85" s="6000"/>
      <c r="AC85" s="6000"/>
      <c r="AD85" s="6000"/>
      <c r="AE85" s="6000"/>
      <c r="AF85" s="6000"/>
      <c r="AG85" s="6000"/>
      <c r="AH85" s="6000"/>
      <c r="AI85" s="6000"/>
      <c r="AJ85" s="6001"/>
      <c r="AK85" s="450"/>
      <c r="AL85" s="444"/>
      <c r="AM85" s="499"/>
      <c r="AN85" s="906"/>
      <c r="AO85" s="5999"/>
      <c r="AP85" s="6000"/>
      <c r="AQ85" s="6000"/>
      <c r="AR85" s="6000"/>
      <c r="AS85" s="6000"/>
      <c r="AT85" s="6000"/>
      <c r="AU85" s="6000"/>
      <c r="AV85" s="6000"/>
      <c r="AW85" s="6000"/>
      <c r="AX85" s="6000"/>
      <c r="AY85" s="6000"/>
      <c r="AZ85" s="6000"/>
      <c r="BA85" s="6000"/>
      <c r="BB85" s="6000"/>
      <c r="BC85" s="6001"/>
      <c r="BD85" s="450"/>
      <c r="BE85" s="444"/>
      <c r="BF85" s="444"/>
      <c r="BG85" s="906"/>
      <c r="BH85" s="5999"/>
      <c r="BI85" s="6000"/>
      <c r="BJ85" s="6000"/>
      <c r="BK85" s="6000"/>
      <c r="BL85" s="6000"/>
      <c r="BM85" s="6000"/>
      <c r="BN85" s="6000"/>
      <c r="BO85" s="6000"/>
      <c r="BP85" s="6000"/>
      <c r="BQ85" s="6000"/>
      <c r="BR85" s="6000"/>
      <c r="BS85" s="6000"/>
      <c r="BT85" s="6000"/>
      <c r="BU85" s="6000"/>
      <c r="BV85" s="6001"/>
      <c r="BW85" s="450"/>
      <c r="BX85" s="444"/>
      <c r="BY85" s="444"/>
      <c r="BZ85" s="906"/>
      <c r="CA85" s="5999"/>
      <c r="CB85" s="6000"/>
      <c r="CC85" s="6000"/>
      <c r="CD85" s="6000"/>
      <c r="CE85" s="6000"/>
      <c r="CF85" s="6000"/>
      <c r="CG85" s="6000"/>
      <c r="CH85" s="6000"/>
      <c r="CI85" s="6000"/>
      <c r="CJ85" s="6000"/>
      <c r="CK85" s="6000"/>
      <c r="CL85" s="6000"/>
      <c r="CM85" s="6000"/>
      <c r="CN85" s="6000"/>
      <c r="CO85" s="6001"/>
      <c r="CP85" s="450"/>
      <c r="CQ85" s="444"/>
    </row>
    <row r="86" spans="1:95" ht="12" customHeight="1" x14ac:dyDescent="0.2">
      <c r="A86" s="444"/>
      <c r="B86" s="906"/>
      <c r="C86" s="5999"/>
      <c r="D86" s="6000"/>
      <c r="E86" s="6000"/>
      <c r="F86" s="6000"/>
      <c r="G86" s="6000"/>
      <c r="H86" s="6000"/>
      <c r="I86" s="6000"/>
      <c r="J86" s="6000"/>
      <c r="K86" s="6000"/>
      <c r="L86" s="6000"/>
      <c r="M86" s="6000"/>
      <c r="N86" s="6000"/>
      <c r="O86" s="6000"/>
      <c r="P86" s="6000"/>
      <c r="Q86" s="6001"/>
      <c r="R86" s="450"/>
      <c r="S86" s="444"/>
      <c r="T86" s="444"/>
      <c r="U86" s="906"/>
      <c r="V86" s="5999"/>
      <c r="W86" s="6000"/>
      <c r="X86" s="6000"/>
      <c r="Y86" s="6000"/>
      <c r="Z86" s="6000"/>
      <c r="AA86" s="6000"/>
      <c r="AB86" s="6000"/>
      <c r="AC86" s="6000"/>
      <c r="AD86" s="6000"/>
      <c r="AE86" s="6000"/>
      <c r="AF86" s="6000"/>
      <c r="AG86" s="6000"/>
      <c r="AH86" s="6000"/>
      <c r="AI86" s="6000"/>
      <c r="AJ86" s="6001"/>
      <c r="AK86" s="450"/>
      <c r="AL86" s="444"/>
      <c r="AM86" s="499"/>
      <c r="AN86" s="906"/>
      <c r="AO86" s="5999"/>
      <c r="AP86" s="6000"/>
      <c r="AQ86" s="6000"/>
      <c r="AR86" s="6000"/>
      <c r="AS86" s="6000"/>
      <c r="AT86" s="6000"/>
      <c r="AU86" s="6000"/>
      <c r="AV86" s="6000"/>
      <c r="AW86" s="6000"/>
      <c r="AX86" s="6000"/>
      <c r="AY86" s="6000"/>
      <c r="AZ86" s="6000"/>
      <c r="BA86" s="6000"/>
      <c r="BB86" s="6000"/>
      <c r="BC86" s="6001"/>
      <c r="BD86" s="450"/>
      <c r="BE86" s="444"/>
      <c r="BF86" s="444"/>
      <c r="BG86" s="906"/>
      <c r="BH86" s="5999"/>
      <c r="BI86" s="6000"/>
      <c r="BJ86" s="6000"/>
      <c r="BK86" s="6000"/>
      <c r="BL86" s="6000"/>
      <c r="BM86" s="6000"/>
      <c r="BN86" s="6000"/>
      <c r="BO86" s="6000"/>
      <c r="BP86" s="6000"/>
      <c r="BQ86" s="6000"/>
      <c r="BR86" s="6000"/>
      <c r="BS86" s="6000"/>
      <c r="BT86" s="6000"/>
      <c r="BU86" s="6000"/>
      <c r="BV86" s="6001"/>
      <c r="BW86" s="450"/>
      <c r="BX86" s="444"/>
      <c r="BY86" s="444"/>
      <c r="BZ86" s="906"/>
      <c r="CA86" s="5999"/>
      <c r="CB86" s="6000"/>
      <c r="CC86" s="6000"/>
      <c r="CD86" s="6000"/>
      <c r="CE86" s="6000"/>
      <c r="CF86" s="6000"/>
      <c r="CG86" s="6000"/>
      <c r="CH86" s="6000"/>
      <c r="CI86" s="6000"/>
      <c r="CJ86" s="6000"/>
      <c r="CK86" s="6000"/>
      <c r="CL86" s="6000"/>
      <c r="CM86" s="6000"/>
      <c r="CN86" s="6000"/>
      <c r="CO86" s="6001"/>
      <c r="CP86" s="450"/>
      <c r="CQ86" s="444"/>
    </row>
    <row r="87" spans="1:95" ht="12" customHeight="1" thickBot="1" x14ac:dyDescent="0.25">
      <c r="A87" s="444"/>
      <c r="B87" s="906"/>
      <c r="C87" s="6002"/>
      <c r="D87" s="6003"/>
      <c r="E87" s="6003"/>
      <c r="F87" s="6003"/>
      <c r="G87" s="6003"/>
      <c r="H87" s="6003"/>
      <c r="I87" s="6003"/>
      <c r="J87" s="6003"/>
      <c r="K87" s="6003"/>
      <c r="L87" s="6003"/>
      <c r="M87" s="6003"/>
      <c r="N87" s="6003"/>
      <c r="O87" s="6003"/>
      <c r="P87" s="6003"/>
      <c r="Q87" s="6004"/>
      <c r="R87" s="450"/>
      <c r="S87" s="444"/>
      <c r="T87" s="444"/>
      <c r="U87" s="906"/>
      <c r="V87" s="6002"/>
      <c r="W87" s="6003"/>
      <c r="X87" s="6003"/>
      <c r="Y87" s="6003"/>
      <c r="Z87" s="6003"/>
      <c r="AA87" s="6003"/>
      <c r="AB87" s="6003"/>
      <c r="AC87" s="6003"/>
      <c r="AD87" s="6003"/>
      <c r="AE87" s="6003"/>
      <c r="AF87" s="6003"/>
      <c r="AG87" s="6003"/>
      <c r="AH87" s="6003"/>
      <c r="AI87" s="6003"/>
      <c r="AJ87" s="6004"/>
      <c r="AK87" s="450"/>
      <c r="AL87" s="444"/>
      <c r="AM87" s="499"/>
      <c r="AN87" s="906"/>
      <c r="AO87" s="6002"/>
      <c r="AP87" s="6003"/>
      <c r="AQ87" s="6003"/>
      <c r="AR87" s="6003"/>
      <c r="AS87" s="6003"/>
      <c r="AT87" s="6003"/>
      <c r="AU87" s="6003"/>
      <c r="AV87" s="6003"/>
      <c r="AW87" s="6003"/>
      <c r="AX87" s="6003"/>
      <c r="AY87" s="6003"/>
      <c r="AZ87" s="6003"/>
      <c r="BA87" s="6003"/>
      <c r="BB87" s="6003"/>
      <c r="BC87" s="6004"/>
      <c r="BD87" s="450"/>
      <c r="BE87" s="444"/>
      <c r="BF87" s="444"/>
      <c r="BG87" s="906"/>
      <c r="BH87" s="6002"/>
      <c r="BI87" s="6003"/>
      <c r="BJ87" s="6003"/>
      <c r="BK87" s="6003"/>
      <c r="BL87" s="6003"/>
      <c r="BM87" s="6003"/>
      <c r="BN87" s="6003"/>
      <c r="BO87" s="6003"/>
      <c r="BP87" s="6003"/>
      <c r="BQ87" s="6003"/>
      <c r="BR87" s="6003"/>
      <c r="BS87" s="6003"/>
      <c r="BT87" s="6003"/>
      <c r="BU87" s="6003"/>
      <c r="BV87" s="6004"/>
      <c r="BW87" s="450"/>
      <c r="BX87" s="444"/>
      <c r="BY87" s="444"/>
      <c r="BZ87" s="906"/>
      <c r="CA87" s="6002"/>
      <c r="CB87" s="6003"/>
      <c r="CC87" s="6003"/>
      <c r="CD87" s="6003"/>
      <c r="CE87" s="6003"/>
      <c r="CF87" s="6003"/>
      <c r="CG87" s="6003"/>
      <c r="CH87" s="6003"/>
      <c r="CI87" s="6003"/>
      <c r="CJ87" s="6003"/>
      <c r="CK87" s="6003"/>
      <c r="CL87" s="6003"/>
      <c r="CM87" s="6003"/>
      <c r="CN87" s="6003"/>
      <c r="CO87" s="6004"/>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601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13"/>
      <c r="E89" s="6013"/>
      <c r="F89" s="6013"/>
      <c r="G89" s="6013"/>
      <c r="H89" s="454" t="s">
        <v>1333</v>
      </c>
      <c r="I89" s="455">
        <f>B89</f>
        <v>16</v>
      </c>
      <c r="J89" s="6005" t="s">
        <v>6388</v>
      </c>
      <c r="K89" s="6005"/>
      <c r="L89" s="6005"/>
      <c r="M89" s="5972" t="e">
        <f>IF(C89=0,"",VLOOKUP(C89,'Tablas Magia'!$D$6:$Z$680,2,FALSE))</f>
        <v>#N/A</v>
      </c>
      <c r="N89" s="5972"/>
      <c r="O89" s="1959"/>
      <c r="P89" s="6016" t="str">
        <f>IFERROR(IF(M89="Libre Acceso","Aprendido",IF(IFERROR(VLOOKUP(M89,Místicos!$C$15:$H$25,6,0)&gt;=I89,FALSE),"Aprendido",IF(IFERROR(VLOOKUP(M89,Místicos!$E$15:$H$25,4,0)&gt;=I89,FALSE),"Aprendido",""))),"")</f>
        <v/>
      </c>
      <c r="Q89" s="6017"/>
      <c r="R89" s="450"/>
      <c r="S89" s="444"/>
      <c r="T89" s="444"/>
      <c r="U89" s="906">
        <f>U78+2</f>
        <v>36</v>
      </c>
      <c r="V89" s="601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13"/>
      <c r="X89" s="6013"/>
      <c r="Y89" s="6013"/>
      <c r="Z89" s="6013"/>
      <c r="AA89" s="454" t="s">
        <v>1333</v>
      </c>
      <c r="AB89" s="455">
        <f>U89</f>
        <v>36</v>
      </c>
      <c r="AC89" s="6005" t="s">
        <v>6388</v>
      </c>
      <c r="AD89" s="6005"/>
      <c r="AE89" s="6005"/>
      <c r="AF89" s="5972" t="e">
        <f>IF(V89=0,"",VLOOKUP(V89,'Tablas Magia'!$D$6:$Z$680,2,FALSE))</f>
        <v>#N/A</v>
      </c>
      <c r="AG89" s="5972"/>
      <c r="AH89" s="1959"/>
      <c r="AI89" s="6016" t="str">
        <f>IFERROR(IF(AF89="Libre Acceso","Aprendido",IF(IFERROR(VLOOKUP(AF89,Místicos!$C$15:$H$25,6,0)&gt;=AB89,FALSE),"Aprendido",IF(IFERROR(VLOOKUP(AF89,Místicos!$E$15:$H$25,4,0)&gt;=AB89,FALSE),"Aprendido",""))),"")</f>
        <v/>
      </c>
      <c r="AJ89" s="6017"/>
      <c r="AK89" s="450"/>
      <c r="AL89" s="444"/>
      <c r="AM89" s="499"/>
      <c r="AN89" s="906">
        <f>AN78+2</f>
        <v>56</v>
      </c>
      <c r="AO89" s="601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13"/>
      <c r="AQ89" s="6013"/>
      <c r="AR89" s="6013"/>
      <c r="AS89" s="6013"/>
      <c r="AT89" s="454" t="s">
        <v>1333</v>
      </c>
      <c r="AU89" s="455">
        <f>AN89</f>
        <v>56</v>
      </c>
      <c r="AV89" s="6005" t="s">
        <v>6388</v>
      </c>
      <c r="AW89" s="6005"/>
      <c r="AX89" s="6005"/>
      <c r="AY89" s="5972" t="e">
        <f>IF(AO89=0,"",VLOOKUP(AO89,'Tablas Magia'!$D$6:$Z$680,2,FALSE))</f>
        <v>#N/A</v>
      </c>
      <c r="AZ89" s="5972"/>
      <c r="BA89" s="1959"/>
      <c r="BB89" s="6016" t="str">
        <f>IFERROR(IF(AY89="Libre Acceso","Aprendido",IF(IFERROR(VLOOKUP(AY89,Místicos!$C$15:$H$25,6,0)&gt;=AU89,FALSE),"Aprendido",IF(IFERROR(VLOOKUP(AY89,Místicos!$E$15:$H$25,4,0)&gt;=AU89,FALSE),"Aprendido",""))),"")</f>
        <v/>
      </c>
      <c r="BC89" s="6017"/>
      <c r="BD89" s="450"/>
      <c r="BE89" s="444"/>
      <c r="BF89" s="444"/>
      <c r="BG89" s="906">
        <f>BG78+2</f>
        <v>76</v>
      </c>
      <c r="BH89" s="601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13"/>
      <c r="BJ89" s="6013"/>
      <c r="BK89" s="6013"/>
      <c r="BL89" s="6013"/>
      <c r="BM89" s="454" t="s">
        <v>1333</v>
      </c>
      <c r="BN89" s="455">
        <f>BG89</f>
        <v>76</v>
      </c>
      <c r="BO89" s="6005" t="s">
        <v>6388</v>
      </c>
      <c r="BP89" s="6005"/>
      <c r="BQ89" s="6005"/>
      <c r="BR89" s="5972" t="e">
        <f>IF(BH89=0,"",VLOOKUP(BH89,'Tablas Magia'!$D$6:$Z$680,2,FALSE))</f>
        <v>#N/A</v>
      </c>
      <c r="BS89" s="5972"/>
      <c r="BT89" s="1959"/>
      <c r="BU89" s="6016" t="str">
        <f>IFERROR(IF(BR89="Libre Acceso","Aprendido",IF(IFERROR(VLOOKUP(BR89,Místicos!$C$15:$H$25,6,0)&gt;=BN89,FALSE),"Aprendido",IF(IFERROR(VLOOKUP(BR89,Místicos!$E$15:$H$25,4,0)&gt;=BN89,FALSE),"Aprendido",""))),"")</f>
        <v/>
      </c>
      <c r="BV89" s="6017"/>
      <c r="BW89" s="450"/>
      <c r="BX89" s="444"/>
      <c r="BY89" s="444"/>
      <c r="BZ89" s="906">
        <f>BZ78+2</f>
        <v>96</v>
      </c>
      <c r="CA89" s="601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13"/>
      <c r="CC89" s="6013"/>
      <c r="CD89" s="6013"/>
      <c r="CE89" s="6013"/>
      <c r="CF89" s="454" t="s">
        <v>1333</v>
      </c>
      <c r="CG89" s="455">
        <f>BZ89</f>
        <v>96</v>
      </c>
      <c r="CH89" s="6005" t="s">
        <v>6388</v>
      </c>
      <c r="CI89" s="6005"/>
      <c r="CJ89" s="6005"/>
      <c r="CK89" s="5972" t="e">
        <f>IF(CA89=0,"",VLOOKUP(CA89,'Tablas Magia'!$D$6:$Z$680,2,FALSE))</f>
        <v>#N/A</v>
      </c>
      <c r="CL89" s="5972"/>
      <c r="CM89" s="1959"/>
      <c r="CN89" s="6016" t="str">
        <f>IFERROR(IF(CK89="Libre Acceso","Aprendido",IF(IFERROR(VLOOKUP(CK89,Místicos!$C$15:$H$25,6,0)&gt;=CG89,FALSE),"Aprendido",IF(IFERROR(VLOOKUP(CK89,Místicos!$E$15:$H$25,4,0)&gt;=CG89,FALSE),"Aprendido",""))),"")</f>
        <v/>
      </c>
      <c r="CO89" s="6017"/>
      <c r="CP89" s="450"/>
      <c r="CQ89" s="444"/>
    </row>
    <row r="90" spans="1:95" ht="12" customHeight="1" x14ac:dyDescent="0.2">
      <c r="A90" s="444"/>
      <c r="B90" s="906"/>
      <c r="C90" s="5989" t="s">
        <v>6389</v>
      </c>
      <c r="D90" s="6006"/>
      <c r="E90" s="1972" t="s">
        <v>6390</v>
      </c>
      <c r="F90" s="1972" t="s">
        <v>1517</v>
      </c>
      <c r="G90" s="1972" t="s">
        <v>2914</v>
      </c>
      <c r="H90" s="1973" t="s">
        <v>1845</v>
      </c>
      <c r="I90" s="6007" t="e">
        <f>IF(C89=0,"",VLOOKUP(C89,'Tablas Magia'!$D$6:$Z$680,5,FALSE))</f>
        <v>#N/A</v>
      </c>
      <c r="J90" s="6007"/>
      <c r="K90" s="6018" t="s">
        <v>6391</v>
      </c>
      <c r="L90" s="6018"/>
      <c r="M90" s="6007" t="e">
        <f>IF(C89=0,"",VLOOKUP(C89,'Tablas Magia'!$D$6:$Z$680,6,FALSE))</f>
        <v>#N/A</v>
      </c>
      <c r="N90" s="6007"/>
      <c r="O90" s="6008" t="s">
        <v>6392</v>
      </c>
      <c r="P90" s="6008"/>
      <c r="Q90" s="1974" t="e">
        <f>IF(C89=0,"",VLOOKUP(C89,'Tablas Magia'!$D$6:$Z$680,4,FALSE))</f>
        <v>#N/A</v>
      </c>
      <c r="R90" s="450"/>
      <c r="S90" s="444"/>
      <c r="T90" s="444"/>
      <c r="U90" s="906"/>
      <c r="V90" s="5989" t="s">
        <v>6389</v>
      </c>
      <c r="W90" s="6006"/>
      <c r="X90" s="1972" t="s">
        <v>6390</v>
      </c>
      <c r="Y90" s="1972" t="s">
        <v>1517</v>
      </c>
      <c r="Z90" s="1972" t="s">
        <v>2914</v>
      </c>
      <c r="AA90" s="1973" t="s">
        <v>1845</v>
      </c>
      <c r="AB90" s="6007" t="e">
        <f>IF(V89=0,"",VLOOKUP(V89,'Tablas Magia'!$D$6:$Z$680,5,FALSE))</f>
        <v>#N/A</v>
      </c>
      <c r="AC90" s="6007"/>
      <c r="AD90" s="6018" t="s">
        <v>6391</v>
      </c>
      <c r="AE90" s="6018"/>
      <c r="AF90" s="6007" t="e">
        <f>IF(V89=0,"",VLOOKUP(V89,'Tablas Magia'!$D$6:$Z$680,6,FALSE))</f>
        <v>#N/A</v>
      </c>
      <c r="AG90" s="6007"/>
      <c r="AH90" s="6008" t="s">
        <v>6392</v>
      </c>
      <c r="AI90" s="6008"/>
      <c r="AJ90" s="1974" t="e">
        <f>IF(V89=0,"",VLOOKUP(V89,'Tablas Magia'!$D$6:$Z$680,4,FALSE))</f>
        <v>#N/A</v>
      </c>
      <c r="AK90" s="450"/>
      <c r="AL90" s="444"/>
      <c r="AM90" s="499"/>
      <c r="AN90" s="906"/>
      <c r="AO90" s="5989" t="s">
        <v>6389</v>
      </c>
      <c r="AP90" s="6006"/>
      <c r="AQ90" s="1972" t="s">
        <v>6390</v>
      </c>
      <c r="AR90" s="1972" t="s">
        <v>1517</v>
      </c>
      <c r="AS90" s="1972" t="s">
        <v>2914</v>
      </c>
      <c r="AT90" s="1973" t="s">
        <v>1845</v>
      </c>
      <c r="AU90" s="6007" t="e">
        <f>IF(AO89=0,"",VLOOKUP(AO89,'Tablas Magia'!$D$6:$Z$680,5,FALSE))</f>
        <v>#N/A</v>
      </c>
      <c r="AV90" s="6007"/>
      <c r="AW90" s="6018" t="s">
        <v>6391</v>
      </c>
      <c r="AX90" s="6018"/>
      <c r="AY90" s="6007" t="e">
        <f>IF(AO89=0,"",VLOOKUP(AO89,'Tablas Magia'!$D$6:$Z$680,6,FALSE))</f>
        <v>#N/A</v>
      </c>
      <c r="AZ90" s="6007"/>
      <c r="BA90" s="6008" t="s">
        <v>6392</v>
      </c>
      <c r="BB90" s="6008"/>
      <c r="BC90" s="1974" t="e">
        <f>IF(AO89=0,"",VLOOKUP(AO89,'Tablas Magia'!$D$6:$Z$680,4,FALSE))</f>
        <v>#N/A</v>
      </c>
      <c r="BD90" s="450"/>
      <c r="BE90" s="444"/>
      <c r="BF90" s="444"/>
      <c r="BG90" s="906"/>
      <c r="BH90" s="5989" t="s">
        <v>6389</v>
      </c>
      <c r="BI90" s="6006"/>
      <c r="BJ90" s="1972" t="s">
        <v>6390</v>
      </c>
      <c r="BK90" s="1972" t="s">
        <v>1517</v>
      </c>
      <c r="BL90" s="1972" t="s">
        <v>2914</v>
      </c>
      <c r="BM90" s="1973" t="s">
        <v>1845</v>
      </c>
      <c r="BN90" s="6007" t="e">
        <f>IF(BH89=0,"",VLOOKUP(BH89,'Tablas Magia'!$D$6:$Z$680,5,FALSE))</f>
        <v>#N/A</v>
      </c>
      <c r="BO90" s="6007"/>
      <c r="BP90" s="6018" t="s">
        <v>6391</v>
      </c>
      <c r="BQ90" s="6018"/>
      <c r="BR90" s="6007" t="e">
        <f>IF(BH89=0,"",VLOOKUP(BH89,'Tablas Magia'!$D$6:$Z$680,6,FALSE))</f>
        <v>#N/A</v>
      </c>
      <c r="BS90" s="6007"/>
      <c r="BT90" s="6008" t="s">
        <v>6392</v>
      </c>
      <c r="BU90" s="6008"/>
      <c r="BV90" s="1974" t="e">
        <f>IF(BH89=0,"",VLOOKUP(BH89,'Tablas Magia'!$D$6:$Z$680,4,FALSE))</f>
        <v>#N/A</v>
      </c>
      <c r="BW90" s="450"/>
      <c r="BX90" s="444"/>
      <c r="BY90" s="444"/>
      <c r="BZ90" s="906"/>
      <c r="CA90" s="5989" t="s">
        <v>6389</v>
      </c>
      <c r="CB90" s="6006"/>
      <c r="CC90" s="1972" t="s">
        <v>6390</v>
      </c>
      <c r="CD90" s="1972" t="s">
        <v>1517</v>
      </c>
      <c r="CE90" s="1972" t="s">
        <v>2914</v>
      </c>
      <c r="CF90" s="1973" t="s">
        <v>1845</v>
      </c>
      <c r="CG90" s="6007" t="e">
        <f>IF(CA89=0,"",VLOOKUP(CA89,'Tablas Magia'!$D$6:$Z$680,5,FALSE))</f>
        <v>#N/A</v>
      </c>
      <c r="CH90" s="6007"/>
      <c r="CI90" s="6018" t="s">
        <v>6391</v>
      </c>
      <c r="CJ90" s="6018"/>
      <c r="CK90" s="6007" t="e">
        <f>IF(CA89=0,"",VLOOKUP(CA89,'Tablas Magia'!$D$6:$Z$680,6,FALSE))</f>
        <v>#N/A</v>
      </c>
      <c r="CL90" s="6007"/>
      <c r="CM90" s="6008" t="s">
        <v>6392</v>
      </c>
      <c r="CN90" s="6008"/>
      <c r="CO90" s="1974" t="e">
        <f>IF(CA89=0,"",VLOOKUP(CA89,'Tablas Magia'!$D$6:$Z$680,4,FALSE))</f>
        <v>#N/A</v>
      </c>
      <c r="CP90" s="450"/>
      <c r="CQ90" s="444"/>
    </row>
    <row r="91" spans="1:95" ht="12" customHeight="1" x14ac:dyDescent="0.2">
      <c r="A91" s="444"/>
      <c r="B91" s="906"/>
      <c r="C91" s="5981" t="s">
        <v>1373</v>
      </c>
      <c r="D91" s="5982"/>
      <c r="E91" s="459" t="e">
        <f>IF(C89=0,"",VLOOKUP(C89,'Tablas Magia'!$D$6:$Z$680,7,FALSE))</f>
        <v>#N/A</v>
      </c>
      <c r="F91" s="459" t="e">
        <f>IF(C89=0,"",VLOOKUP(C89,'Tablas Magia'!$D$6:$Z$680,11,FALSE))</f>
        <v>#N/A</v>
      </c>
      <c r="G91" s="460" t="e">
        <f>IF(C89=0,"",VLOOKUP(C89,'Tablas Magia'!$D$6:$Z$680,15,FALSE))</f>
        <v>#N/A</v>
      </c>
      <c r="H91" s="5983" t="e">
        <f>IF(C89=0,"",VLOOKUP(C89,'Tablas Magia'!$D$6:$Z$680,19,FALSE))</f>
        <v>#N/A</v>
      </c>
      <c r="I91" s="5984"/>
      <c r="J91" s="5984"/>
      <c r="K91" s="5984"/>
      <c r="L91" s="5984"/>
      <c r="M91" s="5984"/>
      <c r="N91" s="5984"/>
      <c r="O91" s="5984"/>
      <c r="P91" s="5984"/>
      <c r="Q91" s="5985"/>
      <c r="R91" s="450"/>
      <c r="S91" s="444"/>
      <c r="T91" s="444"/>
      <c r="U91" s="906"/>
      <c r="V91" s="5981" t="s">
        <v>1373</v>
      </c>
      <c r="W91" s="5982"/>
      <c r="X91" s="459" t="e">
        <f>IF(V89=0,"",VLOOKUP(V89,'Tablas Magia'!$D$6:$Z$680,7,FALSE))</f>
        <v>#N/A</v>
      </c>
      <c r="Y91" s="459" t="e">
        <f>IF(V89=0,"",VLOOKUP(V89,'Tablas Magia'!$D$6:$Z$680,11,FALSE))</f>
        <v>#N/A</v>
      </c>
      <c r="Z91" s="460" t="e">
        <f>IF(V89=0,"",VLOOKUP(V89,'Tablas Magia'!$D$6:$Z$680,15,FALSE))</f>
        <v>#N/A</v>
      </c>
      <c r="AA91" s="5983" t="e">
        <f>IF(V89=0,"",VLOOKUP(V89,'Tablas Magia'!$D$6:$Z$680,19,FALSE))</f>
        <v>#N/A</v>
      </c>
      <c r="AB91" s="5984"/>
      <c r="AC91" s="5984"/>
      <c r="AD91" s="5984"/>
      <c r="AE91" s="5984"/>
      <c r="AF91" s="5984"/>
      <c r="AG91" s="5984"/>
      <c r="AH91" s="5984"/>
      <c r="AI91" s="5984"/>
      <c r="AJ91" s="5985"/>
      <c r="AK91" s="450"/>
      <c r="AL91" s="444"/>
      <c r="AM91" s="499"/>
      <c r="AN91" s="906"/>
      <c r="AO91" s="5981" t="s">
        <v>1373</v>
      </c>
      <c r="AP91" s="5982"/>
      <c r="AQ91" s="459" t="e">
        <f>IF(AO89=0,"",VLOOKUP(AO89,'Tablas Magia'!$D$6:$Z$680,7,FALSE))</f>
        <v>#N/A</v>
      </c>
      <c r="AR91" s="459" t="e">
        <f>IF(AO89=0,"",VLOOKUP(AO89,'Tablas Magia'!$D$6:$Z$680,11,FALSE))</f>
        <v>#N/A</v>
      </c>
      <c r="AS91" s="460" t="e">
        <f>IF(AO89=0,"",VLOOKUP(AO89,'Tablas Magia'!$D$6:$Z$680,15,FALSE))</f>
        <v>#N/A</v>
      </c>
      <c r="AT91" s="5983" t="e">
        <f>IF(AO89=0,"",VLOOKUP(AO89,'Tablas Magia'!$D$6:$Z$680,19,FALSE))</f>
        <v>#N/A</v>
      </c>
      <c r="AU91" s="5984"/>
      <c r="AV91" s="5984"/>
      <c r="AW91" s="5984"/>
      <c r="AX91" s="5984"/>
      <c r="AY91" s="5984"/>
      <c r="AZ91" s="5984"/>
      <c r="BA91" s="5984"/>
      <c r="BB91" s="5984"/>
      <c r="BC91" s="5985"/>
      <c r="BD91" s="450"/>
      <c r="BE91" s="444"/>
      <c r="BF91" s="444"/>
      <c r="BG91" s="906"/>
      <c r="BH91" s="5981" t="s">
        <v>1373</v>
      </c>
      <c r="BI91" s="5982"/>
      <c r="BJ91" s="459" t="e">
        <f>IF(BH89=0,"",VLOOKUP(BH89,'Tablas Magia'!$D$6:$Z$680,7,FALSE))</f>
        <v>#N/A</v>
      </c>
      <c r="BK91" s="459" t="e">
        <f>IF(BH89=0,"",VLOOKUP(BH89,'Tablas Magia'!$D$6:$Z$680,11,FALSE))</f>
        <v>#N/A</v>
      </c>
      <c r="BL91" s="460" t="e">
        <f>IF(BH89=0,"",VLOOKUP(BH89,'Tablas Magia'!$D$6:$Z$680,15,FALSE))</f>
        <v>#N/A</v>
      </c>
      <c r="BM91" s="5983" t="e">
        <f>IF(BH89=0,"",VLOOKUP(BH89,'Tablas Magia'!$D$6:$Z$680,19,FALSE))</f>
        <v>#N/A</v>
      </c>
      <c r="BN91" s="5984"/>
      <c r="BO91" s="5984"/>
      <c r="BP91" s="5984"/>
      <c r="BQ91" s="5984"/>
      <c r="BR91" s="5984"/>
      <c r="BS91" s="5984"/>
      <c r="BT91" s="5984"/>
      <c r="BU91" s="5984"/>
      <c r="BV91" s="5985"/>
      <c r="BW91" s="450"/>
      <c r="BX91" s="444"/>
      <c r="BY91" s="444"/>
      <c r="BZ91" s="906"/>
      <c r="CA91" s="5981" t="s">
        <v>1373</v>
      </c>
      <c r="CB91" s="5982"/>
      <c r="CC91" s="459" t="e">
        <f>IF(CA89=0,"",VLOOKUP(CA89,'Tablas Magia'!$D$6:$Z$680,7,FALSE))</f>
        <v>#N/A</v>
      </c>
      <c r="CD91" s="459" t="e">
        <f>IF(CA89=0,"",VLOOKUP(CA89,'Tablas Magia'!$D$6:$Z$680,11,FALSE))</f>
        <v>#N/A</v>
      </c>
      <c r="CE91" s="460" t="e">
        <f>IF(CA89=0,"",VLOOKUP(CA89,'Tablas Magia'!$D$6:$Z$680,15,FALSE))</f>
        <v>#N/A</v>
      </c>
      <c r="CF91" s="5983" t="e">
        <f>IF(CA89=0,"",VLOOKUP(CA89,'Tablas Magia'!$D$6:$Z$680,19,FALSE))</f>
        <v>#N/A</v>
      </c>
      <c r="CG91" s="5984"/>
      <c r="CH91" s="5984"/>
      <c r="CI91" s="5984"/>
      <c r="CJ91" s="5984"/>
      <c r="CK91" s="5984"/>
      <c r="CL91" s="5984"/>
      <c r="CM91" s="5984"/>
      <c r="CN91" s="5984"/>
      <c r="CO91" s="5985"/>
      <c r="CP91" s="450"/>
      <c r="CQ91" s="444"/>
    </row>
    <row r="92" spans="1:95" ht="12" customHeight="1" x14ac:dyDescent="0.2">
      <c r="A92" s="444"/>
      <c r="B92" s="906"/>
      <c r="C92" s="5976" t="s">
        <v>3285</v>
      </c>
      <c r="D92" s="5977"/>
      <c r="E92" s="461" t="e">
        <f>IF(C89=0,"",VLOOKUP(C89,'Tablas Magia'!$D$6:$Z$680,8,FALSE))</f>
        <v>#N/A</v>
      </c>
      <c r="F92" s="461" t="e">
        <f>IF(C89=0,"",VLOOKUP(C89,'Tablas Magia'!$D$6:$Z$680,12,FALSE))</f>
        <v>#N/A</v>
      </c>
      <c r="G92" s="462" t="e">
        <f>IF(C89=0,"",VLOOKUP(C89,'Tablas Magia'!$D$6:$Z$680,16,FALSE))</f>
        <v>#N/A</v>
      </c>
      <c r="H92" s="5978" t="e">
        <f>IF(C89=0,"",VLOOKUP(C89,'Tablas Magia'!$D$6:$Z$680,20,FALSE))</f>
        <v>#N/A</v>
      </c>
      <c r="I92" s="5979"/>
      <c r="J92" s="5979"/>
      <c r="K92" s="5979"/>
      <c r="L92" s="5979"/>
      <c r="M92" s="5979"/>
      <c r="N92" s="5979"/>
      <c r="O92" s="5979"/>
      <c r="P92" s="5979"/>
      <c r="Q92" s="5980"/>
      <c r="R92" s="450"/>
      <c r="S92" s="444"/>
      <c r="T92" s="444"/>
      <c r="U92" s="906"/>
      <c r="V92" s="5976" t="s">
        <v>3285</v>
      </c>
      <c r="W92" s="5977"/>
      <c r="X92" s="461" t="e">
        <f>IF(V89=0,"",VLOOKUP(V89,'Tablas Magia'!$D$6:$Z$680,8,FALSE))</f>
        <v>#N/A</v>
      </c>
      <c r="Y92" s="461" t="e">
        <f>IF(V89=0,"",VLOOKUP(V89,'Tablas Magia'!$D$6:$Z$680,12,FALSE))</f>
        <v>#N/A</v>
      </c>
      <c r="Z92" s="462" t="e">
        <f>IF(V89=0,"",VLOOKUP(V89,'Tablas Magia'!$D$6:$Z$680,16,FALSE))</f>
        <v>#N/A</v>
      </c>
      <c r="AA92" s="5978" t="e">
        <f>IF(V89=0,"",VLOOKUP(V89,'Tablas Magia'!$D$6:$Z$680,20,FALSE))</f>
        <v>#N/A</v>
      </c>
      <c r="AB92" s="5979"/>
      <c r="AC92" s="5979"/>
      <c r="AD92" s="5979"/>
      <c r="AE92" s="5979"/>
      <c r="AF92" s="5979"/>
      <c r="AG92" s="5979"/>
      <c r="AH92" s="5979"/>
      <c r="AI92" s="5979"/>
      <c r="AJ92" s="5980"/>
      <c r="AK92" s="450"/>
      <c r="AL92" s="444"/>
      <c r="AM92" s="499"/>
      <c r="AN92" s="906"/>
      <c r="AO92" s="5976" t="s">
        <v>3285</v>
      </c>
      <c r="AP92" s="5977"/>
      <c r="AQ92" s="461" t="e">
        <f>IF(AO89=0,"",VLOOKUP(AO89,'Tablas Magia'!$D$6:$Z$680,8,FALSE))</f>
        <v>#N/A</v>
      </c>
      <c r="AR92" s="461" t="e">
        <f>IF(AO89=0,"",VLOOKUP(AO89,'Tablas Magia'!$D$6:$Z$680,12,FALSE))</f>
        <v>#N/A</v>
      </c>
      <c r="AS92" s="462" t="e">
        <f>IF(AO89=0,"",VLOOKUP(AO89,'Tablas Magia'!$D$6:$Z$680,16,FALSE))</f>
        <v>#N/A</v>
      </c>
      <c r="AT92" s="5978" t="e">
        <f>IF(AO89=0,"",VLOOKUP(AO89,'Tablas Magia'!$D$6:$Z$680,20,FALSE))</f>
        <v>#N/A</v>
      </c>
      <c r="AU92" s="5979"/>
      <c r="AV92" s="5979"/>
      <c r="AW92" s="5979"/>
      <c r="AX92" s="5979"/>
      <c r="AY92" s="5979"/>
      <c r="AZ92" s="5979"/>
      <c r="BA92" s="5979"/>
      <c r="BB92" s="5979"/>
      <c r="BC92" s="5980"/>
      <c r="BD92" s="450"/>
      <c r="BE92" s="444"/>
      <c r="BF92" s="444"/>
      <c r="BG92" s="906"/>
      <c r="BH92" s="5976" t="s">
        <v>3285</v>
      </c>
      <c r="BI92" s="5977"/>
      <c r="BJ92" s="461" t="e">
        <f>IF(BH89=0,"",VLOOKUP(BH89,'Tablas Magia'!$D$6:$Z$680,8,FALSE))</f>
        <v>#N/A</v>
      </c>
      <c r="BK92" s="461" t="e">
        <f>IF(BH89=0,"",VLOOKUP(BH89,'Tablas Magia'!$D$6:$Z$680,12,FALSE))</f>
        <v>#N/A</v>
      </c>
      <c r="BL92" s="462" t="e">
        <f>IF(BH89=0,"",VLOOKUP(BH89,'Tablas Magia'!$D$6:$Z$680,16,FALSE))</f>
        <v>#N/A</v>
      </c>
      <c r="BM92" s="5978" t="e">
        <f>IF(BH89=0,"",VLOOKUP(BH89,'Tablas Magia'!$D$6:$Z$680,20,FALSE))</f>
        <v>#N/A</v>
      </c>
      <c r="BN92" s="5979"/>
      <c r="BO92" s="5979"/>
      <c r="BP92" s="5979"/>
      <c r="BQ92" s="5979"/>
      <c r="BR92" s="5979"/>
      <c r="BS92" s="5979"/>
      <c r="BT92" s="5979"/>
      <c r="BU92" s="5979"/>
      <c r="BV92" s="5980"/>
      <c r="BW92" s="450"/>
      <c r="BX92" s="444"/>
      <c r="BY92" s="444"/>
      <c r="BZ92" s="906"/>
      <c r="CA92" s="5976" t="s">
        <v>3285</v>
      </c>
      <c r="CB92" s="5977"/>
      <c r="CC92" s="461" t="e">
        <f>IF(CA89=0,"",VLOOKUP(CA89,'Tablas Magia'!$D$6:$Z$680,8,FALSE))</f>
        <v>#N/A</v>
      </c>
      <c r="CD92" s="461" t="e">
        <f>IF(CA89=0,"",VLOOKUP(CA89,'Tablas Magia'!$D$6:$Z$680,12,FALSE))</f>
        <v>#N/A</v>
      </c>
      <c r="CE92" s="462" t="e">
        <f>IF(CA89=0,"",VLOOKUP(CA89,'Tablas Magia'!$D$6:$Z$680,16,FALSE))</f>
        <v>#N/A</v>
      </c>
      <c r="CF92" s="5978" t="e">
        <f>IF(CA89=0,"",VLOOKUP(CA89,'Tablas Magia'!$D$6:$Z$680,20,FALSE))</f>
        <v>#N/A</v>
      </c>
      <c r="CG92" s="5979"/>
      <c r="CH92" s="5979"/>
      <c r="CI92" s="5979"/>
      <c r="CJ92" s="5979"/>
      <c r="CK92" s="5979"/>
      <c r="CL92" s="5979"/>
      <c r="CM92" s="5979"/>
      <c r="CN92" s="5979"/>
      <c r="CO92" s="5980"/>
      <c r="CP92" s="450"/>
      <c r="CQ92" s="444"/>
    </row>
    <row r="93" spans="1:95" ht="12" customHeight="1" x14ac:dyDescent="0.2">
      <c r="A93" s="444"/>
      <c r="B93" s="906"/>
      <c r="C93" s="5981" t="s">
        <v>3286</v>
      </c>
      <c r="D93" s="5982"/>
      <c r="E93" s="459" t="e">
        <f>IF(C89=0,"",VLOOKUP(C89,'Tablas Magia'!$D$6:$Z$680,9,FALSE))</f>
        <v>#N/A</v>
      </c>
      <c r="F93" s="459" t="e">
        <f>IF(C89=0,"",VLOOKUP(C89,'Tablas Magia'!$D$6:$Z$680,13,FALSE))</f>
        <v>#N/A</v>
      </c>
      <c r="G93" s="460" t="e">
        <f>IF(C89=0,"",VLOOKUP(C89,'Tablas Magia'!$D$6:$Z$680,17,FALSE))</f>
        <v>#N/A</v>
      </c>
      <c r="H93" s="5983" t="e">
        <f>IF(C89=0,"",VLOOKUP(C89,'Tablas Magia'!$D$6:$Z$680,21,FALSE))</f>
        <v>#N/A</v>
      </c>
      <c r="I93" s="5984"/>
      <c r="J93" s="5984"/>
      <c r="K93" s="5984"/>
      <c r="L93" s="5984"/>
      <c r="M93" s="5984"/>
      <c r="N93" s="5984"/>
      <c r="O93" s="5984"/>
      <c r="P93" s="5984"/>
      <c r="Q93" s="5985"/>
      <c r="R93" s="450"/>
      <c r="S93" s="444"/>
      <c r="T93" s="444"/>
      <c r="U93" s="906"/>
      <c r="V93" s="5981" t="s">
        <v>3286</v>
      </c>
      <c r="W93" s="5982"/>
      <c r="X93" s="459" t="e">
        <f>IF(V89=0,"",VLOOKUP(V89,'Tablas Magia'!$D$6:$Z$680,9,FALSE))</f>
        <v>#N/A</v>
      </c>
      <c r="Y93" s="459" t="e">
        <f>IF(V89=0,"",VLOOKUP(V89,'Tablas Magia'!$D$6:$Z$680,13,FALSE))</f>
        <v>#N/A</v>
      </c>
      <c r="Z93" s="460" t="e">
        <f>IF(V89=0,"",VLOOKUP(V89,'Tablas Magia'!$D$6:$Z$680,17,FALSE))</f>
        <v>#N/A</v>
      </c>
      <c r="AA93" s="5983" t="e">
        <f>IF(V89=0,"",VLOOKUP(V89,'Tablas Magia'!$D$6:$Z$680,21,FALSE))</f>
        <v>#N/A</v>
      </c>
      <c r="AB93" s="5984"/>
      <c r="AC93" s="5984"/>
      <c r="AD93" s="5984"/>
      <c r="AE93" s="5984"/>
      <c r="AF93" s="5984"/>
      <c r="AG93" s="5984"/>
      <c r="AH93" s="5984"/>
      <c r="AI93" s="5984"/>
      <c r="AJ93" s="5985"/>
      <c r="AK93" s="450"/>
      <c r="AL93" s="444"/>
      <c r="AM93" s="499"/>
      <c r="AN93" s="906"/>
      <c r="AO93" s="5981" t="s">
        <v>3286</v>
      </c>
      <c r="AP93" s="5982"/>
      <c r="AQ93" s="459" t="e">
        <f>IF(AO89=0,"",VLOOKUP(AO89,'Tablas Magia'!$D$6:$Z$680,9,FALSE))</f>
        <v>#N/A</v>
      </c>
      <c r="AR93" s="459" t="e">
        <f>IF(AO89=0,"",VLOOKUP(AO89,'Tablas Magia'!$D$6:$Z$680,13,FALSE))</f>
        <v>#N/A</v>
      </c>
      <c r="AS93" s="460" t="e">
        <f>IF(AO89=0,"",VLOOKUP(AO89,'Tablas Magia'!$D$6:$Z$680,17,FALSE))</f>
        <v>#N/A</v>
      </c>
      <c r="AT93" s="5983" t="e">
        <f>IF(AO89=0,"",VLOOKUP(AO89,'Tablas Magia'!$D$6:$Z$680,21,FALSE))</f>
        <v>#N/A</v>
      </c>
      <c r="AU93" s="5984"/>
      <c r="AV93" s="5984"/>
      <c r="AW93" s="5984"/>
      <c r="AX93" s="5984"/>
      <c r="AY93" s="5984"/>
      <c r="AZ93" s="5984"/>
      <c r="BA93" s="5984"/>
      <c r="BB93" s="5984"/>
      <c r="BC93" s="5985"/>
      <c r="BD93" s="450"/>
      <c r="BE93" s="444"/>
      <c r="BF93" s="444"/>
      <c r="BG93" s="906"/>
      <c r="BH93" s="5981" t="s">
        <v>3286</v>
      </c>
      <c r="BI93" s="5982"/>
      <c r="BJ93" s="459" t="e">
        <f>IF(BH89=0,"",VLOOKUP(BH89,'Tablas Magia'!$D$6:$Z$680,9,FALSE))</f>
        <v>#N/A</v>
      </c>
      <c r="BK93" s="459" t="e">
        <f>IF(BH89=0,"",VLOOKUP(BH89,'Tablas Magia'!$D$6:$Z$680,13,FALSE))</f>
        <v>#N/A</v>
      </c>
      <c r="BL93" s="460" t="e">
        <f>IF(BH89=0,"",VLOOKUP(BH89,'Tablas Magia'!$D$6:$Z$680,17,FALSE))</f>
        <v>#N/A</v>
      </c>
      <c r="BM93" s="5983" t="e">
        <f>IF(BH89=0,"",VLOOKUP(BH89,'Tablas Magia'!$D$6:$Z$680,21,FALSE))</f>
        <v>#N/A</v>
      </c>
      <c r="BN93" s="5984"/>
      <c r="BO93" s="5984"/>
      <c r="BP93" s="5984"/>
      <c r="BQ93" s="5984"/>
      <c r="BR93" s="5984"/>
      <c r="BS93" s="5984"/>
      <c r="BT93" s="5984"/>
      <c r="BU93" s="5984"/>
      <c r="BV93" s="5985"/>
      <c r="BW93" s="450"/>
      <c r="BX93" s="444"/>
      <c r="BY93" s="444"/>
      <c r="BZ93" s="906"/>
      <c r="CA93" s="5981" t="s">
        <v>3286</v>
      </c>
      <c r="CB93" s="5982"/>
      <c r="CC93" s="459" t="e">
        <f>IF(CA89=0,"",VLOOKUP(CA89,'Tablas Magia'!$D$6:$Z$680,9,FALSE))</f>
        <v>#N/A</v>
      </c>
      <c r="CD93" s="459" t="e">
        <f>IF(CA89=0,"",VLOOKUP(CA89,'Tablas Magia'!$D$6:$Z$680,13,FALSE))</f>
        <v>#N/A</v>
      </c>
      <c r="CE93" s="460" t="e">
        <f>IF(CA89=0,"",VLOOKUP(CA89,'Tablas Magia'!$D$6:$Z$680,17,FALSE))</f>
        <v>#N/A</v>
      </c>
      <c r="CF93" s="5983" t="e">
        <f>IF(CA89=0,"",VLOOKUP(CA89,'Tablas Magia'!$D$6:$Z$680,21,FALSE))</f>
        <v>#N/A</v>
      </c>
      <c r="CG93" s="5984"/>
      <c r="CH93" s="5984"/>
      <c r="CI93" s="5984"/>
      <c r="CJ93" s="5984"/>
      <c r="CK93" s="5984"/>
      <c r="CL93" s="5984"/>
      <c r="CM93" s="5984"/>
      <c r="CN93" s="5984"/>
      <c r="CO93" s="5985"/>
      <c r="CP93" s="450"/>
      <c r="CQ93" s="444"/>
    </row>
    <row r="94" spans="1:95" ht="12" customHeight="1" thickBot="1" x14ac:dyDescent="0.25">
      <c r="A94" s="444"/>
      <c r="B94" s="906"/>
      <c r="C94" s="5991" t="s">
        <v>3287</v>
      </c>
      <c r="D94" s="5992"/>
      <c r="E94" s="463" t="e">
        <f>IF(C89=0,"",VLOOKUP(C89,'Tablas Magia'!$D$6:$Z$680,10,FALSE))</f>
        <v>#N/A</v>
      </c>
      <c r="F94" s="463" t="e">
        <f>IF(C89=0,"",VLOOKUP(C89,'Tablas Magia'!$D$6:$Z$680,14,FALSE))</f>
        <v>#N/A</v>
      </c>
      <c r="G94" s="464" t="e">
        <f>IF(C89=0,"",VLOOKUP(C89,'Tablas Magia'!$D$6:$Z$680,18,FALSE))</f>
        <v>#N/A</v>
      </c>
      <c r="H94" s="5993" t="e">
        <f>IF(C89=0,"",VLOOKUP(C89,'Tablas Magia'!$D$6:$Z$680,22,FALSE))</f>
        <v>#N/A</v>
      </c>
      <c r="I94" s="5994"/>
      <c r="J94" s="5994"/>
      <c r="K94" s="5994"/>
      <c r="L94" s="5994"/>
      <c r="M94" s="5994"/>
      <c r="N94" s="5994"/>
      <c r="O94" s="5994"/>
      <c r="P94" s="5994"/>
      <c r="Q94" s="5995"/>
      <c r="R94" s="450"/>
      <c r="S94" s="444"/>
      <c r="T94" s="444"/>
      <c r="U94" s="906"/>
      <c r="V94" s="5991" t="s">
        <v>3287</v>
      </c>
      <c r="W94" s="5992"/>
      <c r="X94" s="463" t="e">
        <f>IF(V89=0,"",VLOOKUP(V89,'Tablas Magia'!$D$6:$Z$680,10,FALSE))</f>
        <v>#N/A</v>
      </c>
      <c r="Y94" s="463" t="e">
        <f>IF(V89=0,"",VLOOKUP(V89,'Tablas Magia'!$D$6:$Z$680,14,FALSE))</f>
        <v>#N/A</v>
      </c>
      <c r="Z94" s="464" t="e">
        <f>IF(V89=0,"",VLOOKUP(V89,'Tablas Magia'!$D$6:$Z$680,18,FALSE))</f>
        <v>#N/A</v>
      </c>
      <c r="AA94" s="5993" t="e">
        <f>IF(V89=0,"",VLOOKUP(V89,'Tablas Magia'!$D$6:$Z$680,22,FALSE))</f>
        <v>#N/A</v>
      </c>
      <c r="AB94" s="5994"/>
      <c r="AC94" s="5994"/>
      <c r="AD94" s="5994"/>
      <c r="AE94" s="5994"/>
      <c r="AF94" s="5994"/>
      <c r="AG94" s="5994"/>
      <c r="AH94" s="5994"/>
      <c r="AI94" s="5994"/>
      <c r="AJ94" s="5995"/>
      <c r="AK94" s="450"/>
      <c r="AL94" s="444"/>
      <c r="AM94" s="499"/>
      <c r="AN94" s="906"/>
      <c r="AO94" s="5991" t="s">
        <v>3287</v>
      </c>
      <c r="AP94" s="5992"/>
      <c r="AQ94" s="463" t="e">
        <f>IF(AO89=0,"",VLOOKUP(AO89,'Tablas Magia'!$D$6:$Z$680,10,FALSE))</f>
        <v>#N/A</v>
      </c>
      <c r="AR94" s="463" t="e">
        <f>IF(AO89=0,"",VLOOKUP(AO89,'Tablas Magia'!$D$6:$Z$680,14,FALSE))</f>
        <v>#N/A</v>
      </c>
      <c r="AS94" s="464" t="e">
        <f>IF(AO89=0,"",VLOOKUP(AO89,'Tablas Magia'!$D$6:$Z$680,18,FALSE))</f>
        <v>#N/A</v>
      </c>
      <c r="AT94" s="5993" t="e">
        <f>IF(AO89=0,"",VLOOKUP(AO89,'Tablas Magia'!$D$6:$Z$680,22,FALSE))</f>
        <v>#N/A</v>
      </c>
      <c r="AU94" s="5994"/>
      <c r="AV94" s="5994"/>
      <c r="AW94" s="5994"/>
      <c r="AX94" s="5994"/>
      <c r="AY94" s="5994"/>
      <c r="AZ94" s="5994"/>
      <c r="BA94" s="5994"/>
      <c r="BB94" s="5994"/>
      <c r="BC94" s="5995"/>
      <c r="BD94" s="450"/>
      <c r="BE94" s="444"/>
      <c r="BF94" s="444"/>
      <c r="BG94" s="906"/>
      <c r="BH94" s="5991" t="s">
        <v>3287</v>
      </c>
      <c r="BI94" s="5992"/>
      <c r="BJ94" s="463" t="e">
        <f>IF(BH89=0,"",VLOOKUP(BH89,'Tablas Magia'!$D$6:$Z$680,10,FALSE))</f>
        <v>#N/A</v>
      </c>
      <c r="BK94" s="463" t="e">
        <f>IF(BH89=0,"",VLOOKUP(BH89,'Tablas Magia'!$D$6:$Z$680,14,FALSE))</f>
        <v>#N/A</v>
      </c>
      <c r="BL94" s="464" t="e">
        <f>IF(BH89=0,"",VLOOKUP(BH89,'Tablas Magia'!$D$6:$Z$680,18,FALSE))</f>
        <v>#N/A</v>
      </c>
      <c r="BM94" s="5993" t="e">
        <f>IF(BH89=0,"",VLOOKUP(BH89,'Tablas Magia'!$D$6:$Z$680,22,FALSE))</f>
        <v>#N/A</v>
      </c>
      <c r="BN94" s="5994"/>
      <c r="BO94" s="5994"/>
      <c r="BP94" s="5994"/>
      <c r="BQ94" s="5994"/>
      <c r="BR94" s="5994"/>
      <c r="BS94" s="5994"/>
      <c r="BT94" s="5994"/>
      <c r="BU94" s="5994"/>
      <c r="BV94" s="5995"/>
      <c r="BW94" s="450"/>
      <c r="BX94" s="444"/>
      <c r="BY94" s="444"/>
      <c r="BZ94" s="906"/>
      <c r="CA94" s="5991" t="s">
        <v>3287</v>
      </c>
      <c r="CB94" s="5992"/>
      <c r="CC94" s="463" t="e">
        <f>IF(CA89=0,"",VLOOKUP(CA89,'Tablas Magia'!$D$6:$Z$680,10,FALSE))</f>
        <v>#N/A</v>
      </c>
      <c r="CD94" s="463" t="e">
        <f>IF(CA89=0,"",VLOOKUP(CA89,'Tablas Magia'!$D$6:$Z$680,14,FALSE))</f>
        <v>#N/A</v>
      </c>
      <c r="CE94" s="464" t="e">
        <f>IF(CA89=0,"",VLOOKUP(CA89,'Tablas Magia'!$D$6:$Z$680,18,FALSE))</f>
        <v>#N/A</v>
      </c>
      <c r="CF94" s="5993" t="e">
        <f>IF(CA89=0,"",VLOOKUP(CA89,'Tablas Magia'!$D$6:$Z$680,22,FALSE))</f>
        <v>#N/A</v>
      </c>
      <c r="CG94" s="5994"/>
      <c r="CH94" s="5994"/>
      <c r="CI94" s="5994"/>
      <c r="CJ94" s="5994"/>
      <c r="CK94" s="5994"/>
      <c r="CL94" s="5994"/>
      <c r="CM94" s="5994"/>
      <c r="CN94" s="5994"/>
      <c r="CO94" s="5995"/>
      <c r="CP94" s="450"/>
      <c r="CQ94" s="444"/>
    </row>
    <row r="95" spans="1:95" ht="12" customHeight="1" x14ac:dyDescent="0.2">
      <c r="A95" s="444"/>
      <c r="B95" s="906"/>
      <c r="C95" s="5996" t="e">
        <f>IF(C89=0,"",VLOOKUP(C89,'Tablas Magia'!$D$6:$Z$680,23,FALSE))</f>
        <v>#N/A</v>
      </c>
      <c r="D95" s="5997"/>
      <c r="E95" s="5997"/>
      <c r="F95" s="5997"/>
      <c r="G95" s="5997"/>
      <c r="H95" s="5997"/>
      <c r="I95" s="5997"/>
      <c r="J95" s="5997"/>
      <c r="K95" s="5997"/>
      <c r="L95" s="5997"/>
      <c r="M95" s="5997"/>
      <c r="N95" s="5997"/>
      <c r="O95" s="5997"/>
      <c r="P95" s="5997"/>
      <c r="Q95" s="5998"/>
      <c r="R95" s="450"/>
      <c r="S95" s="444"/>
      <c r="T95" s="444"/>
      <c r="U95" s="906"/>
      <c r="V95" s="5996" t="e">
        <f>IF(V89=0,"",VLOOKUP(V89,'Tablas Magia'!$D$6:$Z$680,23,FALSE))</f>
        <v>#N/A</v>
      </c>
      <c r="W95" s="5997"/>
      <c r="X95" s="5997"/>
      <c r="Y95" s="5997"/>
      <c r="Z95" s="5997"/>
      <c r="AA95" s="5997"/>
      <c r="AB95" s="5997"/>
      <c r="AC95" s="5997"/>
      <c r="AD95" s="5997"/>
      <c r="AE95" s="5997"/>
      <c r="AF95" s="5997"/>
      <c r="AG95" s="5997"/>
      <c r="AH95" s="5997"/>
      <c r="AI95" s="5997"/>
      <c r="AJ95" s="5998"/>
      <c r="AK95" s="450"/>
      <c r="AL95" s="444"/>
      <c r="AM95" s="499"/>
      <c r="AN95" s="906"/>
      <c r="AO95" s="5996" t="e">
        <f>IF(AO89=0,"",VLOOKUP(AO89,'Tablas Magia'!$D$6:$Z$680,23,FALSE))</f>
        <v>#N/A</v>
      </c>
      <c r="AP95" s="5997"/>
      <c r="AQ95" s="5997"/>
      <c r="AR95" s="5997"/>
      <c r="AS95" s="5997"/>
      <c r="AT95" s="5997"/>
      <c r="AU95" s="5997"/>
      <c r="AV95" s="5997"/>
      <c r="AW95" s="5997"/>
      <c r="AX95" s="5997"/>
      <c r="AY95" s="5997"/>
      <c r="AZ95" s="5997"/>
      <c r="BA95" s="5997"/>
      <c r="BB95" s="5997"/>
      <c r="BC95" s="5998"/>
      <c r="BD95" s="450"/>
      <c r="BE95" s="444"/>
      <c r="BF95" s="444"/>
      <c r="BG95" s="906"/>
      <c r="BH95" s="5996" t="e">
        <f>IF(BH89=0,"",VLOOKUP(BH89,'Tablas Magia'!$D$6:$Z$680,23,FALSE))</f>
        <v>#N/A</v>
      </c>
      <c r="BI95" s="5997"/>
      <c r="BJ95" s="5997"/>
      <c r="BK95" s="5997"/>
      <c r="BL95" s="5997"/>
      <c r="BM95" s="5997"/>
      <c r="BN95" s="5997"/>
      <c r="BO95" s="5997"/>
      <c r="BP95" s="5997"/>
      <c r="BQ95" s="5997"/>
      <c r="BR95" s="5997"/>
      <c r="BS95" s="5997"/>
      <c r="BT95" s="5997"/>
      <c r="BU95" s="5997"/>
      <c r="BV95" s="5998"/>
      <c r="BW95" s="450"/>
      <c r="BX95" s="444"/>
      <c r="BY95" s="444"/>
      <c r="BZ95" s="906"/>
      <c r="CA95" s="5996" t="e">
        <f>IF(CA89=0,"",VLOOKUP(CA89,'Tablas Magia'!$D$6:$Z$680,23,FALSE))</f>
        <v>#N/A</v>
      </c>
      <c r="CB95" s="5997"/>
      <c r="CC95" s="5997"/>
      <c r="CD95" s="5997"/>
      <c r="CE95" s="5997"/>
      <c r="CF95" s="5997"/>
      <c r="CG95" s="5997"/>
      <c r="CH95" s="5997"/>
      <c r="CI95" s="5997"/>
      <c r="CJ95" s="5997"/>
      <c r="CK95" s="5997"/>
      <c r="CL95" s="5997"/>
      <c r="CM95" s="5997"/>
      <c r="CN95" s="5997"/>
      <c r="CO95" s="5998"/>
      <c r="CP95" s="450"/>
      <c r="CQ95" s="444"/>
    </row>
    <row r="96" spans="1:95" ht="12" customHeight="1" x14ac:dyDescent="0.2">
      <c r="A96" s="444"/>
      <c r="B96" s="906"/>
      <c r="C96" s="5999"/>
      <c r="D96" s="6000"/>
      <c r="E96" s="6000"/>
      <c r="F96" s="6000"/>
      <c r="G96" s="6000"/>
      <c r="H96" s="6000"/>
      <c r="I96" s="6000"/>
      <c r="J96" s="6000"/>
      <c r="K96" s="6000"/>
      <c r="L96" s="6000"/>
      <c r="M96" s="6000"/>
      <c r="N96" s="6000"/>
      <c r="O96" s="6000"/>
      <c r="P96" s="6000"/>
      <c r="Q96" s="6001"/>
      <c r="R96" s="450"/>
      <c r="S96" s="444"/>
      <c r="T96" s="444"/>
      <c r="U96" s="906"/>
      <c r="V96" s="5999"/>
      <c r="W96" s="6000"/>
      <c r="X96" s="6000"/>
      <c r="Y96" s="6000"/>
      <c r="Z96" s="6000"/>
      <c r="AA96" s="6000"/>
      <c r="AB96" s="6000"/>
      <c r="AC96" s="6000"/>
      <c r="AD96" s="6000"/>
      <c r="AE96" s="6000"/>
      <c r="AF96" s="6000"/>
      <c r="AG96" s="6000"/>
      <c r="AH96" s="6000"/>
      <c r="AI96" s="6000"/>
      <c r="AJ96" s="6001"/>
      <c r="AK96" s="450"/>
      <c r="AL96" s="444"/>
      <c r="AM96" s="499"/>
      <c r="AN96" s="906"/>
      <c r="AO96" s="5999"/>
      <c r="AP96" s="6000"/>
      <c r="AQ96" s="6000"/>
      <c r="AR96" s="6000"/>
      <c r="AS96" s="6000"/>
      <c r="AT96" s="6000"/>
      <c r="AU96" s="6000"/>
      <c r="AV96" s="6000"/>
      <c r="AW96" s="6000"/>
      <c r="AX96" s="6000"/>
      <c r="AY96" s="6000"/>
      <c r="AZ96" s="6000"/>
      <c r="BA96" s="6000"/>
      <c r="BB96" s="6000"/>
      <c r="BC96" s="6001"/>
      <c r="BD96" s="450"/>
      <c r="BE96" s="444"/>
      <c r="BF96" s="444"/>
      <c r="BG96" s="906"/>
      <c r="BH96" s="5999"/>
      <c r="BI96" s="6000"/>
      <c r="BJ96" s="6000"/>
      <c r="BK96" s="6000"/>
      <c r="BL96" s="6000"/>
      <c r="BM96" s="6000"/>
      <c r="BN96" s="6000"/>
      <c r="BO96" s="6000"/>
      <c r="BP96" s="6000"/>
      <c r="BQ96" s="6000"/>
      <c r="BR96" s="6000"/>
      <c r="BS96" s="6000"/>
      <c r="BT96" s="6000"/>
      <c r="BU96" s="6000"/>
      <c r="BV96" s="6001"/>
      <c r="BW96" s="450"/>
      <c r="BX96" s="444"/>
      <c r="BY96" s="444"/>
      <c r="BZ96" s="906"/>
      <c r="CA96" s="5999"/>
      <c r="CB96" s="6000"/>
      <c r="CC96" s="6000"/>
      <c r="CD96" s="6000"/>
      <c r="CE96" s="6000"/>
      <c r="CF96" s="6000"/>
      <c r="CG96" s="6000"/>
      <c r="CH96" s="6000"/>
      <c r="CI96" s="6000"/>
      <c r="CJ96" s="6000"/>
      <c r="CK96" s="6000"/>
      <c r="CL96" s="6000"/>
      <c r="CM96" s="6000"/>
      <c r="CN96" s="6000"/>
      <c r="CO96" s="6001"/>
      <c r="CP96" s="450"/>
      <c r="CQ96" s="444"/>
    </row>
    <row r="97" spans="1:95" ht="12" customHeight="1" x14ac:dyDescent="0.2">
      <c r="A97" s="444"/>
      <c r="B97" s="906"/>
      <c r="C97" s="5999"/>
      <c r="D97" s="6000"/>
      <c r="E97" s="6000"/>
      <c r="F97" s="6000"/>
      <c r="G97" s="6000"/>
      <c r="H97" s="6000"/>
      <c r="I97" s="6000"/>
      <c r="J97" s="6000"/>
      <c r="K97" s="6000"/>
      <c r="L97" s="6000"/>
      <c r="M97" s="6000"/>
      <c r="N97" s="6000"/>
      <c r="O97" s="6000"/>
      <c r="P97" s="6000"/>
      <c r="Q97" s="6001"/>
      <c r="R97" s="450"/>
      <c r="S97" s="444"/>
      <c r="T97" s="444"/>
      <c r="U97" s="906"/>
      <c r="V97" s="5999"/>
      <c r="W97" s="6000"/>
      <c r="X97" s="6000"/>
      <c r="Y97" s="6000"/>
      <c r="Z97" s="6000"/>
      <c r="AA97" s="6000"/>
      <c r="AB97" s="6000"/>
      <c r="AC97" s="6000"/>
      <c r="AD97" s="6000"/>
      <c r="AE97" s="6000"/>
      <c r="AF97" s="6000"/>
      <c r="AG97" s="6000"/>
      <c r="AH97" s="6000"/>
      <c r="AI97" s="6000"/>
      <c r="AJ97" s="6001"/>
      <c r="AK97" s="450"/>
      <c r="AL97" s="444"/>
      <c r="AM97" s="499"/>
      <c r="AN97" s="906"/>
      <c r="AO97" s="5999"/>
      <c r="AP97" s="6000"/>
      <c r="AQ97" s="6000"/>
      <c r="AR97" s="6000"/>
      <c r="AS97" s="6000"/>
      <c r="AT97" s="6000"/>
      <c r="AU97" s="6000"/>
      <c r="AV97" s="6000"/>
      <c r="AW97" s="6000"/>
      <c r="AX97" s="6000"/>
      <c r="AY97" s="6000"/>
      <c r="AZ97" s="6000"/>
      <c r="BA97" s="6000"/>
      <c r="BB97" s="6000"/>
      <c r="BC97" s="6001"/>
      <c r="BD97" s="450"/>
      <c r="BE97" s="444"/>
      <c r="BF97" s="444"/>
      <c r="BG97" s="906"/>
      <c r="BH97" s="5999"/>
      <c r="BI97" s="6000"/>
      <c r="BJ97" s="6000"/>
      <c r="BK97" s="6000"/>
      <c r="BL97" s="6000"/>
      <c r="BM97" s="6000"/>
      <c r="BN97" s="6000"/>
      <c r="BO97" s="6000"/>
      <c r="BP97" s="6000"/>
      <c r="BQ97" s="6000"/>
      <c r="BR97" s="6000"/>
      <c r="BS97" s="6000"/>
      <c r="BT97" s="6000"/>
      <c r="BU97" s="6000"/>
      <c r="BV97" s="6001"/>
      <c r="BW97" s="450"/>
      <c r="BX97" s="444"/>
      <c r="BY97" s="444"/>
      <c r="BZ97" s="906"/>
      <c r="CA97" s="5999"/>
      <c r="CB97" s="6000"/>
      <c r="CC97" s="6000"/>
      <c r="CD97" s="6000"/>
      <c r="CE97" s="6000"/>
      <c r="CF97" s="6000"/>
      <c r="CG97" s="6000"/>
      <c r="CH97" s="6000"/>
      <c r="CI97" s="6000"/>
      <c r="CJ97" s="6000"/>
      <c r="CK97" s="6000"/>
      <c r="CL97" s="6000"/>
      <c r="CM97" s="6000"/>
      <c r="CN97" s="6000"/>
      <c r="CO97" s="6001"/>
      <c r="CP97" s="450"/>
      <c r="CQ97" s="444"/>
    </row>
    <row r="98" spans="1:95" ht="12" customHeight="1" thickBot="1" x14ac:dyDescent="0.25">
      <c r="A98" s="444"/>
      <c r="B98" s="906"/>
      <c r="C98" s="6002"/>
      <c r="D98" s="6003"/>
      <c r="E98" s="6003"/>
      <c r="F98" s="6003"/>
      <c r="G98" s="6003"/>
      <c r="H98" s="6003"/>
      <c r="I98" s="6003"/>
      <c r="J98" s="6003"/>
      <c r="K98" s="6003"/>
      <c r="L98" s="6003"/>
      <c r="M98" s="6003"/>
      <c r="N98" s="6003"/>
      <c r="O98" s="6003"/>
      <c r="P98" s="6003"/>
      <c r="Q98" s="6004"/>
      <c r="R98" s="450"/>
      <c r="S98" s="444"/>
      <c r="T98" s="444"/>
      <c r="U98" s="906"/>
      <c r="V98" s="6002"/>
      <c r="W98" s="6003"/>
      <c r="X98" s="6003"/>
      <c r="Y98" s="6003"/>
      <c r="Z98" s="6003"/>
      <c r="AA98" s="6003"/>
      <c r="AB98" s="6003"/>
      <c r="AC98" s="6003"/>
      <c r="AD98" s="6003"/>
      <c r="AE98" s="6003"/>
      <c r="AF98" s="6003"/>
      <c r="AG98" s="6003"/>
      <c r="AH98" s="6003"/>
      <c r="AI98" s="6003"/>
      <c r="AJ98" s="6004"/>
      <c r="AK98" s="450"/>
      <c r="AL98" s="444"/>
      <c r="AM98" s="499"/>
      <c r="AN98" s="906"/>
      <c r="AO98" s="6002"/>
      <c r="AP98" s="6003"/>
      <c r="AQ98" s="6003"/>
      <c r="AR98" s="6003"/>
      <c r="AS98" s="6003"/>
      <c r="AT98" s="6003"/>
      <c r="AU98" s="6003"/>
      <c r="AV98" s="6003"/>
      <c r="AW98" s="6003"/>
      <c r="AX98" s="6003"/>
      <c r="AY98" s="6003"/>
      <c r="AZ98" s="6003"/>
      <c r="BA98" s="6003"/>
      <c r="BB98" s="6003"/>
      <c r="BC98" s="6004"/>
      <c r="BD98" s="450"/>
      <c r="BE98" s="444"/>
      <c r="BF98" s="444"/>
      <c r="BG98" s="906"/>
      <c r="BH98" s="6002"/>
      <c r="BI98" s="6003"/>
      <c r="BJ98" s="6003"/>
      <c r="BK98" s="6003"/>
      <c r="BL98" s="6003"/>
      <c r="BM98" s="6003"/>
      <c r="BN98" s="6003"/>
      <c r="BO98" s="6003"/>
      <c r="BP98" s="6003"/>
      <c r="BQ98" s="6003"/>
      <c r="BR98" s="6003"/>
      <c r="BS98" s="6003"/>
      <c r="BT98" s="6003"/>
      <c r="BU98" s="6003"/>
      <c r="BV98" s="6004"/>
      <c r="BW98" s="450"/>
      <c r="BX98" s="444"/>
      <c r="BY98" s="444"/>
      <c r="BZ98" s="906"/>
      <c r="CA98" s="6002"/>
      <c r="CB98" s="6003"/>
      <c r="CC98" s="6003"/>
      <c r="CD98" s="6003"/>
      <c r="CE98" s="6003"/>
      <c r="CF98" s="6003"/>
      <c r="CG98" s="6003"/>
      <c r="CH98" s="6003"/>
      <c r="CI98" s="6003"/>
      <c r="CJ98" s="6003"/>
      <c r="CK98" s="6003"/>
      <c r="CL98" s="6003"/>
      <c r="CM98" s="6003"/>
      <c r="CN98" s="6003"/>
      <c r="CO98" s="6004"/>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601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13"/>
      <c r="E100" s="6013"/>
      <c r="F100" s="6013"/>
      <c r="G100" s="6013"/>
      <c r="H100" s="454" t="s">
        <v>1333</v>
      </c>
      <c r="I100" s="455">
        <f>B100</f>
        <v>18</v>
      </c>
      <c r="J100" s="6005" t="s">
        <v>6388</v>
      </c>
      <c r="K100" s="6005"/>
      <c r="L100" s="6005"/>
      <c r="M100" s="5972" t="e">
        <f>IF(C100=0,"",VLOOKUP(C100,'Tablas Magia'!$D$6:$Z$680,2,FALSE))</f>
        <v>#N/A</v>
      </c>
      <c r="N100" s="5972"/>
      <c r="O100" s="1959"/>
      <c r="P100" s="6016" t="str">
        <f>IFERROR(IF(M100="Libre Acceso","Aprendido",IF(IFERROR(VLOOKUP(M100,Místicos!$C$15:$H$25,6,0)&gt;=I100,FALSE),"Aprendido",IF(IFERROR(VLOOKUP(M100,Místicos!$E$15:$H$25,4,0)&gt;=I100,FALSE),"Aprendido",""))),"")</f>
        <v/>
      </c>
      <c r="Q100" s="6017"/>
      <c r="R100" s="450"/>
      <c r="S100" s="444"/>
      <c r="T100" s="444"/>
      <c r="U100" s="906">
        <f>U89+2</f>
        <v>38</v>
      </c>
      <c r="V100" s="601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13"/>
      <c r="X100" s="6013"/>
      <c r="Y100" s="6013"/>
      <c r="Z100" s="6013"/>
      <c r="AA100" s="454" t="s">
        <v>1333</v>
      </c>
      <c r="AB100" s="455">
        <f>U100</f>
        <v>38</v>
      </c>
      <c r="AC100" s="6005" t="s">
        <v>6388</v>
      </c>
      <c r="AD100" s="6005"/>
      <c r="AE100" s="6005"/>
      <c r="AF100" s="5972" t="e">
        <f>IF(V100=0,"",VLOOKUP(V100,'Tablas Magia'!$D$6:$Z$680,2,FALSE))</f>
        <v>#N/A</v>
      </c>
      <c r="AG100" s="5972"/>
      <c r="AH100" s="1959"/>
      <c r="AI100" s="6016" t="str">
        <f>IFERROR(IF(AF100="Libre Acceso","Aprendido",IF(IFERROR(VLOOKUP(AF100,Místicos!$C$15:$H$25,6,0)&gt;=AB100,FALSE),"Aprendido",IF(IFERROR(VLOOKUP(AF100,Místicos!$E$15:$H$25,4,0)&gt;=AB100,FALSE),"Aprendido",""))),"")</f>
        <v/>
      </c>
      <c r="AJ100" s="6017"/>
      <c r="AK100" s="450"/>
      <c r="AL100" s="444"/>
      <c r="AM100" s="499"/>
      <c r="AN100" s="906">
        <f>AN89+2</f>
        <v>58</v>
      </c>
      <c r="AO100" s="601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13"/>
      <c r="AQ100" s="6013"/>
      <c r="AR100" s="6013"/>
      <c r="AS100" s="6013"/>
      <c r="AT100" s="454" t="s">
        <v>1333</v>
      </c>
      <c r="AU100" s="455">
        <f>AN100</f>
        <v>58</v>
      </c>
      <c r="AV100" s="6005" t="s">
        <v>6388</v>
      </c>
      <c r="AW100" s="6005"/>
      <c r="AX100" s="6005"/>
      <c r="AY100" s="5972" t="e">
        <f>IF(AO100=0,"",VLOOKUP(AO100,'Tablas Magia'!$D$6:$Z$680,2,FALSE))</f>
        <v>#N/A</v>
      </c>
      <c r="AZ100" s="5972"/>
      <c r="BA100" s="1959"/>
      <c r="BB100" s="6016" t="str">
        <f>IFERROR(IF(AY100="Libre Acceso","Aprendido",IF(IFERROR(VLOOKUP(AY100,Místicos!$C$15:$H$25,6,0)&gt;=AU100,FALSE),"Aprendido",IF(IFERROR(VLOOKUP(AY100,Místicos!$E$15:$H$25,4,0)&gt;=AU100,FALSE),"Aprendido",""))),"")</f>
        <v/>
      </c>
      <c r="BC100" s="6017"/>
      <c r="BD100" s="450"/>
      <c r="BE100" s="444"/>
      <c r="BF100" s="444"/>
      <c r="BG100" s="906">
        <f>BG89+2</f>
        <v>78</v>
      </c>
      <c r="BH100" s="601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13"/>
      <c r="BJ100" s="6013"/>
      <c r="BK100" s="6013"/>
      <c r="BL100" s="6013"/>
      <c r="BM100" s="454" t="s">
        <v>1333</v>
      </c>
      <c r="BN100" s="455">
        <f>BG100</f>
        <v>78</v>
      </c>
      <c r="BO100" s="6005" t="s">
        <v>6388</v>
      </c>
      <c r="BP100" s="6005"/>
      <c r="BQ100" s="6005"/>
      <c r="BR100" s="5972" t="e">
        <f>IF(BH100=0,"",VLOOKUP(BH100,'Tablas Magia'!$D$6:$Z$680,2,FALSE))</f>
        <v>#N/A</v>
      </c>
      <c r="BS100" s="5972"/>
      <c r="BT100" s="1959"/>
      <c r="BU100" s="6016" t="str">
        <f>IFERROR(IF(BR100="Libre Acceso","Aprendido",IF(IFERROR(VLOOKUP(BR100,Místicos!$C$15:$H$25,6,0)&gt;=BN100,FALSE),"Aprendido",IF(IFERROR(VLOOKUP(BR100,Místicos!$E$15:$H$25,4,0)&gt;=BN100,FALSE),"Aprendido",""))),"")</f>
        <v/>
      </c>
      <c r="BV100" s="6017"/>
      <c r="BW100" s="450"/>
      <c r="BX100" s="444"/>
      <c r="BY100" s="444"/>
      <c r="BZ100" s="906">
        <f>BZ89+2</f>
        <v>98</v>
      </c>
      <c r="CA100" s="601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13"/>
      <c r="CC100" s="6013"/>
      <c r="CD100" s="6013"/>
      <c r="CE100" s="6013"/>
      <c r="CF100" s="454" t="s">
        <v>1333</v>
      </c>
      <c r="CG100" s="455">
        <f>BZ100</f>
        <v>98</v>
      </c>
      <c r="CH100" s="6005" t="s">
        <v>6388</v>
      </c>
      <c r="CI100" s="6005"/>
      <c r="CJ100" s="6005"/>
      <c r="CK100" s="5972" t="e">
        <f>IF(CA100=0,"",VLOOKUP(CA100,'Tablas Magia'!$D$6:$Z$680,2,FALSE))</f>
        <v>#N/A</v>
      </c>
      <c r="CL100" s="5972"/>
      <c r="CM100" s="1959"/>
      <c r="CN100" s="6016" t="str">
        <f>IFERROR(IF(CK100="Libre Acceso","Aprendido",IF(IFERROR(VLOOKUP(CK100,Místicos!$C$15:$H$25,6,0)&gt;=CG100,FALSE),"Aprendido",IF(IFERROR(VLOOKUP(CK100,Místicos!$E$15:$H$25,4,0)&gt;=CG100,FALSE),"Aprendido",""))),"")</f>
        <v/>
      </c>
      <c r="CO100" s="6017"/>
      <c r="CP100" s="450"/>
      <c r="CQ100" s="444"/>
    </row>
    <row r="101" spans="1:95" ht="12" customHeight="1" x14ac:dyDescent="0.2">
      <c r="A101" s="444"/>
      <c r="B101" s="906"/>
      <c r="C101" s="5989" t="s">
        <v>6389</v>
      </c>
      <c r="D101" s="6006"/>
      <c r="E101" s="1972" t="s">
        <v>6390</v>
      </c>
      <c r="F101" s="1972" t="s">
        <v>1517</v>
      </c>
      <c r="G101" s="1972" t="s">
        <v>2914</v>
      </c>
      <c r="H101" s="1973" t="s">
        <v>1845</v>
      </c>
      <c r="I101" s="6007" t="e">
        <f>IF(C100=0,"",VLOOKUP(C100,'Tablas Magia'!$D$6:$Z$680,5,FALSE))</f>
        <v>#N/A</v>
      </c>
      <c r="J101" s="6007"/>
      <c r="K101" s="6018" t="s">
        <v>6391</v>
      </c>
      <c r="L101" s="6018"/>
      <c r="M101" s="6007" t="e">
        <f>IF(C100=0,"",VLOOKUP(C100,'Tablas Magia'!$D$6:$Z$680,6,FALSE))</f>
        <v>#N/A</v>
      </c>
      <c r="N101" s="6007"/>
      <c r="O101" s="6008" t="s">
        <v>6392</v>
      </c>
      <c r="P101" s="6008"/>
      <c r="Q101" s="1974" t="e">
        <f>IF(C100=0,"",VLOOKUP(C100,'Tablas Magia'!$D$6:$Z$680,4,FALSE))</f>
        <v>#N/A</v>
      </c>
      <c r="R101" s="450"/>
      <c r="S101" s="444"/>
      <c r="T101" s="444"/>
      <c r="U101" s="906"/>
      <c r="V101" s="5989" t="s">
        <v>6389</v>
      </c>
      <c r="W101" s="6006"/>
      <c r="X101" s="1972" t="s">
        <v>6390</v>
      </c>
      <c r="Y101" s="1972" t="s">
        <v>1517</v>
      </c>
      <c r="Z101" s="1972" t="s">
        <v>2914</v>
      </c>
      <c r="AA101" s="1973" t="s">
        <v>1845</v>
      </c>
      <c r="AB101" s="6007" t="e">
        <f>IF(V100=0,"",VLOOKUP(V100,'Tablas Magia'!$D$6:$Z$680,5,FALSE))</f>
        <v>#N/A</v>
      </c>
      <c r="AC101" s="6007"/>
      <c r="AD101" s="6018" t="s">
        <v>6391</v>
      </c>
      <c r="AE101" s="6018"/>
      <c r="AF101" s="6007" t="e">
        <f>IF(V100=0,"",VLOOKUP(V100,'Tablas Magia'!$D$6:$Z$680,6,FALSE))</f>
        <v>#N/A</v>
      </c>
      <c r="AG101" s="6007"/>
      <c r="AH101" s="6008" t="s">
        <v>6392</v>
      </c>
      <c r="AI101" s="6008"/>
      <c r="AJ101" s="1974" t="e">
        <f>IF(V100=0,"",VLOOKUP(V100,'Tablas Magia'!$D$6:$Z$680,4,FALSE))</f>
        <v>#N/A</v>
      </c>
      <c r="AK101" s="450"/>
      <c r="AL101" s="444"/>
      <c r="AM101" s="499"/>
      <c r="AN101" s="906"/>
      <c r="AO101" s="5989" t="s">
        <v>6389</v>
      </c>
      <c r="AP101" s="6006"/>
      <c r="AQ101" s="1972" t="s">
        <v>6390</v>
      </c>
      <c r="AR101" s="1972" t="s">
        <v>1517</v>
      </c>
      <c r="AS101" s="1972" t="s">
        <v>2914</v>
      </c>
      <c r="AT101" s="1973" t="s">
        <v>1845</v>
      </c>
      <c r="AU101" s="6007" t="e">
        <f>IF(AO100=0,"",VLOOKUP(AO100,'Tablas Magia'!$D$6:$Z$680,5,FALSE))</f>
        <v>#N/A</v>
      </c>
      <c r="AV101" s="6007"/>
      <c r="AW101" s="6018" t="s">
        <v>6391</v>
      </c>
      <c r="AX101" s="6018"/>
      <c r="AY101" s="6007" t="e">
        <f>IF(AO100=0,"",VLOOKUP(AO100,'Tablas Magia'!$D$6:$Z$680,6,FALSE))</f>
        <v>#N/A</v>
      </c>
      <c r="AZ101" s="6007"/>
      <c r="BA101" s="6008" t="s">
        <v>6392</v>
      </c>
      <c r="BB101" s="6008"/>
      <c r="BC101" s="1974" t="e">
        <f>IF(AO100=0,"",VLOOKUP(AO100,'Tablas Magia'!$D$6:$Z$680,4,FALSE))</f>
        <v>#N/A</v>
      </c>
      <c r="BD101" s="450"/>
      <c r="BE101" s="444"/>
      <c r="BF101" s="444"/>
      <c r="BG101" s="906"/>
      <c r="BH101" s="5989" t="s">
        <v>6389</v>
      </c>
      <c r="BI101" s="6006"/>
      <c r="BJ101" s="1972" t="s">
        <v>6390</v>
      </c>
      <c r="BK101" s="1972" t="s">
        <v>1517</v>
      </c>
      <c r="BL101" s="1972" t="s">
        <v>2914</v>
      </c>
      <c r="BM101" s="1973" t="s">
        <v>1845</v>
      </c>
      <c r="BN101" s="6007" t="e">
        <f>IF(BH100=0,"",VLOOKUP(BH100,'Tablas Magia'!$D$6:$Z$680,5,FALSE))</f>
        <v>#N/A</v>
      </c>
      <c r="BO101" s="6007"/>
      <c r="BP101" s="6018" t="s">
        <v>6391</v>
      </c>
      <c r="BQ101" s="6018"/>
      <c r="BR101" s="6007" t="e">
        <f>IF(BH100=0,"",VLOOKUP(BH100,'Tablas Magia'!$D$6:$Z$680,6,FALSE))</f>
        <v>#N/A</v>
      </c>
      <c r="BS101" s="6007"/>
      <c r="BT101" s="6008" t="s">
        <v>6392</v>
      </c>
      <c r="BU101" s="6008"/>
      <c r="BV101" s="1974" t="e">
        <f>IF(BH100=0,"",VLOOKUP(BH100,'Tablas Magia'!$D$6:$Z$680,4,FALSE))</f>
        <v>#N/A</v>
      </c>
      <c r="BW101" s="450"/>
      <c r="BX101" s="444"/>
      <c r="BY101" s="444"/>
      <c r="BZ101" s="906"/>
      <c r="CA101" s="5989" t="s">
        <v>6389</v>
      </c>
      <c r="CB101" s="6006"/>
      <c r="CC101" s="1972" t="s">
        <v>6390</v>
      </c>
      <c r="CD101" s="1972" t="s">
        <v>1517</v>
      </c>
      <c r="CE101" s="1972" t="s">
        <v>2914</v>
      </c>
      <c r="CF101" s="1973" t="s">
        <v>1845</v>
      </c>
      <c r="CG101" s="6007" t="e">
        <f>IF(CA100=0,"",VLOOKUP(CA100,'Tablas Magia'!$D$6:$Z$680,5,FALSE))</f>
        <v>#N/A</v>
      </c>
      <c r="CH101" s="6007"/>
      <c r="CI101" s="6018" t="s">
        <v>6391</v>
      </c>
      <c r="CJ101" s="6018"/>
      <c r="CK101" s="6007" t="e">
        <f>IF(CA100=0,"",VLOOKUP(CA100,'Tablas Magia'!$D$6:$Z$680,6,FALSE))</f>
        <v>#N/A</v>
      </c>
      <c r="CL101" s="6007"/>
      <c r="CM101" s="6008" t="s">
        <v>6392</v>
      </c>
      <c r="CN101" s="6008"/>
      <c r="CO101" s="1974" t="e">
        <f>IF(CA100=0,"",VLOOKUP(CA100,'Tablas Magia'!$D$6:$Z$680,4,FALSE))</f>
        <v>#N/A</v>
      </c>
      <c r="CP101" s="450"/>
      <c r="CQ101" s="444"/>
    </row>
    <row r="102" spans="1:95" ht="12" customHeight="1" x14ac:dyDescent="0.2">
      <c r="A102" s="444"/>
      <c r="B102" s="906"/>
      <c r="C102" s="5981" t="s">
        <v>1373</v>
      </c>
      <c r="D102" s="5982"/>
      <c r="E102" s="459" t="e">
        <f>IF(C100=0,"",VLOOKUP(C100,'Tablas Magia'!$D$6:$Z$680,7,FALSE))</f>
        <v>#N/A</v>
      </c>
      <c r="F102" s="459" t="e">
        <f>IF(C100=0,"",VLOOKUP(C100,'Tablas Magia'!$D$6:$Z$680,11,FALSE))</f>
        <v>#N/A</v>
      </c>
      <c r="G102" s="460" t="e">
        <f>IF(C100=0,"",VLOOKUP(C100,'Tablas Magia'!$D$6:$Z$680,15,FALSE))</f>
        <v>#N/A</v>
      </c>
      <c r="H102" s="5983" t="e">
        <f>IF(C100=0,"",VLOOKUP(C100,'Tablas Magia'!$D$6:$Z$680,19,FALSE))</f>
        <v>#N/A</v>
      </c>
      <c r="I102" s="5984"/>
      <c r="J102" s="5984"/>
      <c r="K102" s="5984"/>
      <c r="L102" s="5984"/>
      <c r="M102" s="5984"/>
      <c r="N102" s="5984"/>
      <c r="O102" s="5984"/>
      <c r="P102" s="5984"/>
      <c r="Q102" s="5985"/>
      <c r="R102" s="450"/>
      <c r="S102" s="444"/>
      <c r="T102" s="444"/>
      <c r="U102" s="906"/>
      <c r="V102" s="5981" t="s">
        <v>1373</v>
      </c>
      <c r="W102" s="5982"/>
      <c r="X102" s="459" t="e">
        <f>IF(V100=0,"",VLOOKUP(V100,'Tablas Magia'!$D$6:$Z$680,7,FALSE))</f>
        <v>#N/A</v>
      </c>
      <c r="Y102" s="459" t="e">
        <f>IF(V100=0,"",VLOOKUP(V100,'Tablas Magia'!$D$6:$Z$680,11,FALSE))</f>
        <v>#N/A</v>
      </c>
      <c r="Z102" s="460" t="e">
        <f>IF(V100=0,"",VLOOKUP(V100,'Tablas Magia'!$D$6:$Z$680,15,FALSE))</f>
        <v>#N/A</v>
      </c>
      <c r="AA102" s="5983" t="e">
        <f>IF(V100=0,"",VLOOKUP(V100,'Tablas Magia'!$D$6:$Z$680,19,FALSE))</f>
        <v>#N/A</v>
      </c>
      <c r="AB102" s="5984"/>
      <c r="AC102" s="5984"/>
      <c r="AD102" s="5984"/>
      <c r="AE102" s="5984"/>
      <c r="AF102" s="5984"/>
      <c r="AG102" s="5984"/>
      <c r="AH102" s="5984"/>
      <c r="AI102" s="5984"/>
      <c r="AJ102" s="5985"/>
      <c r="AK102" s="450"/>
      <c r="AL102" s="444"/>
      <c r="AM102" s="499"/>
      <c r="AN102" s="906"/>
      <c r="AO102" s="5981" t="s">
        <v>1373</v>
      </c>
      <c r="AP102" s="5982"/>
      <c r="AQ102" s="459" t="e">
        <f>IF(AO100=0,"",VLOOKUP(AO100,'Tablas Magia'!$D$6:$Z$680,7,FALSE))</f>
        <v>#N/A</v>
      </c>
      <c r="AR102" s="459" t="e">
        <f>IF(AO100=0,"",VLOOKUP(AO100,'Tablas Magia'!$D$6:$Z$680,11,FALSE))</f>
        <v>#N/A</v>
      </c>
      <c r="AS102" s="460" t="e">
        <f>IF(AO100=0,"",VLOOKUP(AO100,'Tablas Magia'!$D$6:$Z$680,15,FALSE))</f>
        <v>#N/A</v>
      </c>
      <c r="AT102" s="5983" t="e">
        <f>IF(AO100=0,"",VLOOKUP(AO100,'Tablas Magia'!$D$6:$Z$680,19,FALSE))</f>
        <v>#N/A</v>
      </c>
      <c r="AU102" s="5984"/>
      <c r="AV102" s="5984"/>
      <c r="AW102" s="5984"/>
      <c r="AX102" s="5984"/>
      <c r="AY102" s="5984"/>
      <c r="AZ102" s="5984"/>
      <c r="BA102" s="5984"/>
      <c r="BB102" s="5984"/>
      <c r="BC102" s="5985"/>
      <c r="BD102" s="450"/>
      <c r="BE102" s="444"/>
      <c r="BF102" s="444"/>
      <c r="BG102" s="906"/>
      <c r="BH102" s="5981" t="s">
        <v>1373</v>
      </c>
      <c r="BI102" s="5982"/>
      <c r="BJ102" s="459" t="e">
        <f>IF(BH100=0,"",VLOOKUP(BH100,'Tablas Magia'!$D$6:$Z$680,7,FALSE))</f>
        <v>#N/A</v>
      </c>
      <c r="BK102" s="459" t="e">
        <f>IF(BH100=0,"",VLOOKUP(BH100,'Tablas Magia'!$D$6:$Z$680,11,FALSE))</f>
        <v>#N/A</v>
      </c>
      <c r="BL102" s="460" t="e">
        <f>IF(BH100=0,"",VLOOKUP(BH100,'Tablas Magia'!$D$6:$Z$680,15,FALSE))</f>
        <v>#N/A</v>
      </c>
      <c r="BM102" s="5983" t="e">
        <f>IF(BH100=0,"",VLOOKUP(BH100,'Tablas Magia'!$D$6:$Z$680,19,FALSE))</f>
        <v>#N/A</v>
      </c>
      <c r="BN102" s="5984"/>
      <c r="BO102" s="5984"/>
      <c r="BP102" s="5984"/>
      <c r="BQ102" s="5984"/>
      <c r="BR102" s="5984"/>
      <c r="BS102" s="5984"/>
      <c r="BT102" s="5984"/>
      <c r="BU102" s="5984"/>
      <c r="BV102" s="5985"/>
      <c r="BW102" s="450"/>
      <c r="BX102" s="444"/>
      <c r="BY102" s="444"/>
      <c r="BZ102" s="906"/>
      <c r="CA102" s="5981" t="s">
        <v>1373</v>
      </c>
      <c r="CB102" s="5982"/>
      <c r="CC102" s="459" t="e">
        <f>IF(CA100=0,"",VLOOKUP(CA100,'Tablas Magia'!$D$6:$Z$680,7,FALSE))</f>
        <v>#N/A</v>
      </c>
      <c r="CD102" s="459" t="e">
        <f>IF(CA100=0,"",VLOOKUP(CA100,'Tablas Magia'!$D$6:$Z$680,11,FALSE))</f>
        <v>#N/A</v>
      </c>
      <c r="CE102" s="460" t="e">
        <f>IF(CA100=0,"",VLOOKUP(CA100,'Tablas Magia'!$D$6:$Z$680,15,FALSE))</f>
        <v>#N/A</v>
      </c>
      <c r="CF102" s="5983" t="e">
        <f>IF(CA100=0,"",VLOOKUP(CA100,'Tablas Magia'!$D$6:$Z$680,19,FALSE))</f>
        <v>#N/A</v>
      </c>
      <c r="CG102" s="5984"/>
      <c r="CH102" s="5984"/>
      <c r="CI102" s="5984"/>
      <c r="CJ102" s="5984"/>
      <c r="CK102" s="5984"/>
      <c r="CL102" s="5984"/>
      <c r="CM102" s="5984"/>
      <c r="CN102" s="5984"/>
      <c r="CO102" s="5985"/>
      <c r="CP102" s="450"/>
      <c r="CQ102" s="444"/>
    </row>
    <row r="103" spans="1:95" ht="12" customHeight="1" x14ac:dyDescent="0.2">
      <c r="A103" s="444"/>
      <c r="B103" s="906"/>
      <c r="C103" s="5976" t="s">
        <v>3285</v>
      </c>
      <c r="D103" s="5977"/>
      <c r="E103" s="461" t="e">
        <f>IF(C100=0,"",VLOOKUP(C100,'Tablas Magia'!$D$6:$Z$680,8,FALSE))</f>
        <v>#N/A</v>
      </c>
      <c r="F103" s="461" t="e">
        <f>IF(C100=0,"",VLOOKUP(C100,'Tablas Magia'!$D$6:$Z$680,12,FALSE))</f>
        <v>#N/A</v>
      </c>
      <c r="G103" s="462" t="e">
        <f>IF(C100=0,"",VLOOKUP(C100,'Tablas Magia'!$D$6:$Z$680,16,FALSE))</f>
        <v>#N/A</v>
      </c>
      <c r="H103" s="5978" t="e">
        <f>IF(C100=0,"",VLOOKUP(C100,'Tablas Magia'!$D$6:$Z$680,20,FALSE))</f>
        <v>#N/A</v>
      </c>
      <c r="I103" s="5979"/>
      <c r="J103" s="5979"/>
      <c r="K103" s="5979"/>
      <c r="L103" s="5979"/>
      <c r="M103" s="5979"/>
      <c r="N103" s="5979"/>
      <c r="O103" s="5979"/>
      <c r="P103" s="5979"/>
      <c r="Q103" s="5980"/>
      <c r="R103" s="450"/>
      <c r="S103" s="444"/>
      <c r="T103" s="444"/>
      <c r="U103" s="906"/>
      <c r="V103" s="5976" t="s">
        <v>3285</v>
      </c>
      <c r="W103" s="5977"/>
      <c r="X103" s="461" t="e">
        <f>IF(V100=0,"",VLOOKUP(V100,'Tablas Magia'!$D$6:$Z$680,8,FALSE))</f>
        <v>#N/A</v>
      </c>
      <c r="Y103" s="461" t="e">
        <f>IF(V100=0,"",VLOOKUP(V100,'Tablas Magia'!$D$6:$Z$680,12,FALSE))</f>
        <v>#N/A</v>
      </c>
      <c r="Z103" s="462" t="e">
        <f>IF(V100=0,"",VLOOKUP(V100,'Tablas Magia'!$D$6:$Z$680,16,FALSE))</f>
        <v>#N/A</v>
      </c>
      <c r="AA103" s="5978" t="e">
        <f>IF(V100=0,"",VLOOKUP(V100,'Tablas Magia'!$D$6:$Z$680,20,FALSE))</f>
        <v>#N/A</v>
      </c>
      <c r="AB103" s="5979"/>
      <c r="AC103" s="5979"/>
      <c r="AD103" s="5979"/>
      <c r="AE103" s="5979"/>
      <c r="AF103" s="5979"/>
      <c r="AG103" s="5979"/>
      <c r="AH103" s="5979"/>
      <c r="AI103" s="5979"/>
      <c r="AJ103" s="5980"/>
      <c r="AK103" s="450"/>
      <c r="AL103" s="444"/>
      <c r="AM103" s="499"/>
      <c r="AN103" s="906"/>
      <c r="AO103" s="5976" t="s">
        <v>3285</v>
      </c>
      <c r="AP103" s="5977"/>
      <c r="AQ103" s="461" t="e">
        <f>IF(AO100=0,"",VLOOKUP(AO100,'Tablas Magia'!$D$6:$Z$680,8,FALSE))</f>
        <v>#N/A</v>
      </c>
      <c r="AR103" s="461" t="e">
        <f>IF(AO100=0,"",VLOOKUP(AO100,'Tablas Magia'!$D$6:$Z$680,12,FALSE))</f>
        <v>#N/A</v>
      </c>
      <c r="AS103" s="462" t="e">
        <f>IF(AO100=0,"",VLOOKUP(AO100,'Tablas Magia'!$D$6:$Z$680,16,FALSE))</f>
        <v>#N/A</v>
      </c>
      <c r="AT103" s="5978" t="e">
        <f>IF(AO100=0,"",VLOOKUP(AO100,'Tablas Magia'!$D$6:$Z$680,20,FALSE))</f>
        <v>#N/A</v>
      </c>
      <c r="AU103" s="5979"/>
      <c r="AV103" s="5979"/>
      <c r="AW103" s="5979"/>
      <c r="AX103" s="5979"/>
      <c r="AY103" s="5979"/>
      <c r="AZ103" s="5979"/>
      <c r="BA103" s="5979"/>
      <c r="BB103" s="5979"/>
      <c r="BC103" s="5980"/>
      <c r="BD103" s="450"/>
      <c r="BE103" s="444"/>
      <c r="BF103" s="444"/>
      <c r="BG103" s="906"/>
      <c r="BH103" s="5976" t="s">
        <v>3285</v>
      </c>
      <c r="BI103" s="5977"/>
      <c r="BJ103" s="461" t="e">
        <f>IF(BH100=0,"",VLOOKUP(BH100,'Tablas Magia'!$D$6:$Z$680,8,FALSE))</f>
        <v>#N/A</v>
      </c>
      <c r="BK103" s="461" t="e">
        <f>IF(BH100=0,"",VLOOKUP(BH100,'Tablas Magia'!$D$6:$Z$680,12,FALSE))</f>
        <v>#N/A</v>
      </c>
      <c r="BL103" s="462" t="e">
        <f>IF(BH100=0,"",VLOOKUP(BH100,'Tablas Magia'!$D$6:$Z$680,16,FALSE))</f>
        <v>#N/A</v>
      </c>
      <c r="BM103" s="5978" t="e">
        <f>IF(BH100=0,"",VLOOKUP(BH100,'Tablas Magia'!$D$6:$Z$680,20,FALSE))</f>
        <v>#N/A</v>
      </c>
      <c r="BN103" s="5979"/>
      <c r="BO103" s="5979"/>
      <c r="BP103" s="5979"/>
      <c r="BQ103" s="5979"/>
      <c r="BR103" s="5979"/>
      <c r="BS103" s="5979"/>
      <c r="BT103" s="5979"/>
      <c r="BU103" s="5979"/>
      <c r="BV103" s="5980"/>
      <c r="BW103" s="450"/>
      <c r="BX103" s="444"/>
      <c r="BY103" s="444"/>
      <c r="BZ103" s="906"/>
      <c r="CA103" s="5976" t="s">
        <v>3285</v>
      </c>
      <c r="CB103" s="5977"/>
      <c r="CC103" s="461" t="e">
        <f>IF(CA100=0,"",VLOOKUP(CA100,'Tablas Magia'!$D$6:$Z$680,8,FALSE))</f>
        <v>#N/A</v>
      </c>
      <c r="CD103" s="461" t="e">
        <f>IF(CA100=0,"",VLOOKUP(CA100,'Tablas Magia'!$D$6:$Z$680,12,FALSE))</f>
        <v>#N/A</v>
      </c>
      <c r="CE103" s="462" t="e">
        <f>IF(CA100=0,"",VLOOKUP(CA100,'Tablas Magia'!$D$6:$Z$680,16,FALSE))</f>
        <v>#N/A</v>
      </c>
      <c r="CF103" s="5978" t="e">
        <f>IF(CA100=0,"",VLOOKUP(CA100,'Tablas Magia'!$D$6:$Z$680,20,FALSE))</f>
        <v>#N/A</v>
      </c>
      <c r="CG103" s="5979"/>
      <c r="CH103" s="5979"/>
      <c r="CI103" s="5979"/>
      <c r="CJ103" s="5979"/>
      <c r="CK103" s="5979"/>
      <c r="CL103" s="5979"/>
      <c r="CM103" s="5979"/>
      <c r="CN103" s="5979"/>
      <c r="CO103" s="5980"/>
      <c r="CP103" s="450"/>
      <c r="CQ103" s="444"/>
    </row>
    <row r="104" spans="1:95" ht="12" customHeight="1" x14ac:dyDescent="0.2">
      <c r="A104" s="444"/>
      <c r="B104" s="906"/>
      <c r="C104" s="5981" t="s">
        <v>3286</v>
      </c>
      <c r="D104" s="5982"/>
      <c r="E104" s="459" t="e">
        <f>IF(C100=0,"",VLOOKUP(C100,'Tablas Magia'!$D$6:$Z$680,9,FALSE))</f>
        <v>#N/A</v>
      </c>
      <c r="F104" s="459" t="e">
        <f>IF(C100=0,"",VLOOKUP(C100,'Tablas Magia'!$D$6:$Z$680,13,FALSE))</f>
        <v>#N/A</v>
      </c>
      <c r="G104" s="460" t="e">
        <f>IF(C100=0,"",VLOOKUP(C100,'Tablas Magia'!$D$6:$Z$680,17,FALSE))</f>
        <v>#N/A</v>
      </c>
      <c r="H104" s="5983" t="e">
        <f>IF(C100=0,"",VLOOKUP(C100,'Tablas Magia'!$D$6:$Z$680,21,FALSE))</f>
        <v>#N/A</v>
      </c>
      <c r="I104" s="5984"/>
      <c r="J104" s="5984"/>
      <c r="K104" s="5984"/>
      <c r="L104" s="5984"/>
      <c r="M104" s="5984"/>
      <c r="N104" s="5984"/>
      <c r="O104" s="5984"/>
      <c r="P104" s="5984"/>
      <c r="Q104" s="5985"/>
      <c r="R104" s="450"/>
      <c r="S104" s="444"/>
      <c r="T104" s="444"/>
      <c r="U104" s="906"/>
      <c r="V104" s="5981" t="s">
        <v>3286</v>
      </c>
      <c r="W104" s="5982"/>
      <c r="X104" s="459" t="e">
        <f>IF(V100=0,"",VLOOKUP(V100,'Tablas Magia'!$D$6:$Z$680,9,FALSE))</f>
        <v>#N/A</v>
      </c>
      <c r="Y104" s="459" t="e">
        <f>IF(V100=0,"",VLOOKUP(V100,'Tablas Magia'!$D$6:$Z$680,13,FALSE))</f>
        <v>#N/A</v>
      </c>
      <c r="Z104" s="460" t="e">
        <f>IF(V100=0,"",VLOOKUP(V100,'Tablas Magia'!$D$6:$Z$680,17,FALSE))</f>
        <v>#N/A</v>
      </c>
      <c r="AA104" s="5983" t="e">
        <f>IF(V100=0,"",VLOOKUP(V100,'Tablas Magia'!$D$6:$Z$680,21,FALSE))</f>
        <v>#N/A</v>
      </c>
      <c r="AB104" s="5984"/>
      <c r="AC104" s="5984"/>
      <c r="AD104" s="5984"/>
      <c r="AE104" s="5984"/>
      <c r="AF104" s="5984"/>
      <c r="AG104" s="5984"/>
      <c r="AH104" s="5984"/>
      <c r="AI104" s="5984"/>
      <c r="AJ104" s="5985"/>
      <c r="AK104" s="450"/>
      <c r="AL104" s="444"/>
      <c r="AM104" s="499"/>
      <c r="AN104" s="906"/>
      <c r="AO104" s="5981" t="s">
        <v>3286</v>
      </c>
      <c r="AP104" s="5982"/>
      <c r="AQ104" s="459" t="e">
        <f>IF(AO100=0,"",VLOOKUP(AO100,'Tablas Magia'!$D$6:$Z$680,9,FALSE))</f>
        <v>#N/A</v>
      </c>
      <c r="AR104" s="459" t="e">
        <f>IF(AO100=0,"",VLOOKUP(AO100,'Tablas Magia'!$D$6:$Z$680,13,FALSE))</f>
        <v>#N/A</v>
      </c>
      <c r="AS104" s="460" t="e">
        <f>IF(AO100=0,"",VLOOKUP(AO100,'Tablas Magia'!$D$6:$Z$680,17,FALSE))</f>
        <v>#N/A</v>
      </c>
      <c r="AT104" s="5983" t="e">
        <f>IF(AO100=0,"",VLOOKUP(AO100,'Tablas Magia'!$D$6:$Z$680,21,FALSE))</f>
        <v>#N/A</v>
      </c>
      <c r="AU104" s="5984"/>
      <c r="AV104" s="5984"/>
      <c r="AW104" s="5984"/>
      <c r="AX104" s="5984"/>
      <c r="AY104" s="5984"/>
      <c r="AZ104" s="5984"/>
      <c r="BA104" s="5984"/>
      <c r="BB104" s="5984"/>
      <c r="BC104" s="5985"/>
      <c r="BD104" s="450"/>
      <c r="BE104" s="444"/>
      <c r="BF104" s="444"/>
      <c r="BG104" s="906"/>
      <c r="BH104" s="5981" t="s">
        <v>3286</v>
      </c>
      <c r="BI104" s="5982"/>
      <c r="BJ104" s="459" t="e">
        <f>IF(BH100=0,"",VLOOKUP(BH100,'Tablas Magia'!$D$6:$Z$680,9,FALSE))</f>
        <v>#N/A</v>
      </c>
      <c r="BK104" s="459" t="e">
        <f>IF(BH100=0,"",VLOOKUP(BH100,'Tablas Magia'!$D$6:$Z$680,13,FALSE))</f>
        <v>#N/A</v>
      </c>
      <c r="BL104" s="460" t="e">
        <f>IF(BH100=0,"",VLOOKUP(BH100,'Tablas Magia'!$D$6:$Z$680,17,FALSE))</f>
        <v>#N/A</v>
      </c>
      <c r="BM104" s="5983" t="e">
        <f>IF(BH100=0,"",VLOOKUP(BH100,'Tablas Magia'!$D$6:$Z$680,21,FALSE))</f>
        <v>#N/A</v>
      </c>
      <c r="BN104" s="5984"/>
      <c r="BO104" s="5984"/>
      <c r="BP104" s="5984"/>
      <c r="BQ104" s="5984"/>
      <c r="BR104" s="5984"/>
      <c r="BS104" s="5984"/>
      <c r="BT104" s="5984"/>
      <c r="BU104" s="5984"/>
      <c r="BV104" s="5985"/>
      <c r="BW104" s="450"/>
      <c r="BX104" s="444"/>
      <c r="BY104" s="444"/>
      <c r="BZ104" s="906"/>
      <c r="CA104" s="5981" t="s">
        <v>3286</v>
      </c>
      <c r="CB104" s="5982"/>
      <c r="CC104" s="459" t="e">
        <f>IF(CA100=0,"",VLOOKUP(CA100,'Tablas Magia'!$D$6:$Z$680,9,FALSE))</f>
        <v>#N/A</v>
      </c>
      <c r="CD104" s="459" t="e">
        <f>IF(CA100=0,"",VLOOKUP(CA100,'Tablas Magia'!$D$6:$Z$680,13,FALSE))</f>
        <v>#N/A</v>
      </c>
      <c r="CE104" s="460" t="e">
        <f>IF(CA100=0,"",VLOOKUP(CA100,'Tablas Magia'!$D$6:$Z$680,17,FALSE))</f>
        <v>#N/A</v>
      </c>
      <c r="CF104" s="5983" t="e">
        <f>IF(CA100=0,"",VLOOKUP(CA100,'Tablas Magia'!$D$6:$Z$680,21,FALSE))</f>
        <v>#N/A</v>
      </c>
      <c r="CG104" s="5984"/>
      <c r="CH104" s="5984"/>
      <c r="CI104" s="5984"/>
      <c r="CJ104" s="5984"/>
      <c r="CK104" s="5984"/>
      <c r="CL104" s="5984"/>
      <c r="CM104" s="5984"/>
      <c r="CN104" s="5984"/>
      <c r="CO104" s="5985"/>
      <c r="CP104" s="450"/>
      <c r="CQ104" s="444"/>
    </row>
    <row r="105" spans="1:95" ht="12" customHeight="1" thickBot="1" x14ac:dyDescent="0.25">
      <c r="A105" s="444"/>
      <c r="B105" s="906"/>
      <c r="C105" s="5991" t="s">
        <v>3287</v>
      </c>
      <c r="D105" s="5992"/>
      <c r="E105" s="463" t="e">
        <f>IF(C100=0,"",VLOOKUP(C100,'Tablas Magia'!$D$6:$Z$680,10,FALSE))</f>
        <v>#N/A</v>
      </c>
      <c r="F105" s="463" t="e">
        <f>IF(C100=0,"",VLOOKUP(C100,'Tablas Magia'!$D$6:$Z$680,14,FALSE))</f>
        <v>#N/A</v>
      </c>
      <c r="G105" s="464" t="e">
        <f>IF(C100=0,"",VLOOKUP(C100,'Tablas Magia'!$D$6:$Z$680,18,FALSE))</f>
        <v>#N/A</v>
      </c>
      <c r="H105" s="5993" t="e">
        <f>IF(C100=0,"",VLOOKUP(C100,'Tablas Magia'!$D$6:$Z$680,22,FALSE))</f>
        <v>#N/A</v>
      </c>
      <c r="I105" s="5994"/>
      <c r="J105" s="5994"/>
      <c r="K105" s="5994"/>
      <c r="L105" s="5994"/>
      <c r="M105" s="5994"/>
      <c r="N105" s="5994"/>
      <c r="O105" s="5994"/>
      <c r="P105" s="5994"/>
      <c r="Q105" s="5995"/>
      <c r="R105" s="450"/>
      <c r="S105" s="444"/>
      <c r="T105" s="444"/>
      <c r="U105" s="906"/>
      <c r="V105" s="5991" t="s">
        <v>3287</v>
      </c>
      <c r="W105" s="5992"/>
      <c r="X105" s="463" t="e">
        <f>IF(V100=0,"",VLOOKUP(V100,'Tablas Magia'!$D$6:$Z$680,10,FALSE))</f>
        <v>#N/A</v>
      </c>
      <c r="Y105" s="463" t="e">
        <f>IF(V100=0,"",VLOOKUP(V100,'Tablas Magia'!$D$6:$Z$680,14,FALSE))</f>
        <v>#N/A</v>
      </c>
      <c r="Z105" s="464" t="e">
        <f>IF(V100=0,"",VLOOKUP(V100,'Tablas Magia'!$D$6:$Z$680,18,FALSE))</f>
        <v>#N/A</v>
      </c>
      <c r="AA105" s="5993" t="e">
        <f>IF(V100=0,"",VLOOKUP(V100,'Tablas Magia'!$D$6:$Z$680,22,FALSE))</f>
        <v>#N/A</v>
      </c>
      <c r="AB105" s="5994"/>
      <c r="AC105" s="5994"/>
      <c r="AD105" s="5994"/>
      <c r="AE105" s="5994"/>
      <c r="AF105" s="5994"/>
      <c r="AG105" s="5994"/>
      <c r="AH105" s="5994"/>
      <c r="AI105" s="5994"/>
      <c r="AJ105" s="5995"/>
      <c r="AK105" s="450"/>
      <c r="AL105" s="444"/>
      <c r="AM105" s="499"/>
      <c r="AN105" s="906"/>
      <c r="AO105" s="5991" t="s">
        <v>3287</v>
      </c>
      <c r="AP105" s="5992"/>
      <c r="AQ105" s="463" t="e">
        <f>IF(AO100=0,"",VLOOKUP(AO100,'Tablas Magia'!$D$6:$Z$680,10,FALSE))</f>
        <v>#N/A</v>
      </c>
      <c r="AR105" s="463" t="e">
        <f>IF(AO100=0,"",VLOOKUP(AO100,'Tablas Magia'!$D$6:$Z$680,14,FALSE))</f>
        <v>#N/A</v>
      </c>
      <c r="AS105" s="464" t="e">
        <f>IF(AO100=0,"",VLOOKUP(AO100,'Tablas Magia'!$D$6:$Z$680,18,FALSE))</f>
        <v>#N/A</v>
      </c>
      <c r="AT105" s="5993" t="e">
        <f>IF(AO100=0,"",VLOOKUP(AO100,'Tablas Magia'!$D$6:$Z$680,22,FALSE))</f>
        <v>#N/A</v>
      </c>
      <c r="AU105" s="5994"/>
      <c r="AV105" s="5994"/>
      <c r="AW105" s="5994"/>
      <c r="AX105" s="5994"/>
      <c r="AY105" s="5994"/>
      <c r="AZ105" s="5994"/>
      <c r="BA105" s="5994"/>
      <c r="BB105" s="5994"/>
      <c r="BC105" s="5995"/>
      <c r="BD105" s="450"/>
      <c r="BE105" s="444"/>
      <c r="BF105" s="444"/>
      <c r="BG105" s="906"/>
      <c r="BH105" s="5991" t="s">
        <v>3287</v>
      </c>
      <c r="BI105" s="5992"/>
      <c r="BJ105" s="463" t="e">
        <f>IF(BH100=0,"",VLOOKUP(BH100,'Tablas Magia'!$D$6:$Z$680,10,FALSE))</f>
        <v>#N/A</v>
      </c>
      <c r="BK105" s="463" t="e">
        <f>IF(BH100=0,"",VLOOKUP(BH100,'Tablas Magia'!$D$6:$Z$680,14,FALSE))</f>
        <v>#N/A</v>
      </c>
      <c r="BL105" s="464" t="e">
        <f>IF(BH100=0,"",VLOOKUP(BH100,'Tablas Magia'!$D$6:$Z$680,18,FALSE))</f>
        <v>#N/A</v>
      </c>
      <c r="BM105" s="5993" t="e">
        <f>IF(BH100=0,"",VLOOKUP(BH100,'Tablas Magia'!$D$6:$Z$680,22,FALSE))</f>
        <v>#N/A</v>
      </c>
      <c r="BN105" s="5994"/>
      <c r="BO105" s="5994"/>
      <c r="BP105" s="5994"/>
      <c r="BQ105" s="5994"/>
      <c r="BR105" s="5994"/>
      <c r="BS105" s="5994"/>
      <c r="BT105" s="5994"/>
      <c r="BU105" s="5994"/>
      <c r="BV105" s="5995"/>
      <c r="BW105" s="450"/>
      <c r="BX105" s="444"/>
      <c r="BY105" s="444"/>
      <c r="BZ105" s="906"/>
      <c r="CA105" s="5991" t="s">
        <v>3287</v>
      </c>
      <c r="CB105" s="5992"/>
      <c r="CC105" s="463" t="e">
        <f>IF(CA100=0,"",VLOOKUP(CA100,'Tablas Magia'!$D$6:$Z$680,10,FALSE))</f>
        <v>#N/A</v>
      </c>
      <c r="CD105" s="463" t="e">
        <f>IF(CA100=0,"",VLOOKUP(CA100,'Tablas Magia'!$D$6:$Z$680,14,FALSE))</f>
        <v>#N/A</v>
      </c>
      <c r="CE105" s="464" t="e">
        <f>IF(CA100=0,"",VLOOKUP(CA100,'Tablas Magia'!$D$6:$Z$680,18,FALSE))</f>
        <v>#N/A</v>
      </c>
      <c r="CF105" s="5993" t="e">
        <f>IF(CA100=0,"",VLOOKUP(CA100,'Tablas Magia'!$D$6:$Z$680,22,FALSE))</f>
        <v>#N/A</v>
      </c>
      <c r="CG105" s="5994"/>
      <c r="CH105" s="5994"/>
      <c r="CI105" s="5994"/>
      <c r="CJ105" s="5994"/>
      <c r="CK105" s="5994"/>
      <c r="CL105" s="5994"/>
      <c r="CM105" s="5994"/>
      <c r="CN105" s="5994"/>
      <c r="CO105" s="5995"/>
      <c r="CP105" s="450"/>
      <c r="CQ105" s="444"/>
    </row>
    <row r="106" spans="1:95" ht="12.75" customHeight="1" x14ac:dyDescent="0.2">
      <c r="A106" s="444"/>
      <c r="B106" s="906"/>
      <c r="C106" s="5996" t="e">
        <f>IF(C100=0,"",VLOOKUP(C100,'Tablas Magia'!$D$6:$Z$680,23,FALSE))</f>
        <v>#N/A</v>
      </c>
      <c r="D106" s="5997"/>
      <c r="E106" s="5997"/>
      <c r="F106" s="5997"/>
      <c r="G106" s="5997"/>
      <c r="H106" s="5997"/>
      <c r="I106" s="5997"/>
      <c r="J106" s="5997"/>
      <c r="K106" s="5997"/>
      <c r="L106" s="5997"/>
      <c r="M106" s="5997"/>
      <c r="N106" s="5997"/>
      <c r="O106" s="5997"/>
      <c r="P106" s="5997"/>
      <c r="Q106" s="5998"/>
      <c r="R106" s="450"/>
      <c r="S106" s="444"/>
      <c r="T106" s="444"/>
      <c r="U106" s="906"/>
      <c r="V106" s="5996" t="e">
        <f>IF(V100=0,"",VLOOKUP(V100,'Tablas Magia'!$D$6:$Z$680,23,FALSE))</f>
        <v>#N/A</v>
      </c>
      <c r="W106" s="5997"/>
      <c r="X106" s="5997"/>
      <c r="Y106" s="5997"/>
      <c r="Z106" s="5997"/>
      <c r="AA106" s="5997"/>
      <c r="AB106" s="5997"/>
      <c r="AC106" s="5997"/>
      <c r="AD106" s="5997"/>
      <c r="AE106" s="5997"/>
      <c r="AF106" s="5997"/>
      <c r="AG106" s="5997"/>
      <c r="AH106" s="5997"/>
      <c r="AI106" s="5997"/>
      <c r="AJ106" s="5998"/>
      <c r="AK106" s="450"/>
      <c r="AL106" s="444"/>
      <c r="AM106" s="499"/>
      <c r="AN106" s="906"/>
      <c r="AO106" s="5996" t="e">
        <f>IF(AO100=0,"",VLOOKUP(AO100,'Tablas Magia'!$D$6:$Z$680,23,FALSE))</f>
        <v>#N/A</v>
      </c>
      <c r="AP106" s="5997"/>
      <c r="AQ106" s="5997"/>
      <c r="AR106" s="5997"/>
      <c r="AS106" s="5997"/>
      <c r="AT106" s="5997"/>
      <c r="AU106" s="5997"/>
      <c r="AV106" s="5997"/>
      <c r="AW106" s="5997"/>
      <c r="AX106" s="5997"/>
      <c r="AY106" s="5997"/>
      <c r="AZ106" s="5997"/>
      <c r="BA106" s="5997"/>
      <c r="BB106" s="5997"/>
      <c r="BC106" s="5998"/>
      <c r="BD106" s="450"/>
      <c r="BE106" s="444"/>
      <c r="BF106" s="444"/>
      <c r="BG106" s="906"/>
      <c r="BH106" s="5996" t="e">
        <f>IF(BH100=0,"",VLOOKUP(BH100,'Tablas Magia'!$D$6:$Z$680,23,FALSE))</f>
        <v>#N/A</v>
      </c>
      <c r="BI106" s="5997"/>
      <c r="BJ106" s="5997"/>
      <c r="BK106" s="5997"/>
      <c r="BL106" s="5997"/>
      <c r="BM106" s="5997"/>
      <c r="BN106" s="5997"/>
      <c r="BO106" s="5997"/>
      <c r="BP106" s="5997"/>
      <c r="BQ106" s="5997"/>
      <c r="BR106" s="5997"/>
      <c r="BS106" s="5997"/>
      <c r="BT106" s="5997"/>
      <c r="BU106" s="5997"/>
      <c r="BV106" s="5998"/>
      <c r="BW106" s="450"/>
      <c r="BX106" s="444"/>
      <c r="BY106" s="444"/>
      <c r="BZ106" s="906"/>
      <c r="CA106" s="5996" t="e">
        <f>IF(CA100=0,"",VLOOKUP(CA100,'Tablas Magia'!$D$6:$Z$680,23,FALSE))</f>
        <v>#N/A</v>
      </c>
      <c r="CB106" s="5997"/>
      <c r="CC106" s="5997"/>
      <c r="CD106" s="5997"/>
      <c r="CE106" s="5997"/>
      <c r="CF106" s="5997"/>
      <c r="CG106" s="5997"/>
      <c r="CH106" s="5997"/>
      <c r="CI106" s="5997"/>
      <c r="CJ106" s="5997"/>
      <c r="CK106" s="5997"/>
      <c r="CL106" s="5997"/>
      <c r="CM106" s="5997"/>
      <c r="CN106" s="5997"/>
      <c r="CO106" s="5998"/>
      <c r="CP106" s="450"/>
      <c r="CQ106" s="444"/>
    </row>
    <row r="107" spans="1:95" x14ac:dyDescent="0.2">
      <c r="A107" s="444"/>
      <c r="B107" s="906"/>
      <c r="C107" s="5999"/>
      <c r="D107" s="6000"/>
      <c r="E107" s="6000"/>
      <c r="F107" s="6000"/>
      <c r="G107" s="6000"/>
      <c r="H107" s="6000"/>
      <c r="I107" s="6000"/>
      <c r="J107" s="6000"/>
      <c r="K107" s="6000"/>
      <c r="L107" s="6000"/>
      <c r="M107" s="6000"/>
      <c r="N107" s="6000"/>
      <c r="O107" s="6000"/>
      <c r="P107" s="6000"/>
      <c r="Q107" s="6001"/>
      <c r="R107" s="450"/>
      <c r="S107" s="444"/>
      <c r="T107" s="444"/>
      <c r="U107" s="906"/>
      <c r="V107" s="5999"/>
      <c r="W107" s="6000"/>
      <c r="X107" s="6000"/>
      <c r="Y107" s="6000"/>
      <c r="Z107" s="6000"/>
      <c r="AA107" s="6000"/>
      <c r="AB107" s="6000"/>
      <c r="AC107" s="6000"/>
      <c r="AD107" s="6000"/>
      <c r="AE107" s="6000"/>
      <c r="AF107" s="6000"/>
      <c r="AG107" s="6000"/>
      <c r="AH107" s="6000"/>
      <c r="AI107" s="6000"/>
      <c r="AJ107" s="6001"/>
      <c r="AK107" s="450"/>
      <c r="AL107" s="444"/>
      <c r="AM107" s="499"/>
      <c r="AN107" s="906"/>
      <c r="AO107" s="5999"/>
      <c r="AP107" s="6000"/>
      <c r="AQ107" s="6000"/>
      <c r="AR107" s="6000"/>
      <c r="AS107" s="6000"/>
      <c r="AT107" s="6000"/>
      <c r="AU107" s="6000"/>
      <c r="AV107" s="6000"/>
      <c r="AW107" s="6000"/>
      <c r="AX107" s="6000"/>
      <c r="AY107" s="6000"/>
      <c r="AZ107" s="6000"/>
      <c r="BA107" s="6000"/>
      <c r="BB107" s="6000"/>
      <c r="BC107" s="6001"/>
      <c r="BD107" s="450"/>
      <c r="BE107" s="444"/>
      <c r="BF107" s="444"/>
      <c r="BG107" s="906"/>
      <c r="BH107" s="5999"/>
      <c r="BI107" s="6000"/>
      <c r="BJ107" s="6000"/>
      <c r="BK107" s="6000"/>
      <c r="BL107" s="6000"/>
      <c r="BM107" s="6000"/>
      <c r="BN107" s="6000"/>
      <c r="BO107" s="6000"/>
      <c r="BP107" s="6000"/>
      <c r="BQ107" s="6000"/>
      <c r="BR107" s="6000"/>
      <c r="BS107" s="6000"/>
      <c r="BT107" s="6000"/>
      <c r="BU107" s="6000"/>
      <c r="BV107" s="6001"/>
      <c r="BW107" s="450"/>
      <c r="BX107" s="444"/>
      <c r="BY107" s="444"/>
      <c r="BZ107" s="906"/>
      <c r="CA107" s="5999"/>
      <c r="CB107" s="6000"/>
      <c r="CC107" s="6000"/>
      <c r="CD107" s="6000"/>
      <c r="CE107" s="6000"/>
      <c r="CF107" s="6000"/>
      <c r="CG107" s="6000"/>
      <c r="CH107" s="6000"/>
      <c r="CI107" s="6000"/>
      <c r="CJ107" s="6000"/>
      <c r="CK107" s="6000"/>
      <c r="CL107" s="6000"/>
      <c r="CM107" s="6000"/>
      <c r="CN107" s="6000"/>
      <c r="CO107" s="6001"/>
      <c r="CP107" s="450"/>
      <c r="CQ107" s="444"/>
    </row>
    <row r="108" spans="1:95" ht="12.75" customHeight="1" x14ac:dyDescent="0.2">
      <c r="A108" s="444"/>
      <c r="B108" s="906"/>
      <c r="C108" s="5999"/>
      <c r="D108" s="6000"/>
      <c r="E108" s="6000"/>
      <c r="F108" s="6000"/>
      <c r="G108" s="6000"/>
      <c r="H108" s="6000"/>
      <c r="I108" s="6000"/>
      <c r="J108" s="6000"/>
      <c r="K108" s="6000"/>
      <c r="L108" s="6000"/>
      <c r="M108" s="6000"/>
      <c r="N108" s="6000"/>
      <c r="O108" s="6000"/>
      <c r="P108" s="6000"/>
      <c r="Q108" s="6001"/>
      <c r="R108" s="450"/>
      <c r="S108" s="444"/>
      <c r="T108" s="444"/>
      <c r="U108" s="906"/>
      <c r="V108" s="5999"/>
      <c r="W108" s="6000"/>
      <c r="X108" s="6000"/>
      <c r="Y108" s="6000"/>
      <c r="Z108" s="6000"/>
      <c r="AA108" s="6000"/>
      <c r="AB108" s="6000"/>
      <c r="AC108" s="6000"/>
      <c r="AD108" s="6000"/>
      <c r="AE108" s="6000"/>
      <c r="AF108" s="6000"/>
      <c r="AG108" s="6000"/>
      <c r="AH108" s="6000"/>
      <c r="AI108" s="6000"/>
      <c r="AJ108" s="6001"/>
      <c r="AK108" s="450"/>
      <c r="AL108" s="444"/>
      <c r="AM108" s="499"/>
      <c r="AN108" s="906"/>
      <c r="AO108" s="5999"/>
      <c r="AP108" s="6000"/>
      <c r="AQ108" s="6000"/>
      <c r="AR108" s="6000"/>
      <c r="AS108" s="6000"/>
      <c r="AT108" s="6000"/>
      <c r="AU108" s="6000"/>
      <c r="AV108" s="6000"/>
      <c r="AW108" s="6000"/>
      <c r="AX108" s="6000"/>
      <c r="AY108" s="6000"/>
      <c r="AZ108" s="6000"/>
      <c r="BA108" s="6000"/>
      <c r="BB108" s="6000"/>
      <c r="BC108" s="6001"/>
      <c r="BD108" s="450"/>
      <c r="BE108" s="444"/>
      <c r="BF108" s="444"/>
      <c r="BG108" s="906"/>
      <c r="BH108" s="5999"/>
      <c r="BI108" s="6000"/>
      <c r="BJ108" s="6000"/>
      <c r="BK108" s="6000"/>
      <c r="BL108" s="6000"/>
      <c r="BM108" s="6000"/>
      <c r="BN108" s="6000"/>
      <c r="BO108" s="6000"/>
      <c r="BP108" s="6000"/>
      <c r="BQ108" s="6000"/>
      <c r="BR108" s="6000"/>
      <c r="BS108" s="6000"/>
      <c r="BT108" s="6000"/>
      <c r="BU108" s="6000"/>
      <c r="BV108" s="6001"/>
      <c r="BW108" s="450"/>
      <c r="BX108" s="444"/>
      <c r="BY108" s="444"/>
      <c r="BZ108" s="906"/>
      <c r="CA108" s="5999"/>
      <c r="CB108" s="6000"/>
      <c r="CC108" s="6000"/>
      <c r="CD108" s="6000"/>
      <c r="CE108" s="6000"/>
      <c r="CF108" s="6000"/>
      <c r="CG108" s="6000"/>
      <c r="CH108" s="6000"/>
      <c r="CI108" s="6000"/>
      <c r="CJ108" s="6000"/>
      <c r="CK108" s="6000"/>
      <c r="CL108" s="6000"/>
      <c r="CM108" s="6000"/>
      <c r="CN108" s="6000"/>
      <c r="CO108" s="6001"/>
      <c r="CP108" s="450"/>
      <c r="CQ108" s="444"/>
    </row>
    <row r="109" spans="1:95" ht="12.75" customHeight="1" thickBot="1" x14ac:dyDescent="0.25">
      <c r="A109" s="444"/>
      <c r="B109" s="906"/>
      <c r="C109" s="6002"/>
      <c r="D109" s="6003"/>
      <c r="E109" s="6003"/>
      <c r="F109" s="6003"/>
      <c r="G109" s="6003"/>
      <c r="H109" s="6003"/>
      <c r="I109" s="6003"/>
      <c r="J109" s="6003"/>
      <c r="K109" s="6003"/>
      <c r="L109" s="6003"/>
      <c r="M109" s="6003"/>
      <c r="N109" s="6003"/>
      <c r="O109" s="6003"/>
      <c r="P109" s="6003"/>
      <c r="Q109" s="6004"/>
      <c r="R109" s="450"/>
      <c r="S109" s="444"/>
      <c r="T109" s="444"/>
      <c r="U109" s="906"/>
      <c r="V109" s="6002"/>
      <c r="W109" s="6003"/>
      <c r="X109" s="6003"/>
      <c r="Y109" s="6003"/>
      <c r="Z109" s="6003"/>
      <c r="AA109" s="6003"/>
      <c r="AB109" s="6003"/>
      <c r="AC109" s="6003"/>
      <c r="AD109" s="6003"/>
      <c r="AE109" s="6003"/>
      <c r="AF109" s="6003"/>
      <c r="AG109" s="6003"/>
      <c r="AH109" s="6003"/>
      <c r="AI109" s="6003"/>
      <c r="AJ109" s="6004"/>
      <c r="AK109" s="450"/>
      <c r="AL109" s="444"/>
      <c r="AM109" s="499"/>
      <c r="AN109" s="906"/>
      <c r="AO109" s="6002"/>
      <c r="AP109" s="6003"/>
      <c r="AQ109" s="6003"/>
      <c r="AR109" s="6003"/>
      <c r="AS109" s="6003"/>
      <c r="AT109" s="6003"/>
      <c r="AU109" s="6003"/>
      <c r="AV109" s="6003"/>
      <c r="AW109" s="6003"/>
      <c r="AX109" s="6003"/>
      <c r="AY109" s="6003"/>
      <c r="AZ109" s="6003"/>
      <c r="BA109" s="6003"/>
      <c r="BB109" s="6003"/>
      <c r="BC109" s="6004"/>
      <c r="BD109" s="450"/>
      <c r="BE109" s="444"/>
      <c r="BF109" s="444"/>
      <c r="BG109" s="906"/>
      <c r="BH109" s="6002"/>
      <c r="BI109" s="6003"/>
      <c r="BJ109" s="6003"/>
      <c r="BK109" s="6003"/>
      <c r="BL109" s="6003"/>
      <c r="BM109" s="6003"/>
      <c r="BN109" s="6003"/>
      <c r="BO109" s="6003"/>
      <c r="BP109" s="6003"/>
      <c r="BQ109" s="6003"/>
      <c r="BR109" s="6003"/>
      <c r="BS109" s="6003"/>
      <c r="BT109" s="6003"/>
      <c r="BU109" s="6003"/>
      <c r="BV109" s="6004"/>
      <c r="BW109" s="450"/>
      <c r="BX109" s="444"/>
      <c r="BY109" s="444"/>
      <c r="BZ109" s="906"/>
      <c r="CA109" s="6002"/>
      <c r="CB109" s="6003"/>
      <c r="CC109" s="6003"/>
      <c r="CD109" s="6003"/>
      <c r="CE109" s="6003"/>
      <c r="CF109" s="6003"/>
      <c r="CG109" s="6003"/>
      <c r="CH109" s="6003"/>
      <c r="CI109" s="6003"/>
      <c r="CJ109" s="6003"/>
      <c r="CK109" s="6003"/>
      <c r="CL109" s="6003"/>
      <c r="CM109" s="6003"/>
      <c r="CN109" s="6003"/>
      <c r="CO109" s="6004"/>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601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13"/>
      <c r="E111" s="6013"/>
      <c r="F111" s="6013"/>
      <c r="G111" s="6013"/>
      <c r="H111" s="454" t="s">
        <v>1333</v>
      </c>
      <c r="I111" s="455">
        <f>B111</f>
        <v>20</v>
      </c>
      <c r="J111" s="6005" t="s">
        <v>6388</v>
      </c>
      <c r="K111" s="6005"/>
      <c r="L111" s="6005"/>
      <c r="M111" s="5972" t="e">
        <f>IF(C111=0,"",VLOOKUP(C111,'Tablas Magia'!$D$6:$Z$680,2,FALSE))</f>
        <v>#N/A</v>
      </c>
      <c r="N111" s="5972"/>
      <c r="O111" s="1959"/>
      <c r="P111" s="6016" t="str">
        <f>IFERROR(IF(M111="Libre Acceso","Aprendido",IF(IFERROR(VLOOKUP(M111,Místicos!$C$15:$H$25,6,0)&gt;=I111,FALSE),"Aprendido",IF(IFERROR(VLOOKUP(M111,Místicos!$E$15:$H$25,4,0)&gt;=I111,FALSE),"Aprendido",""))),"")</f>
        <v/>
      </c>
      <c r="Q111" s="6017"/>
      <c r="R111" s="450"/>
      <c r="S111" s="444"/>
      <c r="T111" s="444"/>
      <c r="U111" s="906">
        <f>U100+2</f>
        <v>40</v>
      </c>
      <c r="V111" s="601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13"/>
      <c r="X111" s="6013"/>
      <c r="Y111" s="6013"/>
      <c r="Z111" s="6013"/>
      <c r="AA111" s="454" t="s">
        <v>1333</v>
      </c>
      <c r="AB111" s="455">
        <f>U111</f>
        <v>40</v>
      </c>
      <c r="AC111" s="6005" t="s">
        <v>6388</v>
      </c>
      <c r="AD111" s="6005"/>
      <c r="AE111" s="6005"/>
      <c r="AF111" s="5972" t="e">
        <f>IF(V111=0,"",VLOOKUP(V111,'Tablas Magia'!$D$6:$Z$680,2,FALSE))</f>
        <v>#N/A</v>
      </c>
      <c r="AG111" s="5972"/>
      <c r="AH111" s="1959"/>
      <c r="AI111" s="6016" t="str">
        <f>IFERROR(IF(AF111="Libre Acceso","Aprendido",IF(IFERROR(VLOOKUP(AF111,Místicos!$C$15:$H$25,6,0)&gt;=AB111,FALSE),"Aprendido",IF(IFERROR(VLOOKUP(AF111,Místicos!$E$15:$H$25,4,0)&gt;=AB111,FALSE),"Aprendido",""))),"")</f>
        <v/>
      </c>
      <c r="AJ111" s="6017"/>
      <c r="AK111" s="450"/>
      <c r="AL111" s="444"/>
      <c r="AM111" s="499"/>
      <c r="AN111" s="906">
        <f>AN100+2</f>
        <v>60</v>
      </c>
      <c r="AO111" s="601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13"/>
      <c r="AQ111" s="6013"/>
      <c r="AR111" s="6013"/>
      <c r="AS111" s="6013"/>
      <c r="AT111" s="454" t="s">
        <v>1333</v>
      </c>
      <c r="AU111" s="455">
        <f>AN111</f>
        <v>60</v>
      </c>
      <c r="AV111" s="6005" t="s">
        <v>6388</v>
      </c>
      <c r="AW111" s="6005"/>
      <c r="AX111" s="6005"/>
      <c r="AY111" s="5972" t="e">
        <f>IF(AO111=0,"",VLOOKUP(AO111,'Tablas Magia'!$D$6:$Z$680,2,FALSE))</f>
        <v>#N/A</v>
      </c>
      <c r="AZ111" s="5972"/>
      <c r="BA111" s="1959"/>
      <c r="BB111" s="6016" t="str">
        <f>IFERROR(IF(AY111="Libre Acceso","Aprendido",IF(IFERROR(VLOOKUP(AY111,Místicos!$C$15:$H$25,6,0)&gt;=AU111,FALSE),"Aprendido",IF(IFERROR(VLOOKUP(AY111,Místicos!$E$15:$H$25,4,0)&gt;=AU111,FALSE),"Aprendido",""))),"")</f>
        <v/>
      </c>
      <c r="BC111" s="6017"/>
      <c r="BD111" s="450"/>
      <c r="BE111" s="444"/>
      <c r="BF111" s="444"/>
      <c r="BG111" s="906">
        <f>BG100+2</f>
        <v>80</v>
      </c>
      <c r="BH111" s="601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13"/>
      <c r="BJ111" s="6013"/>
      <c r="BK111" s="6013"/>
      <c r="BL111" s="6013"/>
      <c r="BM111" s="454" t="s">
        <v>1333</v>
      </c>
      <c r="BN111" s="455">
        <f>BG111</f>
        <v>80</v>
      </c>
      <c r="BO111" s="6005" t="s">
        <v>6388</v>
      </c>
      <c r="BP111" s="6005"/>
      <c r="BQ111" s="6005"/>
      <c r="BR111" s="5972" t="e">
        <f>IF(BH111=0,"",VLOOKUP(BH111,'Tablas Magia'!$D$6:$Z$680,2,FALSE))</f>
        <v>#N/A</v>
      </c>
      <c r="BS111" s="5972"/>
      <c r="BT111" s="1959"/>
      <c r="BU111" s="6016" t="str">
        <f>IFERROR(IF(BR111="Libre Acceso","Aprendido",IF(IFERROR(VLOOKUP(BR111,Místicos!$C$15:$H$25,6,0)&gt;=BN111,FALSE),"Aprendido",IF(IFERROR(VLOOKUP(BR111,Místicos!$E$15:$H$25,4,0)&gt;=BN111,FALSE),"Aprendido",""))),"")</f>
        <v/>
      </c>
      <c r="BV111" s="6017"/>
      <c r="BW111" s="450"/>
      <c r="BX111" s="444"/>
      <c r="BY111" s="444"/>
      <c r="BZ111" s="906">
        <f>BZ100+2</f>
        <v>100</v>
      </c>
      <c r="CA111" s="601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13"/>
      <c r="CC111" s="6013"/>
      <c r="CD111" s="6013"/>
      <c r="CE111" s="6013"/>
      <c r="CF111" s="454" t="s">
        <v>1333</v>
      </c>
      <c r="CG111" s="455">
        <f>BZ111</f>
        <v>100</v>
      </c>
      <c r="CH111" s="6005" t="s">
        <v>6388</v>
      </c>
      <c r="CI111" s="6005"/>
      <c r="CJ111" s="6005"/>
      <c r="CK111" s="5972" t="e">
        <f>IF(CA111=0,"",VLOOKUP(CA111,'Tablas Magia'!$D$6:$Z$680,2,FALSE))</f>
        <v>#N/A</v>
      </c>
      <c r="CL111" s="5972"/>
      <c r="CM111" s="1959"/>
      <c r="CN111" s="6016" t="str">
        <f>IFERROR(IF(CK111="Libre Acceso","Aprendido",IF(IFERROR(VLOOKUP(CK111,Místicos!$C$15:$H$25,6,0)&gt;=CG111,FALSE),"Aprendido",IF(IFERROR(VLOOKUP(CK111,Místicos!$E$15:$H$25,4,0)&gt;=CG111,FALSE),"Aprendido",""))),"")</f>
        <v/>
      </c>
      <c r="CO111" s="6017"/>
      <c r="CP111" s="450"/>
      <c r="CQ111" s="444"/>
    </row>
    <row r="112" spans="1:95" ht="12.75" customHeight="1" x14ac:dyDescent="0.2">
      <c r="A112" s="444"/>
      <c r="B112" s="906"/>
      <c r="C112" s="5989" t="s">
        <v>6389</v>
      </c>
      <c r="D112" s="6006"/>
      <c r="E112" s="1972" t="s">
        <v>6390</v>
      </c>
      <c r="F112" s="1972" t="s">
        <v>1517</v>
      </c>
      <c r="G112" s="1972" t="s">
        <v>2914</v>
      </c>
      <c r="H112" s="1973" t="s">
        <v>1845</v>
      </c>
      <c r="I112" s="6007" t="e">
        <f>IF(C111=0,"",VLOOKUP(C111,'Tablas Magia'!$D$6:$Z$680,5,FALSE))</f>
        <v>#N/A</v>
      </c>
      <c r="J112" s="6007"/>
      <c r="K112" s="6018" t="s">
        <v>6391</v>
      </c>
      <c r="L112" s="6018"/>
      <c r="M112" s="6007" t="e">
        <f>IF(C111=0,"",VLOOKUP(C111,'Tablas Magia'!$D$6:$Z$680,6,FALSE))</f>
        <v>#N/A</v>
      </c>
      <c r="N112" s="6007"/>
      <c r="O112" s="6008" t="s">
        <v>6392</v>
      </c>
      <c r="P112" s="6008"/>
      <c r="Q112" s="1974" t="e">
        <f>IF(C111=0,"",VLOOKUP(C111,'Tablas Magia'!$D$6:$Z$680,4,FALSE))</f>
        <v>#N/A</v>
      </c>
      <c r="R112" s="450"/>
      <c r="S112" s="444"/>
      <c r="T112" s="444"/>
      <c r="U112" s="906"/>
      <c r="V112" s="5989" t="s">
        <v>6389</v>
      </c>
      <c r="W112" s="6006"/>
      <c r="X112" s="1972" t="s">
        <v>6390</v>
      </c>
      <c r="Y112" s="1972" t="s">
        <v>1517</v>
      </c>
      <c r="Z112" s="1972" t="s">
        <v>2914</v>
      </c>
      <c r="AA112" s="1973" t="s">
        <v>1845</v>
      </c>
      <c r="AB112" s="6007" t="e">
        <f>IF(V111=0,"",VLOOKUP(V111,'Tablas Magia'!$D$6:$Z$680,5,FALSE))</f>
        <v>#N/A</v>
      </c>
      <c r="AC112" s="6007"/>
      <c r="AD112" s="6018" t="s">
        <v>6391</v>
      </c>
      <c r="AE112" s="6018"/>
      <c r="AF112" s="6007" t="e">
        <f>IF(V111=0,"",VLOOKUP(V111,'Tablas Magia'!$D$6:$Z$680,6,FALSE))</f>
        <v>#N/A</v>
      </c>
      <c r="AG112" s="6007"/>
      <c r="AH112" s="6008" t="s">
        <v>6392</v>
      </c>
      <c r="AI112" s="6008"/>
      <c r="AJ112" s="1974" t="e">
        <f>IF(V111=0,"",VLOOKUP(V111,'Tablas Magia'!$D$6:$Z$680,4,FALSE))</f>
        <v>#N/A</v>
      </c>
      <c r="AK112" s="450"/>
      <c r="AL112" s="444"/>
      <c r="AM112" s="499"/>
      <c r="AN112" s="906"/>
      <c r="AO112" s="5989" t="s">
        <v>6389</v>
      </c>
      <c r="AP112" s="6006"/>
      <c r="AQ112" s="1972" t="s">
        <v>6390</v>
      </c>
      <c r="AR112" s="1972" t="s">
        <v>1517</v>
      </c>
      <c r="AS112" s="1972" t="s">
        <v>2914</v>
      </c>
      <c r="AT112" s="1973" t="s">
        <v>1845</v>
      </c>
      <c r="AU112" s="6007" t="e">
        <f>IF(AO111=0,"",VLOOKUP(AO111,'Tablas Magia'!$D$6:$Z$680,5,FALSE))</f>
        <v>#N/A</v>
      </c>
      <c r="AV112" s="6007"/>
      <c r="AW112" s="6018" t="s">
        <v>6391</v>
      </c>
      <c r="AX112" s="6018"/>
      <c r="AY112" s="6007" t="e">
        <f>IF(AO111=0,"",VLOOKUP(AO111,'Tablas Magia'!$D$6:$Z$680,6,FALSE))</f>
        <v>#N/A</v>
      </c>
      <c r="AZ112" s="6007"/>
      <c r="BA112" s="6008" t="s">
        <v>6392</v>
      </c>
      <c r="BB112" s="6008"/>
      <c r="BC112" s="1974" t="e">
        <f>IF(AO111=0,"",VLOOKUP(AO111,'Tablas Magia'!$D$6:$Z$680,4,FALSE))</f>
        <v>#N/A</v>
      </c>
      <c r="BD112" s="450"/>
      <c r="BE112" s="444"/>
      <c r="BF112" s="444"/>
      <c r="BG112" s="906"/>
      <c r="BH112" s="5989" t="s">
        <v>6389</v>
      </c>
      <c r="BI112" s="6006"/>
      <c r="BJ112" s="1972" t="s">
        <v>6390</v>
      </c>
      <c r="BK112" s="1972" t="s">
        <v>1517</v>
      </c>
      <c r="BL112" s="1972" t="s">
        <v>2914</v>
      </c>
      <c r="BM112" s="1973" t="s">
        <v>1845</v>
      </c>
      <c r="BN112" s="6007" t="e">
        <f>IF(BH111=0,"",VLOOKUP(BH111,'Tablas Magia'!$D$6:$Z$680,5,FALSE))</f>
        <v>#N/A</v>
      </c>
      <c r="BO112" s="6007"/>
      <c r="BP112" s="6018" t="s">
        <v>6391</v>
      </c>
      <c r="BQ112" s="6018"/>
      <c r="BR112" s="6007" t="e">
        <f>IF(BH111=0,"",VLOOKUP(BH111,'Tablas Magia'!$D$6:$Z$680,6,FALSE))</f>
        <v>#N/A</v>
      </c>
      <c r="BS112" s="6007"/>
      <c r="BT112" s="6008" t="s">
        <v>6392</v>
      </c>
      <c r="BU112" s="6008"/>
      <c r="BV112" s="1974" t="e">
        <f>IF(BH111=0,"",VLOOKUP(BH111,'Tablas Magia'!$D$6:$Z$680,4,FALSE))</f>
        <v>#N/A</v>
      </c>
      <c r="BW112" s="450"/>
      <c r="BX112" s="444"/>
      <c r="BY112" s="444"/>
      <c r="BZ112" s="906"/>
      <c r="CA112" s="5989" t="s">
        <v>6389</v>
      </c>
      <c r="CB112" s="6006"/>
      <c r="CC112" s="1972" t="s">
        <v>6390</v>
      </c>
      <c r="CD112" s="1972" t="s">
        <v>1517</v>
      </c>
      <c r="CE112" s="1972" t="s">
        <v>2914</v>
      </c>
      <c r="CF112" s="1973" t="s">
        <v>1845</v>
      </c>
      <c r="CG112" s="6007" t="e">
        <f>IF(CA111=0,"",VLOOKUP(CA111,'Tablas Magia'!$D$6:$Z$680,5,FALSE))</f>
        <v>#N/A</v>
      </c>
      <c r="CH112" s="6007"/>
      <c r="CI112" s="6018" t="s">
        <v>6391</v>
      </c>
      <c r="CJ112" s="6018"/>
      <c r="CK112" s="6007" t="e">
        <f>IF(CA111=0,"",VLOOKUP(CA111,'Tablas Magia'!$D$6:$Z$680,6,FALSE))</f>
        <v>#N/A</v>
      </c>
      <c r="CL112" s="6007"/>
      <c r="CM112" s="6008" t="s">
        <v>6392</v>
      </c>
      <c r="CN112" s="6008"/>
      <c r="CO112" s="1974" t="e">
        <f>IF(CA111=0,"",VLOOKUP(CA111,'Tablas Magia'!$D$6:$Z$680,4,FALSE))</f>
        <v>#N/A</v>
      </c>
      <c r="CP112" s="450"/>
      <c r="CQ112" s="444"/>
    </row>
    <row r="113" spans="1:95" x14ac:dyDescent="0.2">
      <c r="A113" s="444"/>
      <c r="B113" s="906"/>
      <c r="C113" s="5981" t="s">
        <v>1373</v>
      </c>
      <c r="D113" s="5982"/>
      <c r="E113" s="459" t="e">
        <f>IF(C111=0,"",VLOOKUP(C111,'Tablas Magia'!$D$6:$Z$680,7,FALSE))</f>
        <v>#N/A</v>
      </c>
      <c r="F113" s="459" t="e">
        <f>IF(C111=0,"",VLOOKUP(C111,'Tablas Magia'!$D$6:$Z$680,11,FALSE))</f>
        <v>#N/A</v>
      </c>
      <c r="G113" s="460" t="e">
        <f>IF(C111=0,"",VLOOKUP(C111,'Tablas Magia'!$D$6:$Z$680,15,FALSE))</f>
        <v>#N/A</v>
      </c>
      <c r="H113" s="5983" t="e">
        <f>IF(C111=0,"",VLOOKUP(C111,'Tablas Magia'!$D$6:$Z$680,19,FALSE))</f>
        <v>#N/A</v>
      </c>
      <c r="I113" s="5984"/>
      <c r="J113" s="5984"/>
      <c r="K113" s="5984"/>
      <c r="L113" s="5984"/>
      <c r="M113" s="5984"/>
      <c r="N113" s="5984"/>
      <c r="O113" s="5984"/>
      <c r="P113" s="5984"/>
      <c r="Q113" s="5985"/>
      <c r="R113" s="450"/>
      <c r="S113" s="444"/>
      <c r="T113" s="444"/>
      <c r="U113" s="906"/>
      <c r="V113" s="5981" t="s">
        <v>1373</v>
      </c>
      <c r="W113" s="5982"/>
      <c r="X113" s="459" t="e">
        <f>IF(V111=0,"",VLOOKUP(V111,'Tablas Magia'!$D$6:$Z$680,7,FALSE))</f>
        <v>#N/A</v>
      </c>
      <c r="Y113" s="459" t="e">
        <f>IF(V111=0,"",VLOOKUP(V111,'Tablas Magia'!$D$6:$Z$680,11,FALSE))</f>
        <v>#N/A</v>
      </c>
      <c r="Z113" s="460" t="e">
        <f>IF(V111=0,"",VLOOKUP(V111,'Tablas Magia'!$D$6:$Z$680,15,FALSE))</f>
        <v>#N/A</v>
      </c>
      <c r="AA113" s="5983" t="e">
        <f>IF(V111=0,"",VLOOKUP(V111,'Tablas Magia'!$D$6:$Z$680,19,FALSE))</f>
        <v>#N/A</v>
      </c>
      <c r="AB113" s="5984"/>
      <c r="AC113" s="5984"/>
      <c r="AD113" s="5984"/>
      <c r="AE113" s="5984"/>
      <c r="AF113" s="5984"/>
      <c r="AG113" s="5984"/>
      <c r="AH113" s="5984"/>
      <c r="AI113" s="5984"/>
      <c r="AJ113" s="5985"/>
      <c r="AK113" s="450"/>
      <c r="AL113" s="444"/>
      <c r="AM113" s="499"/>
      <c r="AN113" s="906"/>
      <c r="AO113" s="5981" t="s">
        <v>1373</v>
      </c>
      <c r="AP113" s="5982"/>
      <c r="AQ113" s="459" t="e">
        <f>IF(AO111=0,"",VLOOKUP(AO111,'Tablas Magia'!$D$6:$Z$680,7,FALSE))</f>
        <v>#N/A</v>
      </c>
      <c r="AR113" s="459" t="e">
        <f>IF(AO111=0,"",VLOOKUP(AO111,'Tablas Magia'!$D$6:$Z$680,11,FALSE))</f>
        <v>#N/A</v>
      </c>
      <c r="AS113" s="460" t="e">
        <f>IF(AO111=0,"",VLOOKUP(AO111,'Tablas Magia'!$D$6:$Z$680,15,FALSE))</f>
        <v>#N/A</v>
      </c>
      <c r="AT113" s="5983" t="e">
        <f>IF(AO111=0,"",VLOOKUP(AO111,'Tablas Magia'!$D$6:$Z$680,19,FALSE))</f>
        <v>#N/A</v>
      </c>
      <c r="AU113" s="5984"/>
      <c r="AV113" s="5984"/>
      <c r="AW113" s="5984"/>
      <c r="AX113" s="5984"/>
      <c r="AY113" s="5984"/>
      <c r="AZ113" s="5984"/>
      <c r="BA113" s="5984"/>
      <c r="BB113" s="5984"/>
      <c r="BC113" s="5985"/>
      <c r="BD113" s="450"/>
      <c r="BE113" s="444"/>
      <c r="BF113" s="444"/>
      <c r="BG113" s="906"/>
      <c r="BH113" s="5981" t="s">
        <v>1373</v>
      </c>
      <c r="BI113" s="5982"/>
      <c r="BJ113" s="459" t="e">
        <f>IF(BH111=0,"",VLOOKUP(BH111,'Tablas Magia'!$D$6:$Z$680,7,FALSE))</f>
        <v>#N/A</v>
      </c>
      <c r="BK113" s="459" t="e">
        <f>IF(BH111=0,"",VLOOKUP(BH111,'Tablas Magia'!$D$6:$Z$680,11,FALSE))</f>
        <v>#N/A</v>
      </c>
      <c r="BL113" s="460" t="e">
        <f>IF(BH111=0,"",VLOOKUP(BH111,'Tablas Magia'!$D$6:$Z$680,15,FALSE))</f>
        <v>#N/A</v>
      </c>
      <c r="BM113" s="5983" t="e">
        <f>IF(BH111=0,"",VLOOKUP(BH111,'Tablas Magia'!$D$6:$Z$680,19,FALSE))</f>
        <v>#N/A</v>
      </c>
      <c r="BN113" s="5984"/>
      <c r="BO113" s="5984"/>
      <c r="BP113" s="5984"/>
      <c r="BQ113" s="5984"/>
      <c r="BR113" s="5984"/>
      <c r="BS113" s="5984"/>
      <c r="BT113" s="5984"/>
      <c r="BU113" s="5984"/>
      <c r="BV113" s="5985"/>
      <c r="BW113" s="450"/>
      <c r="BX113" s="444"/>
      <c r="BY113" s="444"/>
      <c r="BZ113" s="906"/>
      <c r="CA113" s="5981" t="s">
        <v>1373</v>
      </c>
      <c r="CB113" s="5982"/>
      <c r="CC113" s="459" t="e">
        <f>IF(CA111=0,"",VLOOKUP(CA111,'Tablas Magia'!$D$6:$Z$680,7,FALSE))</f>
        <v>#N/A</v>
      </c>
      <c r="CD113" s="459" t="e">
        <f>IF(CA111=0,"",VLOOKUP(CA111,'Tablas Magia'!$D$6:$Z$680,11,FALSE))</f>
        <v>#N/A</v>
      </c>
      <c r="CE113" s="460" t="e">
        <f>IF(CA111=0,"",VLOOKUP(CA111,'Tablas Magia'!$D$6:$Z$680,15,FALSE))</f>
        <v>#N/A</v>
      </c>
      <c r="CF113" s="5983" t="e">
        <f>IF(CA111=0,"",VLOOKUP(CA111,'Tablas Magia'!$D$6:$Z$680,19,FALSE))</f>
        <v>#N/A</v>
      </c>
      <c r="CG113" s="5984"/>
      <c r="CH113" s="5984"/>
      <c r="CI113" s="5984"/>
      <c r="CJ113" s="5984"/>
      <c r="CK113" s="5984"/>
      <c r="CL113" s="5984"/>
      <c r="CM113" s="5984"/>
      <c r="CN113" s="5984"/>
      <c r="CO113" s="5985"/>
      <c r="CP113" s="450"/>
      <c r="CQ113" s="444"/>
    </row>
    <row r="114" spans="1:95" ht="12.75" customHeight="1" x14ac:dyDescent="0.2">
      <c r="A114" s="444"/>
      <c r="B114" s="906"/>
      <c r="C114" s="5976" t="s">
        <v>3285</v>
      </c>
      <c r="D114" s="5977"/>
      <c r="E114" s="461" t="e">
        <f>IF(C111=0,"",VLOOKUP(C111,'Tablas Magia'!$D$6:$Z$680,8,FALSE))</f>
        <v>#N/A</v>
      </c>
      <c r="F114" s="461" t="e">
        <f>IF(C111=0,"",VLOOKUP(C111,'Tablas Magia'!$D$6:$Z$680,12,FALSE))</f>
        <v>#N/A</v>
      </c>
      <c r="G114" s="462" t="e">
        <f>IF(C111=0,"",VLOOKUP(C111,'Tablas Magia'!$D$6:$Z$680,16,FALSE))</f>
        <v>#N/A</v>
      </c>
      <c r="H114" s="5978" t="e">
        <f>IF(C111=0,"",VLOOKUP(C111,'Tablas Magia'!$D$6:$Z$680,20,FALSE))</f>
        <v>#N/A</v>
      </c>
      <c r="I114" s="5979"/>
      <c r="J114" s="5979"/>
      <c r="K114" s="5979"/>
      <c r="L114" s="5979"/>
      <c r="M114" s="5979"/>
      <c r="N114" s="5979"/>
      <c r="O114" s="5979"/>
      <c r="P114" s="5979"/>
      <c r="Q114" s="5980"/>
      <c r="R114" s="450"/>
      <c r="S114" s="444"/>
      <c r="T114" s="444"/>
      <c r="U114" s="906"/>
      <c r="V114" s="5976" t="s">
        <v>3285</v>
      </c>
      <c r="W114" s="5977"/>
      <c r="X114" s="461" t="e">
        <f>IF(V111=0,"",VLOOKUP(V111,'Tablas Magia'!$D$6:$Z$680,8,FALSE))</f>
        <v>#N/A</v>
      </c>
      <c r="Y114" s="461" t="e">
        <f>IF(V111=0,"",VLOOKUP(V111,'Tablas Magia'!$D$6:$Z$680,12,FALSE))</f>
        <v>#N/A</v>
      </c>
      <c r="Z114" s="462" t="e">
        <f>IF(V111=0,"",VLOOKUP(V111,'Tablas Magia'!$D$6:$Z$680,16,FALSE))</f>
        <v>#N/A</v>
      </c>
      <c r="AA114" s="5978" t="e">
        <f>IF(V111=0,"",VLOOKUP(V111,'Tablas Magia'!$D$6:$Z$680,20,FALSE))</f>
        <v>#N/A</v>
      </c>
      <c r="AB114" s="5979"/>
      <c r="AC114" s="5979"/>
      <c r="AD114" s="5979"/>
      <c r="AE114" s="5979"/>
      <c r="AF114" s="5979"/>
      <c r="AG114" s="5979"/>
      <c r="AH114" s="5979"/>
      <c r="AI114" s="5979"/>
      <c r="AJ114" s="5980"/>
      <c r="AK114" s="450"/>
      <c r="AL114" s="444"/>
      <c r="AM114" s="499"/>
      <c r="AN114" s="906"/>
      <c r="AO114" s="5976" t="s">
        <v>3285</v>
      </c>
      <c r="AP114" s="5977"/>
      <c r="AQ114" s="461" t="e">
        <f>IF(AO111=0,"",VLOOKUP(AO111,'Tablas Magia'!$D$6:$Z$680,8,FALSE))</f>
        <v>#N/A</v>
      </c>
      <c r="AR114" s="461" t="e">
        <f>IF(AO111=0,"",VLOOKUP(AO111,'Tablas Magia'!$D$6:$Z$680,12,FALSE))</f>
        <v>#N/A</v>
      </c>
      <c r="AS114" s="462" t="e">
        <f>IF(AO111=0,"",VLOOKUP(AO111,'Tablas Magia'!$D$6:$Z$680,16,FALSE))</f>
        <v>#N/A</v>
      </c>
      <c r="AT114" s="5978" t="e">
        <f>IF(AO111=0,"",VLOOKUP(AO111,'Tablas Magia'!$D$6:$Z$680,20,FALSE))</f>
        <v>#N/A</v>
      </c>
      <c r="AU114" s="5979"/>
      <c r="AV114" s="5979"/>
      <c r="AW114" s="5979"/>
      <c r="AX114" s="5979"/>
      <c r="AY114" s="5979"/>
      <c r="AZ114" s="5979"/>
      <c r="BA114" s="5979"/>
      <c r="BB114" s="5979"/>
      <c r="BC114" s="5980"/>
      <c r="BD114" s="450"/>
      <c r="BE114" s="444"/>
      <c r="BF114" s="444"/>
      <c r="BG114" s="906"/>
      <c r="BH114" s="5976" t="s">
        <v>3285</v>
      </c>
      <c r="BI114" s="5977"/>
      <c r="BJ114" s="461" t="e">
        <f>IF(BH111=0,"",VLOOKUP(BH111,'Tablas Magia'!$D$6:$Z$680,8,FALSE))</f>
        <v>#N/A</v>
      </c>
      <c r="BK114" s="461" t="e">
        <f>IF(BH111=0,"",VLOOKUP(BH111,'Tablas Magia'!$D$6:$Z$680,12,FALSE))</f>
        <v>#N/A</v>
      </c>
      <c r="BL114" s="462" t="e">
        <f>IF(BH111=0,"",VLOOKUP(BH111,'Tablas Magia'!$D$6:$Z$680,16,FALSE))</f>
        <v>#N/A</v>
      </c>
      <c r="BM114" s="5978" t="e">
        <f>IF(BH111=0,"",VLOOKUP(BH111,'Tablas Magia'!$D$6:$Z$680,20,FALSE))</f>
        <v>#N/A</v>
      </c>
      <c r="BN114" s="5979"/>
      <c r="BO114" s="5979"/>
      <c r="BP114" s="5979"/>
      <c r="BQ114" s="5979"/>
      <c r="BR114" s="5979"/>
      <c r="BS114" s="5979"/>
      <c r="BT114" s="5979"/>
      <c r="BU114" s="5979"/>
      <c r="BV114" s="5980"/>
      <c r="BW114" s="450"/>
      <c r="BX114" s="444"/>
      <c r="BY114" s="444"/>
      <c r="BZ114" s="906"/>
      <c r="CA114" s="5976" t="s">
        <v>3285</v>
      </c>
      <c r="CB114" s="5977"/>
      <c r="CC114" s="461" t="e">
        <f>IF(CA111=0,"",VLOOKUP(CA111,'Tablas Magia'!$D$6:$Z$680,8,FALSE))</f>
        <v>#N/A</v>
      </c>
      <c r="CD114" s="461" t="e">
        <f>IF(CA111=0,"",VLOOKUP(CA111,'Tablas Magia'!$D$6:$Z$680,12,FALSE))</f>
        <v>#N/A</v>
      </c>
      <c r="CE114" s="462" t="e">
        <f>IF(CA111=0,"",VLOOKUP(CA111,'Tablas Magia'!$D$6:$Z$680,16,FALSE))</f>
        <v>#N/A</v>
      </c>
      <c r="CF114" s="5978" t="e">
        <f>IF(CA111=0,"",VLOOKUP(CA111,'Tablas Magia'!$D$6:$Z$680,20,FALSE))</f>
        <v>#N/A</v>
      </c>
      <c r="CG114" s="5979"/>
      <c r="CH114" s="5979"/>
      <c r="CI114" s="5979"/>
      <c r="CJ114" s="5979"/>
      <c r="CK114" s="5979"/>
      <c r="CL114" s="5979"/>
      <c r="CM114" s="5979"/>
      <c r="CN114" s="5979"/>
      <c r="CO114" s="5980"/>
      <c r="CP114" s="450"/>
      <c r="CQ114" s="444"/>
    </row>
    <row r="115" spans="1:95" x14ac:dyDescent="0.2">
      <c r="A115" s="444"/>
      <c r="B115" s="906"/>
      <c r="C115" s="5981" t="s">
        <v>3286</v>
      </c>
      <c r="D115" s="5982"/>
      <c r="E115" s="459" t="e">
        <f>IF(C111=0,"",VLOOKUP(C111,'Tablas Magia'!$D$6:$Z$680,9,FALSE))</f>
        <v>#N/A</v>
      </c>
      <c r="F115" s="459" t="e">
        <f>IF(C111=0,"",VLOOKUP(C111,'Tablas Magia'!$D$6:$Z$680,13,FALSE))</f>
        <v>#N/A</v>
      </c>
      <c r="G115" s="460" t="e">
        <f>IF(C111=0,"",VLOOKUP(C111,'Tablas Magia'!$D$6:$Z$680,17,FALSE))</f>
        <v>#N/A</v>
      </c>
      <c r="H115" s="5983" t="e">
        <f>IF(C111=0,"",VLOOKUP(C111,'Tablas Magia'!$D$6:$Z$680,21,FALSE))</f>
        <v>#N/A</v>
      </c>
      <c r="I115" s="5984"/>
      <c r="J115" s="5984"/>
      <c r="K115" s="5984"/>
      <c r="L115" s="5984"/>
      <c r="M115" s="5984"/>
      <c r="N115" s="5984"/>
      <c r="O115" s="5984"/>
      <c r="P115" s="5984"/>
      <c r="Q115" s="5985"/>
      <c r="R115" s="450"/>
      <c r="S115" s="444"/>
      <c r="T115" s="444"/>
      <c r="U115" s="906"/>
      <c r="V115" s="5981" t="s">
        <v>3286</v>
      </c>
      <c r="W115" s="5982"/>
      <c r="X115" s="459" t="e">
        <f>IF(V111=0,"",VLOOKUP(V111,'Tablas Magia'!$D$6:$Z$680,9,FALSE))</f>
        <v>#N/A</v>
      </c>
      <c r="Y115" s="459" t="e">
        <f>IF(V111=0,"",VLOOKUP(V111,'Tablas Magia'!$D$6:$Z$680,13,FALSE))</f>
        <v>#N/A</v>
      </c>
      <c r="Z115" s="460" t="e">
        <f>IF(V111=0,"",VLOOKUP(V111,'Tablas Magia'!$D$6:$Z$680,17,FALSE))</f>
        <v>#N/A</v>
      </c>
      <c r="AA115" s="5983" t="e">
        <f>IF(V111=0,"",VLOOKUP(V111,'Tablas Magia'!$D$6:$Z$680,21,FALSE))</f>
        <v>#N/A</v>
      </c>
      <c r="AB115" s="5984"/>
      <c r="AC115" s="5984"/>
      <c r="AD115" s="5984"/>
      <c r="AE115" s="5984"/>
      <c r="AF115" s="5984"/>
      <c r="AG115" s="5984"/>
      <c r="AH115" s="5984"/>
      <c r="AI115" s="5984"/>
      <c r="AJ115" s="5985"/>
      <c r="AK115" s="450"/>
      <c r="AL115" s="444"/>
      <c r="AM115" s="499"/>
      <c r="AN115" s="906"/>
      <c r="AO115" s="5981" t="s">
        <v>3286</v>
      </c>
      <c r="AP115" s="5982"/>
      <c r="AQ115" s="459" t="e">
        <f>IF(AO111=0,"",VLOOKUP(AO111,'Tablas Magia'!$D$6:$Z$680,9,FALSE))</f>
        <v>#N/A</v>
      </c>
      <c r="AR115" s="459" t="e">
        <f>IF(AO111=0,"",VLOOKUP(AO111,'Tablas Magia'!$D$6:$Z$680,13,FALSE))</f>
        <v>#N/A</v>
      </c>
      <c r="AS115" s="460" t="e">
        <f>IF(AO111=0,"",VLOOKUP(AO111,'Tablas Magia'!$D$6:$Z$680,17,FALSE))</f>
        <v>#N/A</v>
      </c>
      <c r="AT115" s="5983" t="e">
        <f>IF(AO111=0,"",VLOOKUP(AO111,'Tablas Magia'!$D$6:$Z$680,21,FALSE))</f>
        <v>#N/A</v>
      </c>
      <c r="AU115" s="5984"/>
      <c r="AV115" s="5984"/>
      <c r="AW115" s="5984"/>
      <c r="AX115" s="5984"/>
      <c r="AY115" s="5984"/>
      <c r="AZ115" s="5984"/>
      <c r="BA115" s="5984"/>
      <c r="BB115" s="5984"/>
      <c r="BC115" s="5985"/>
      <c r="BD115" s="450"/>
      <c r="BE115" s="444"/>
      <c r="BF115" s="444"/>
      <c r="BG115" s="906"/>
      <c r="BH115" s="5981" t="s">
        <v>3286</v>
      </c>
      <c r="BI115" s="5982"/>
      <c r="BJ115" s="459" t="e">
        <f>IF(BH111=0,"",VLOOKUP(BH111,'Tablas Magia'!$D$6:$Z$680,9,FALSE))</f>
        <v>#N/A</v>
      </c>
      <c r="BK115" s="459" t="e">
        <f>IF(BH111=0,"",VLOOKUP(BH111,'Tablas Magia'!$D$6:$Z$680,13,FALSE))</f>
        <v>#N/A</v>
      </c>
      <c r="BL115" s="460" t="e">
        <f>IF(BH111=0,"",VLOOKUP(BH111,'Tablas Magia'!$D$6:$Z$680,17,FALSE))</f>
        <v>#N/A</v>
      </c>
      <c r="BM115" s="5983" t="e">
        <f>IF(BH111=0,"",VLOOKUP(BH111,'Tablas Magia'!$D$6:$Z$680,21,FALSE))</f>
        <v>#N/A</v>
      </c>
      <c r="BN115" s="5984"/>
      <c r="BO115" s="5984"/>
      <c r="BP115" s="5984"/>
      <c r="BQ115" s="5984"/>
      <c r="BR115" s="5984"/>
      <c r="BS115" s="5984"/>
      <c r="BT115" s="5984"/>
      <c r="BU115" s="5984"/>
      <c r="BV115" s="5985"/>
      <c r="BW115" s="450"/>
      <c r="BX115" s="444"/>
      <c r="BY115" s="444"/>
      <c r="BZ115" s="906"/>
      <c r="CA115" s="5981" t="s">
        <v>3286</v>
      </c>
      <c r="CB115" s="5982"/>
      <c r="CC115" s="459" t="e">
        <f>IF(CA111=0,"",VLOOKUP(CA111,'Tablas Magia'!$D$6:$Z$680,9,FALSE))</f>
        <v>#N/A</v>
      </c>
      <c r="CD115" s="459" t="e">
        <f>IF(CA111=0,"",VLOOKUP(CA111,'Tablas Magia'!$D$6:$Z$680,13,FALSE))</f>
        <v>#N/A</v>
      </c>
      <c r="CE115" s="460" t="e">
        <f>IF(CA111=0,"",VLOOKUP(CA111,'Tablas Magia'!$D$6:$Z$680,17,FALSE))</f>
        <v>#N/A</v>
      </c>
      <c r="CF115" s="5983" t="e">
        <f>IF(CA111=0,"",VLOOKUP(CA111,'Tablas Magia'!$D$6:$Z$680,21,FALSE))</f>
        <v>#N/A</v>
      </c>
      <c r="CG115" s="5984"/>
      <c r="CH115" s="5984"/>
      <c r="CI115" s="5984"/>
      <c r="CJ115" s="5984"/>
      <c r="CK115" s="5984"/>
      <c r="CL115" s="5984"/>
      <c r="CM115" s="5984"/>
      <c r="CN115" s="5984"/>
      <c r="CO115" s="5985"/>
      <c r="CP115" s="450"/>
      <c r="CQ115" s="444"/>
    </row>
    <row r="116" spans="1:95" ht="13.5" thickBot="1" x14ac:dyDescent="0.25">
      <c r="A116" s="444"/>
      <c r="B116" s="906"/>
      <c r="C116" s="5991" t="s">
        <v>3287</v>
      </c>
      <c r="D116" s="5992"/>
      <c r="E116" s="463" t="e">
        <f>IF(C111=0,"",VLOOKUP(C111,'Tablas Magia'!$D$6:$Z$680,10,FALSE))</f>
        <v>#N/A</v>
      </c>
      <c r="F116" s="463" t="e">
        <f>IF(C111=0,"",VLOOKUP(C111,'Tablas Magia'!$D$6:$Z$680,14,FALSE))</f>
        <v>#N/A</v>
      </c>
      <c r="G116" s="464" t="e">
        <f>IF(C111=0,"",VLOOKUP(C111,'Tablas Magia'!$D$6:$Z$680,18,FALSE))</f>
        <v>#N/A</v>
      </c>
      <c r="H116" s="5993" t="e">
        <f>IF(C111=0,"",VLOOKUP(C111,'Tablas Magia'!$D$6:$Z$680,22,FALSE))</f>
        <v>#N/A</v>
      </c>
      <c r="I116" s="5994"/>
      <c r="J116" s="5994"/>
      <c r="K116" s="5994"/>
      <c r="L116" s="5994"/>
      <c r="M116" s="5994"/>
      <c r="N116" s="5994"/>
      <c r="O116" s="5994"/>
      <c r="P116" s="5994"/>
      <c r="Q116" s="5995"/>
      <c r="R116" s="450"/>
      <c r="S116" s="444"/>
      <c r="T116" s="444"/>
      <c r="U116" s="906"/>
      <c r="V116" s="5991" t="s">
        <v>3287</v>
      </c>
      <c r="W116" s="5992"/>
      <c r="X116" s="463" t="e">
        <f>IF(V111=0,"",VLOOKUP(V111,'Tablas Magia'!$D$6:$Z$680,10,FALSE))</f>
        <v>#N/A</v>
      </c>
      <c r="Y116" s="463" t="e">
        <f>IF(V111=0,"",VLOOKUP(V111,'Tablas Magia'!$D$6:$Z$680,14,FALSE))</f>
        <v>#N/A</v>
      </c>
      <c r="Z116" s="464" t="e">
        <f>IF(V111=0,"",VLOOKUP(V111,'Tablas Magia'!$D$6:$Z$680,18,FALSE))</f>
        <v>#N/A</v>
      </c>
      <c r="AA116" s="5993" t="e">
        <f>IF(V111=0,"",VLOOKUP(V111,'Tablas Magia'!$D$6:$Z$680,22,FALSE))</f>
        <v>#N/A</v>
      </c>
      <c r="AB116" s="5994"/>
      <c r="AC116" s="5994"/>
      <c r="AD116" s="5994"/>
      <c r="AE116" s="5994"/>
      <c r="AF116" s="5994"/>
      <c r="AG116" s="5994"/>
      <c r="AH116" s="5994"/>
      <c r="AI116" s="5994"/>
      <c r="AJ116" s="5995"/>
      <c r="AK116" s="450"/>
      <c r="AL116" s="444"/>
      <c r="AM116" s="499"/>
      <c r="AN116" s="906"/>
      <c r="AO116" s="5991" t="s">
        <v>3287</v>
      </c>
      <c r="AP116" s="5992"/>
      <c r="AQ116" s="463" t="e">
        <f>IF(AO111=0,"",VLOOKUP(AO111,'Tablas Magia'!$D$6:$Z$680,10,FALSE))</f>
        <v>#N/A</v>
      </c>
      <c r="AR116" s="463" t="e">
        <f>IF(AO111=0,"",VLOOKUP(AO111,'Tablas Magia'!$D$6:$Z$680,14,FALSE))</f>
        <v>#N/A</v>
      </c>
      <c r="AS116" s="464" t="e">
        <f>IF(AO111=0,"",VLOOKUP(AO111,'Tablas Magia'!$D$6:$Z$680,18,FALSE))</f>
        <v>#N/A</v>
      </c>
      <c r="AT116" s="5993" t="e">
        <f>IF(AO111=0,"",VLOOKUP(AO111,'Tablas Magia'!$D$6:$Z$680,22,FALSE))</f>
        <v>#N/A</v>
      </c>
      <c r="AU116" s="5994"/>
      <c r="AV116" s="5994"/>
      <c r="AW116" s="5994"/>
      <c r="AX116" s="5994"/>
      <c r="AY116" s="5994"/>
      <c r="AZ116" s="5994"/>
      <c r="BA116" s="5994"/>
      <c r="BB116" s="5994"/>
      <c r="BC116" s="5995"/>
      <c r="BD116" s="450"/>
      <c r="BE116" s="444"/>
      <c r="BF116" s="444"/>
      <c r="BG116" s="906"/>
      <c r="BH116" s="5991" t="s">
        <v>3287</v>
      </c>
      <c r="BI116" s="5992"/>
      <c r="BJ116" s="463" t="e">
        <f>IF(BH111=0,"",VLOOKUP(BH111,'Tablas Magia'!$D$6:$Z$680,10,FALSE))</f>
        <v>#N/A</v>
      </c>
      <c r="BK116" s="463" t="e">
        <f>IF(BH111=0,"",VLOOKUP(BH111,'Tablas Magia'!$D$6:$Z$680,14,FALSE))</f>
        <v>#N/A</v>
      </c>
      <c r="BL116" s="464" t="e">
        <f>IF(BH111=0,"",VLOOKUP(BH111,'Tablas Magia'!$D$6:$Z$680,18,FALSE))</f>
        <v>#N/A</v>
      </c>
      <c r="BM116" s="5993" t="e">
        <f>IF(BH111=0,"",VLOOKUP(BH111,'Tablas Magia'!$D$6:$Z$680,22,FALSE))</f>
        <v>#N/A</v>
      </c>
      <c r="BN116" s="5994"/>
      <c r="BO116" s="5994"/>
      <c r="BP116" s="5994"/>
      <c r="BQ116" s="5994"/>
      <c r="BR116" s="5994"/>
      <c r="BS116" s="5994"/>
      <c r="BT116" s="5994"/>
      <c r="BU116" s="5994"/>
      <c r="BV116" s="5995"/>
      <c r="BW116" s="450"/>
      <c r="BX116" s="444"/>
      <c r="BY116" s="444"/>
      <c r="BZ116" s="906"/>
      <c r="CA116" s="5991" t="s">
        <v>3287</v>
      </c>
      <c r="CB116" s="5992"/>
      <c r="CC116" s="463" t="e">
        <f>IF(CA111=0,"",VLOOKUP(CA111,'Tablas Magia'!$D$6:$Z$680,10,FALSE))</f>
        <v>#N/A</v>
      </c>
      <c r="CD116" s="463" t="e">
        <f>IF(CA111=0,"",VLOOKUP(CA111,'Tablas Magia'!$D$6:$Z$680,14,FALSE))</f>
        <v>#N/A</v>
      </c>
      <c r="CE116" s="464" t="e">
        <f>IF(CA111=0,"",VLOOKUP(CA111,'Tablas Magia'!$D$6:$Z$680,18,FALSE))</f>
        <v>#N/A</v>
      </c>
      <c r="CF116" s="5993" t="e">
        <f>IF(CA111=0,"",VLOOKUP(CA111,'Tablas Magia'!$D$6:$Z$680,22,FALSE))</f>
        <v>#N/A</v>
      </c>
      <c r="CG116" s="5994"/>
      <c r="CH116" s="5994"/>
      <c r="CI116" s="5994"/>
      <c r="CJ116" s="5994"/>
      <c r="CK116" s="5994"/>
      <c r="CL116" s="5994"/>
      <c r="CM116" s="5994"/>
      <c r="CN116" s="5994"/>
      <c r="CO116" s="5995"/>
      <c r="CP116" s="450"/>
      <c r="CQ116" s="444"/>
    </row>
    <row r="117" spans="1:95" ht="12.75" customHeight="1" x14ac:dyDescent="0.2">
      <c r="A117" s="444"/>
      <c r="B117" s="906"/>
      <c r="C117" s="5996" t="e">
        <f>IF(C111=0,"",VLOOKUP(C111,'Tablas Magia'!$D$6:$Z$680,23,FALSE))</f>
        <v>#N/A</v>
      </c>
      <c r="D117" s="5997"/>
      <c r="E117" s="5997"/>
      <c r="F117" s="5997"/>
      <c r="G117" s="5997"/>
      <c r="H117" s="5997"/>
      <c r="I117" s="5997"/>
      <c r="J117" s="5997"/>
      <c r="K117" s="5997"/>
      <c r="L117" s="5997"/>
      <c r="M117" s="5997"/>
      <c r="N117" s="5997"/>
      <c r="O117" s="5997"/>
      <c r="P117" s="5997"/>
      <c r="Q117" s="5998"/>
      <c r="R117" s="450"/>
      <c r="S117" s="444"/>
      <c r="T117" s="444"/>
      <c r="U117" s="906"/>
      <c r="V117" s="5996" t="e">
        <f>IF(V111=0,"",VLOOKUP(V111,'Tablas Magia'!$D$6:$Z$680,23,FALSE))</f>
        <v>#N/A</v>
      </c>
      <c r="W117" s="5997"/>
      <c r="X117" s="5997"/>
      <c r="Y117" s="5997"/>
      <c r="Z117" s="5997"/>
      <c r="AA117" s="5997"/>
      <c r="AB117" s="5997"/>
      <c r="AC117" s="5997"/>
      <c r="AD117" s="5997"/>
      <c r="AE117" s="5997"/>
      <c r="AF117" s="5997"/>
      <c r="AG117" s="5997"/>
      <c r="AH117" s="5997"/>
      <c r="AI117" s="5997"/>
      <c r="AJ117" s="5998"/>
      <c r="AK117" s="450"/>
      <c r="AL117" s="444"/>
      <c r="AM117" s="499"/>
      <c r="AN117" s="906"/>
      <c r="AO117" s="5996" t="e">
        <f>IF(AO111=0,"",VLOOKUP(AO111,'Tablas Magia'!$D$6:$Z$680,23,FALSE))</f>
        <v>#N/A</v>
      </c>
      <c r="AP117" s="5997"/>
      <c r="AQ117" s="5997"/>
      <c r="AR117" s="5997"/>
      <c r="AS117" s="5997"/>
      <c r="AT117" s="5997"/>
      <c r="AU117" s="5997"/>
      <c r="AV117" s="5997"/>
      <c r="AW117" s="5997"/>
      <c r="AX117" s="5997"/>
      <c r="AY117" s="5997"/>
      <c r="AZ117" s="5997"/>
      <c r="BA117" s="5997"/>
      <c r="BB117" s="5997"/>
      <c r="BC117" s="5998"/>
      <c r="BD117" s="450"/>
      <c r="BE117" s="444"/>
      <c r="BF117" s="444"/>
      <c r="BG117" s="906"/>
      <c r="BH117" s="5996" t="e">
        <f>IF(BH111=0,"",VLOOKUP(BH111,'Tablas Magia'!$D$6:$Z$680,23,FALSE))</f>
        <v>#N/A</v>
      </c>
      <c r="BI117" s="5997"/>
      <c r="BJ117" s="5997"/>
      <c r="BK117" s="5997"/>
      <c r="BL117" s="5997"/>
      <c r="BM117" s="5997"/>
      <c r="BN117" s="5997"/>
      <c r="BO117" s="5997"/>
      <c r="BP117" s="5997"/>
      <c r="BQ117" s="5997"/>
      <c r="BR117" s="5997"/>
      <c r="BS117" s="5997"/>
      <c r="BT117" s="5997"/>
      <c r="BU117" s="5997"/>
      <c r="BV117" s="5998"/>
      <c r="BW117" s="450"/>
      <c r="BX117" s="444"/>
      <c r="BY117" s="444"/>
      <c r="BZ117" s="906"/>
      <c r="CA117" s="5996" t="e">
        <f>IF(CA111=0,"",VLOOKUP(CA111,'Tablas Magia'!$D$6:$Z$680,23,FALSE))</f>
        <v>#N/A</v>
      </c>
      <c r="CB117" s="5997"/>
      <c r="CC117" s="5997"/>
      <c r="CD117" s="5997"/>
      <c r="CE117" s="5997"/>
      <c r="CF117" s="5997"/>
      <c r="CG117" s="5997"/>
      <c r="CH117" s="5997"/>
      <c r="CI117" s="5997"/>
      <c r="CJ117" s="5997"/>
      <c r="CK117" s="5997"/>
      <c r="CL117" s="5997"/>
      <c r="CM117" s="5997"/>
      <c r="CN117" s="5997"/>
      <c r="CO117" s="5998"/>
      <c r="CP117" s="450"/>
      <c r="CQ117" s="444"/>
    </row>
    <row r="118" spans="1:95" x14ac:dyDescent="0.2">
      <c r="A118" s="444"/>
      <c r="B118" s="906"/>
      <c r="C118" s="5999"/>
      <c r="D118" s="6000"/>
      <c r="E118" s="6000"/>
      <c r="F118" s="6000"/>
      <c r="G118" s="6000"/>
      <c r="H118" s="6000"/>
      <c r="I118" s="6000"/>
      <c r="J118" s="6000"/>
      <c r="K118" s="6000"/>
      <c r="L118" s="6000"/>
      <c r="M118" s="6000"/>
      <c r="N118" s="6000"/>
      <c r="O118" s="6000"/>
      <c r="P118" s="6000"/>
      <c r="Q118" s="6001"/>
      <c r="R118" s="450"/>
      <c r="S118" s="444"/>
      <c r="T118" s="444"/>
      <c r="U118" s="906"/>
      <c r="V118" s="5999"/>
      <c r="W118" s="6000"/>
      <c r="X118" s="6000"/>
      <c r="Y118" s="6000"/>
      <c r="Z118" s="6000"/>
      <c r="AA118" s="6000"/>
      <c r="AB118" s="6000"/>
      <c r="AC118" s="6000"/>
      <c r="AD118" s="6000"/>
      <c r="AE118" s="6000"/>
      <c r="AF118" s="6000"/>
      <c r="AG118" s="6000"/>
      <c r="AH118" s="6000"/>
      <c r="AI118" s="6000"/>
      <c r="AJ118" s="6001"/>
      <c r="AK118" s="450"/>
      <c r="AL118" s="444"/>
      <c r="AM118" s="499"/>
      <c r="AN118" s="906"/>
      <c r="AO118" s="5999"/>
      <c r="AP118" s="6000"/>
      <c r="AQ118" s="6000"/>
      <c r="AR118" s="6000"/>
      <c r="AS118" s="6000"/>
      <c r="AT118" s="6000"/>
      <c r="AU118" s="6000"/>
      <c r="AV118" s="6000"/>
      <c r="AW118" s="6000"/>
      <c r="AX118" s="6000"/>
      <c r="AY118" s="6000"/>
      <c r="AZ118" s="6000"/>
      <c r="BA118" s="6000"/>
      <c r="BB118" s="6000"/>
      <c r="BC118" s="6001"/>
      <c r="BD118" s="450"/>
      <c r="BE118" s="444"/>
      <c r="BF118" s="444"/>
      <c r="BG118" s="906"/>
      <c r="BH118" s="5999"/>
      <c r="BI118" s="6000"/>
      <c r="BJ118" s="6000"/>
      <c r="BK118" s="6000"/>
      <c r="BL118" s="6000"/>
      <c r="BM118" s="6000"/>
      <c r="BN118" s="6000"/>
      <c r="BO118" s="6000"/>
      <c r="BP118" s="6000"/>
      <c r="BQ118" s="6000"/>
      <c r="BR118" s="6000"/>
      <c r="BS118" s="6000"/>
      <c r="BT118" s="6000"/>
      <c r="BU118" s="6000"/>
      <c r="BV118" s="6001"/>
      <c r="BW118" s="450"/>
      <c r="BX118" s="444"/>
      <c r="BY118" s="444"/>
      <c r="BZ118" s="906"/>
      <c r="CA118" s="5999"/>
      <c r="CB118" s="6000"/>
      <c r="CC118" s="6000"/>
      <c r="CD118" s="6000"/>
      <c r="CE118" s="6000"/>
      <c r="CF118" s="6000"/>
      <c r="CG118" s="6000"/>
      <c r="CH118" s="6000"/>
      <c r="CI118" s="6000"/>
      <c r="CJ118" s="6000"/>
      <c r="CK118" s="6000"/>
      <c r="CL118" s="6000"/>
      <c r="CM118" s="6000"/>
      <c r="CN118" s="6000"/>
      <c r="CO118" s="6001"/>
      <c r="CP118" s="450"/>
      <c r="CQ118" s="444"/>
    </row>
    <row r="119" spans="1:95" x14ac:dyDescent="0.2">
      <c r="A119" s="444"/>
      <c r="B119" s="906"/>
      <c r="C119" s="5999"/>
      <c r="D119" s="6000"/>
      <c r="E119" s="6000"/>
      <c r="F119" s="6000"/>
      <c r="G119" s="6000"/>
      <c r="H119" s="6000"/>
      <c r="I119" s="6000"/>
      <c r="J119" s="6000"/>
      <c r="K119" s="6000"/>
      <c r="L119" s="6000"/>
      <c r="M119" s="6000"/>
      <c r="N119" s="6000"/>
      <c r="O119" s="6000"/>
      <c r="P119" s="6000"/>
      <c r="Q119" s="6001"/>
      <c r="R119" s="450"/>
      <c r="S119" s="444"/>
      <c r="T119" s="444"/>
      <c r="U119" s="906"/>
      <c r="V119" s="5999"/>
      <c r="W119" s="6000"/>
      <c r="X119" s="6000"/>
      <c r="Y119" s="6000"/>
      <c r="Z119" s="6000"/>
      <c r="AA119" s="6000"/>
      <c r="AB119" s="6000"/>
      <c r="AC119" s="6000"/>
      <c r="AD119" s="6000"/>
      <c r="AE119" s="6000"/>
      <c r="AF119" s="6000"/>
      <c r="AG119" s="6000"/>
      <c r="AH119" s="6000"/>
      <c r="AI119" s="6000"/>
      <c r="AJ119" s="6001"/>
      <c r="AK119" s="450"/>
      <c r="AL119" s="444"/>
      <c r="AM119" s="499"/>
      <c r="AN119" s="906"/>
      <c r="AO119" s="5999"/>
      <c r="AP119" s="6000"/>
      <c r="AQ119" s="6000"/>
      <c r="AR119" s="6000"/>
      <c r="AS119" s="6000"/>
      <c r="AT119" s="6000"/>
      <c r="AU119" s="6000"/>
      <c r="AV119" s="6000"/>
      <c r="AW119" s="6000"/>
      <c r="AX119" s="6000"/>
      <c r="AY119" s="6000"/>
      <c r="AZ119" s="6000"/>
      <c r="BA119" s="6000"/>
      <c r="BB119" s="6000"/>
      <c r="BC119" s="6001"/>
      <c r="BD119" s="450"/>
      <c r="BE119" s="444"/>
      <c r="BF119" s="444"/>
      <c r="BG119" s="906"/>
      <c r="BH119" s="5999"/>
      <c r="BI119" s="6000"/>
      <c r="BJ119" s="6000"/>
      <c r="BK119" s="6000"/>
      <c r="BL119" s="6000"/>
      <c r="BM119" s="6000"/>
      <c r="BN119" s="6000"/>
      <c r="BO119" s="6000"/>
      <c r="BP119" s="6000"/>
      <c r="BQ119" s="6000"/>
      <c r="BR119" s="6000"/>
      <c r="BS119" s="6000"/>
      <c r="BT119" s="6000"/>
      <c r="BU119" s="6000"/>
      <c r="BV119" s="6001"/>
      <c r="BW119" s="450"/>
      <c r="BX119" s="444"/>
      <c r="BY119" s="444"/>
      <c r="BZ119" s="906"/>
      <c r="CA119" s="5999"/>
      <c r="CB119" s="6000"/>
      <c r="CC119" s="6000"/>
      <c r="CD119" s="6000"/>
      <c r="CE119" s="6000"/>
      <c r="CF119" s="6000"/>
      <c r="CG119" s="6000"/>
      <c r="CH119" s="6000"/>
      <c r="CI119" s="6000"/>
      <c r="CJ119" s="6000"/>
      <c r="CK119" s="6000"/>
      <c r="CL119" s="6000"/>
      <c r="CM119" s="6000"/>
      <c r="CN119" s="6000"/>
      <c r="CO119" s="6001"/>
      <c r="CP119" s="450"/>
      <c r="CQ119" s="444"/>
    </row>
    <row r="120" spans="1:95" ht="13.5" thickBot="1" x14ac:dyDescent="0.25">
      <c r="A120" s="1611"/>
      <c r="B120" s="906"/>
      <c r="C120" s="6002"/>
      <c r="D120" s="6003"/>
      <c r="E120" s="6003"/>
      <c r="F120" s="6003"/>
      <c r="G120" s="6003"/>
      <c r="H120" s="6003"/>
      <c r="I120" s="6003"/>
      <c r="J120" s="6003"/>
      <c r="K120" s="6003"/>
      <c r="L120" s="6003"/>
      <c r="M120" s="6003"/>
      <c r="N120" s="6003"/>
      <c r="O120" s="6003"/>
      <c r="P120" s="6003"/>
      <c r="Q120" s="6004"/>
      <c r="R120" s="450"/>
      <c r="S120" s="444"/>
      <c r="T120" s="444"/>
      <c r="U120" s="906"/>
      <c r="V120" s="6002"/>
      <c r="W120" s="6003"/>
      <c r="X120" s="6003"/>
      <c r="Y120" s="6003"/>
      <c r="Z120" s="6003"/>
      <c r="AA120" s="6003"/>
      <c r="AB120" s="6003"/>
      <c r="AC120" s="6003"/>
      <c r="AD120" s="6003"/>
      <c r="AE120" s="6003"/>
      <c r="AF120" s="6003"/>
      <c r="AG120" s="6003"/>
      <c r="AH120" s="6003"/>
      <c r="AI120" s="6003"/>
      <c r="AJ120" s="6004"/>
      <c r="AK120" s="450"/>
      <c r="AL120" s="444"/>
      <c r="AM120" s="499"/>
      <c r="AN120" s="906"/>
      <c r="AO120" s="6002"/>
      <c r="AP120" s="6003"/>
      <c r="AQ120" s="6003"/>
      <c r="AR120" s="6003"/>
      <c r="AS120" s="6003"/>
      <c r="AT120" s="6003"/>
      <c r="AU120" s="6003"/>
      <c r="AV120" s="6003"/>
      <c r="AW120" s="6003"/>
      <c r="AX120" s="6003"/>
      <c r="AY120" s="6003"/>
      <c r="AZ120" s="6003"/>
      <c r="BA120" s="6003"/>
      <c r="BB120" s="6003"/>
      <c r="BC120" s="6004"/>
      <c r="BD120" s="450"/>
      <c r="BE120" s="444"/>
      <c r="BF120" s="444"/>
      <c r="BG120" s="906"/>
      <c r="BH120" s="6002"/>
      <c r="BI120" s="6003"/>
      <c r="BJ120" s="6003"/>
      <c r="BK120" s="6003"/>
      <c r="BL120" s="6003"/>
      <c r="BM120" s="6003"/>
      <c r="BN120" s="6003"/>
      <c r="BO120" s="6003"/>
      <c r="BP120" s="6003"/>
      <c r="BQ120" s="6003"/>
      <c r="BR120" s="6003"/>
      <c r="BS120" s="6003"/>
      <c r="BT120" s="6003"/>
      <c r="BU120" s="6003"/>
      <c r="BV120" s="6004"/>
      <c r="BW120" s="450"/>
      <c r="BX120" s="444"/>
      <c r="BY120" s="444"/>
      <c r="BZ120" s="906"/>
      <c r="CA120" s="6002"/>
      <c r="CB120" s="6003"/>
      <c r="CC120" s="6003"/>
      <c r="CD120" s="6003"/>
      <c r="CE120" s="6003"/>
      <c r="CF120" s="6003"/>
      <c r="CG120" s="6003"/>
      <c r="CH120" s="6003"/>
      <c r="CI120" s="6003"/>
      <c r="CJ120" s="6003"/>
      <c r="CK120" s="6003"/>
      <c r="CL120" s="6003"/>
      <c r="CM120" s="6003"/>
      <c r="CN120" s="6003"/>
      <c r="CO120" s="6004"/>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80"/>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519" priority="2094" stopIfTrue="1">
      <formula>ISERROR(A1)</formula>
    </cfRule>
  </conditionalFormatting>
  <conditionalFormatting sqref="H22:M22 H23:Q23">
    <cfRule type="containsErrors" dxfId="518" priority="2054" stopIfTrue="1">
      <formula>ISERROR(H22)</formula>
    </cfRule>
  </conditionalFormatting>
  <conditionalFormatting sqref="H33:M33 H34:Q34">
    <cfRule type="containsErrors" dxfId="517" priority="2052" stopIfTrue="1">
      <formula>ISERROR(H33)</formula>
    </cfRule>
  </conditionalFormatting>
  <conditionalFormatting sqref="H44:M44 H45:Q45">
    <cfRule type="containsErrors" dxfId="516" priority="2050" stopIfTrue="1">
      <formula>ISERROR(H44)</formula>
    </cfRule>
  </conditionalFormatting>
  <conditionalFormatting sqref="H55:M55 H56:Q56">
    <cfRule type="containsErrors" dxfId="515" priority="2048" stopIfTrue="1">
      <formula>ISERROR(H55)</formula>
    </cfRule>
  </conditionalFormatting>
  <conditionalFormatting sqref="H67:M67 H68:Q68">
    <cfRule type="containsErrors" dxfId="514" priority="2046" stopIfTrue="1">
      <formula>ISERROR(H67)</formula>
    </cfRule>
  </conditionalFormatting>
  <conditionalFormatting sqref="H78:M78 H79:Q79">
    <cfRule type="containsErrors" dxfId="513" priority="2044" stopIfTrue="1">
      <formula>ISERROR(H78)</formula>
    </cfRule>
  </conditionalFormatting>
  <conditionalFormatting sqref="H89:M89 H90:Q90">
    <cfRule type="containsErrors" dxfId="512" priority="2042" stopIfTrue="1">
      <formula>ISERROR(H89)</formula>
    </cfRule>
  </conditionalFormatting>
  <conditionalFormatting sqref="H100:M100 H101:Q101">
    <cfRule type="containsErrors" dxfId="511" priority="2040" stopIfTrue="1">
      <formula>ISERROR(H100)</formula>
    </cfRule>
  </conditionalFormatting>
  <conditionalFormatting sqref="H111:M111 H112:Q112">
    <cfRule type="containsErrors" dxfId="510" priority="2038" stopIfTrue="1">
      <formula>ISERROR(H111)</formula>
    </cfRule>
  </conditionalFormatting>
  <conditionalFormatting sqref="C66:Q66">
    <cfRule type="containsErrors" dxfId="509" priority="1872" stopIfTrue="1">
      <formula>ISERROR(C66)</formula>
    </cfRule>
  </conditionalFormatting>
  <conditionalFormatting sqref="C10:Q10">
    <cfRule type="containsErrors" dxfId="508" priority="1869" stopIfTrue="1">
      <formula>ISERROR(C10)</formula>
    </cfRule>
  </conditionalFormatting>
  <conditionalFormatting sqref="O5">
    <cfRule type="containsErrors" dxfId="507" priority="1843" stopIfTrue="1">
      <formula>ISERROR(O5)</formula>
    </cfRule>
  </conditionalFormatting>
  <conditionalFormatting sqref="P11 P22 P33 P44 P55 P67 P78 P89 P100 P111">
    <cfRule type="expression" dxfId="506" priority="1585" stopIfTrue="1">
      <formula>$P$7&lt;&gt;"No"</formula>
    </cfRule>
    <cfRule type="containsText" dxfId="505" priority="1586" stopIfTrue="1" operator="containsText" text="Aprendido">
      <formula>NOT(ISERROR(SEARCH("Aprendido",P11)))</formula>
    </cfRule>
  </conditionalFormatting>
  <conditionalFormatting sqref="C11 C22 C33 C44 C55 C67 C78 C89 C100 C111">
    <cfRule type="expression" dxfId="504" priority="1014" stopIfTrue="1">
      <formula>$P$7="No"</formula>
    </cfRule>
    <cfRule type="expression" dxfId="503" priority="1015" stopIfTrue="1">
      <formula>AND($P$6&lt;&gt;0,I11&gt;$P$6)</formula>
    </cfRule>
    <cfRule type="expression" dxfId="502" priority="1016" stopIfTrue="1">
      <formula>M11="Vacío"</formula>
    </cfRule>
    <cfRule type="expression" dxfId="501" priority="1017" stopIfTrue="1">
      <formula>M11="Umbral"</formula>
    </cfRule>
    <cfRule type="expression" dxfId="500" priority="1018" stopIfTrue="1">
      <formula>M11="Tiempo"</formula>
    </cfRule>
    <cfRule type="expression" dxfId="499" priority="1019" stopIfTrue="1">
      <formula>M11="Sueños"</formula>
    </cfRule>
    <cfRule type="expression" dxfId="498" priority="1020" stopIfTrue="1">
      <formula>M11="Sangre"</formula>
    </cfRule>
    <cfRule type="expression" dxfId="497" priority="1021" stopIfTrue="1">
      <formula>M11="Conocimiento"</formula>
    </cfRule>
    <cfRule type="expression" dxfId="496" priority="1022" stopIfTrue="1">
      <formula>M11="Pecado"</formula>
    </cfRule>
    <cfRule type="expression" dxfId="495" priority="1023" stopIfTrue="1">
      <formula>M11="Paz"</formula>
    </cfRule>
    <cfRule type="expression" dxfId="494" priority="1024" stopIfTrue="1">
      <formula>M11="Nobleza"</formula>
    </cfRule>
    <cfRule type="expression" dxfId="493" priority="1025" stopIfTrue="1">
      <formula>M11="Musical"</formula>
    </cfRule>
    <cfRule type="expression" dxfId="492" priority="1026" stopIfTrue="1">
      <formula>M11="Muerte"</formula>
    </cfRule>
    <cfRule type="expression" dxfId="491" priority="1027" stopIfTrue="1">
      <formula>M11="Literae"</formula>
    </cfRule>
    <cfRule type="expression" dxfId="490" priority="1028" stopIfTrue="1">
      <formula>M11="Guerra"</formula>
    </cfRule>
    <cfRule type="expression" dxfId="489" priority="1029" stopIfTrue="1">
      <formula>M11="Caos"</formula>
    </cfRule>
    <cfRule type="expression" dxfId="488" priority="1030" stopIfTrue="1">
      <formula>M11="Nigromancia"</formula>
    </cfRule>
    <cfRule type="expression" dxfId="487" priority="1031" stopIfTrue="1">
      <formula>M11="Ilusión"</formula>
    </cfRule>
    <cfRule type="expression" dxfId="486" priority="1032" stopIfTrue="1">
      <formula>M11="Esencia"</formula>
    </cfRule>
    <cfRule type="expression" dxfId="485" priority="1033" stopIfTrue="1">
      <formula>M11="Tierra"</formula>
    </cfRule>
    <cfRule type="expression" dxfId="484" priority="1034" stopIfTrue="1">
      <formula>M11="Fuego"</formula>
    </cfRule>
    <cfRule type="expression" dxfId="483" priority="1035" stopIfTrue="1">
      <formula>M11="Agua"</formula>
    </cfRule>
    <cfRule type="expression" dxfId="482" priority="1036" stopIfTrue="1">
      <formula>M11="Aire"</formula>
    </cfRule>
    <cfRule type="expression" dxfId="481" priority="1037" stopIfTrue="1">
      <formula>M11="Destrucción"</formula>
    </cfRule>
    <cfRule type="expression" dxfId="480" priority="1038" stopIfTrue="1">
      <formula>M11="Creación"</formula>
    </cfRule>
    <cfRule type="expression" dxfId="479" priority="1039" stopIfTrue="1">
      <formula>M11="Oscuridad"</formula>
    </cfRule>
    <cfRule type="expression" dxfId="478"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77" priority="164" stopIfTrue="1">
      <formula>ISERROR(V11)</formula>
    </cfRule>
  </conditionalFormatting>
  <conditionalFormatting sqref="AA22:AF22 AA23:AJ23">
    <cfRule type="containsErrors" dxfId="476" priority="163" stopIfTrue="1">
      <formula>ISERROR(AA22)</formula>
    </cfRule>
  </conditionalFormatting>
  <conditionalFormatting sqref="AA33:AF33 AA34:AJ34">
    <cfRule type="containsErrors" dxfId="475" priority="162" stopIfTrue="1">
      <formula>ISERROR(AA33)</formula>
    </cfRule>
  </conditionalFormatting>
  <conditionalFormatting sqref="AA44:AF44 AA45:AJ45">
    <cfRule type="containsErrors" dxfId="474" priority="161" stopIfTrue="1">
      <formula>ISERROR(AA44)</formula>
    </cfRule>
  </conditionalFormatting>
  <conditionalFormatting sqref="AA55:AF55 AA56:AJ56">
    <cfRule type="containsErrors" dxfId="473" priority="160" stopIfTrue="1">
      <formula>ISERROR(AA55)</formula>
    </cfRule>
  </conditionalFormatting>
  <conditionalFormatting sqref="AA67:AF67 AA68:AJ68">
    <cfRule type="containsErrors" dxfId="472" priority="159" stopIfTrue="1">
      <formula>ISERROR(AA67)</formula>
    </cfRule>
  </conditionalFormatting>
  <conditionalFormatting sqref="AA78:AF78 AA79:AJ79">
    <cfRule type="containsErrors" dxfId="471" priority="158" stopIfTrue="1">
      <formula>ISERROR(AA78)</formula>
    </cfRule>
  </conditionalFormatting>
  <conditionalFormatting sqref="AA89:AF89 AA90:AJ90">
    <cfRule type="containsErrors" dxfId="470" priority="157" stopIfTrue="1">
      <formula>ISERROR(AA89)</formula>
    </cfRule>
  </conditionalFormatting>
  <conditionalFormatting sqref="AA100:AF100 AA101:AJ101">
    <cfRule type="containsErrors" dxfId="469" priority="156" stopIfTrue="1">
      <formula>ISERROR(AA100)</formula>
    </cfRule>
  </conditionalFormatting>
  <conditionalFormatting sqref="AA111:AF111 AA112:AJ112">
    <cfRule type="containsErrors" dxfId="468" priority="155" stopIfTrue="1">
      <formula>ISERROR(AA111)</formula>
    </cfRule>
  </conditionalFormatting>
  <conditionalFormatting sqref="V66:AJ66">
    <cfRule type="containsErrors" dxfId="467" priority="154" stopIfTrue="1">
      <formula>ISERROR(V66)</formula>
    </cfRule>
  </conditionalFormatting>
  <conditionalFormatting sqref="V10:AJ10">
    <cfRule type="containsErrors" dxfId="466" priority="153" stopIfTrue="1">
      <formula>ISERROR(V10)</formula>
    </cfRule>
  </conditionalFormatting>
  <conditionalFormatting sqref="AI11 AI22 AI33 AI44 AI55 AI67 AI78 AI89 AI100 AI111">
    <cfRule type="expression" dxfId="465" priority="151" stopIfTrue="1">
      <formula>$P$7&lt;&gt;"No"</formula>
    </cfRule>
    <cfRule type="containsText" dxfId="464" priority="152" stopIfTrue="1" operator="containsText" text="Aprendido">
      <formula>NOT(ISERROR(SEARCH("Aprendido",AI11)))</formula>
    </cfRule>
  </conditionalFormatting>
  <conditionalFormatting sqref="V11 V22 V33 V44 V55 V67 V78 V89 V100 V111">
    <cfRule type="expression" dxfId="463" priority="124" stopIfTrue="1">
      <formula>$P$7="No"</formula>
    </cfRule>
    <cfRule type="expression" dxfId="462" priority="125" stopIfTrue="1">
      <formula>AND($P$6&lt;&gt;0,AB11&gt;$P$6)</formula>
    </cfRule>
    <cfRule type="expression" dxfId="461" priority="126" stopIfTrue="1">
      <formula>AF11="Vacío"</formula>
    </cfRule>
    <cfRule type="expression" dxfId="460" priority="127" stopIfTrue="1">
      <formula>AF11="Umbral"</formula>
    </cfRule>
    <cfRule type="expression" dxfId="459" priority="128" stopIfTrue="1">
      <formula>AF11="Tiempo"</formula>
    </cfRule>
    <cfRule type="expression" dxfId="458" priority="129" stopIfTrue="1">
      <formula>AF11="Sueños"</formula>
    </cfRule>
    <cfRule type="expression" dxfId="457" priority="130" stopIfTrue="1">
      <formula>AF11="Sangre"</formula>
    </cfRule>
    <cfRule type="expression" dxfId="456" priority="131" stopIfTrue="1">
      <formula>AF11="Conocimiento"</formula>
    </cfRule>
    <cfRule type="expression" dxfId="455" priority="132" stopIfTrue="1">
      <formula>AF11="Pecado"</formula>
    </cfRule>
    <cfRule type="expression" dxfId="454" priority="133" stopIfTrue="1">
      <formula>AF11="Paz"</formula>
    </cfRule>
    <cfRule type="expression" dxfId="453" priority="134" stopIfTrue="1">
      <formula>AF11="Nobleza"</formula>
    </cfRule>
    <cfRule type="expression" dxfId="452" priority="135" stopIfTrue="1">
      <formula>AF11="Musical"</formula>
    </cfRule>
    <cfRule type="expression" dxfId="451" priority="136" stopIfTrue="1">
      <formula>AF11="Muerte"</formula>
    </cfRule>
    <cfRule type="expression" dxfId="450" priority="137" stopIfTrue="1">
      <formula>AF11="Literae"</formula>
    </cfRule>
    <cfRule type="expression" dxfId="449" priority="138" stopIfTrue="1">
      <formula>AF11="Guerra"</formula>
    </cfRule>
    <cfRule type="expression" dxfId="448" priority="139" stopIfTrue="1">
      <formula>AF11="Caos"</formula>
    </cfRule>
    <cfRule type="expression" dxfId="447" priority="140" stopIfTrue="1">
      <formula>AF11="Nigromancia"</formula>
    </cfRule>
    <cfRule type="expression" dxfId="446" priority="141" stopIfTrue="1">
      <formula>AF11="Ilusión"</formula>
    </cfRule>
    <cfRule type="expression" dxfId="445" priority="142" stopIfTrue="1">
      <formula>AF11="Esencia"</formula>
    </cfRule>
    <cfRule type="expression" dxfId="444" priority="143" stopIfTrue="1">
      <formula>AF11="Tierra"</formula>
    </cfRule>
    <cfRule type="expression" dxfId="443" priority="144" stopIfTrue="1">
      <formula>AF11="Fuego"</formula>
    </cfRule>
    <cfRule type="expression" dxfId="442" priority="145" stopIfTrue="1">
      <formula>AF11="Agua"</formula>
    </cfRule>
    <cfRule type="expression" dxfId="441" priority="146" stopIfTrue="1">
      <formula>AF11="Aire"</formula>
    </cfRule>
    <cfRule type="expression" dxfId="440" priority="147" stopIfTrue="1">
      <formula>AF11="Destrucción"</formula>
    </cfRule>
    <cfRule type="expression" dxfId="439" priority="148" stopIfTrue="1">
      <formula>AF11="Creación"</formula>
    </cfRule>
    <cfRule type="expression" dxfId="438" priority="149" stopIfTrue="1">
      <formula>AF11="Oscuridad"</formula>
    </cfRule>
    <cfRule type="expression" dxfId="437"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36" priority="123" stopIfTrue="1">
      <formula>ISERROR(AO11)</formula>
    </cfRule>
  </conditionalFormatting>
  <conditionalFormatting sqref="AT22:AY22 AT23:BC23">
    <cfRule type="containsErrors" dxfId="435" priority="122" stopIfTrue="1">
      <formula>ISERROR(AT22)</formula>
    </cfRule>
  </conditionalFormatting>
  <conditionalFormatting sqref="AT33:AY33 AT34:BC34">
    <cfRule type="containsErrors" dxfId="434" priority="121" stopIfTrue="1">
      <formula>ISERROR(AT33)</formula>
    </cfRule>
  </conditionalFormatting>
  <conditionalFormatting sqref="AT44:AY44 AT45:BC45">
    <cfRule type="containsErrors" dxfId="433" priority="120" stopIfTrue="1">
      <formula>ISERROR(AT44)</formula>
    </cfRule>
  </conditionalFormatting>
  <conditionalFormatting sqref="AT55:AY55 AT56:BC56">
    <cfRule type="containsErrors" dxfId="432" priority="119" stopIfTrue="1">
      <formula>ISERROR(AT55)</formula>
    </cfRule>
  </conditionalFormatting>
  <conditionalFormatting sqref="AT67:AY67 AT68:BC68">
    <cfRule type="containsErrors" dxfId="431" priority="118" stopIfTrue="1">
      <formula>ISERROR(AT67)</formula>
    </cfRule>
  </conditionalFormatting>
  <conditionalFormatting sqref="AT78:AY78 AT79:BC79">
    <cfRule type="containsErrors" dxfId="430" priority="117" stopIfTrue="1">
      <formula>ISERROR(AT78)</formula>
    </cfRule>
  </conditionalFormatting>
  <conditionalFormatting sqref="AT89:AY89 AT90:BC90">
    <cfRule type="containsErrors" dxfId="429" priority="116" stopIfTrue="1">
      <formula>ISERROR(AT89)</formula>
    </cfRule>
  </conditionalFormatting>
  <conditionalFormatting sqref="AT100:AY100 AT101:BC101">
    <cfRule type="containsErrors" dxfId="428" priority="115" stopIfTrue="1">
      <formula>ISERROR(AT100)</formula>
    </cfRule>
  </conditionalFormatting>
  <conditionalFormatting sqref="AT111:AY111 AT112:BC112">
    <cfRule type="containsErrors" dxfId="427" priority="114" stopIfTrue="1">
      <formula>ISERROR(AT111)</formula>
    </cfRule>
  </conditionalFormatting>
  <conditionalFormatting sqref="AO66:BC66">
    <cfRule type="containsErrors" dxfId="426" priority="113" stopIfTrue="1">
      <formula>ISERROR(AO66)</formula>
    </cfRule>
  </conditionalFormatting>
  <conditionalFormatting sqref="AO10:BC10">
    <cfRule type="containsErrors" dxfId="425" priority="112" stopIfTrue="1">
      <formula>ISERROR(AO10)</formula>
    </cfRule>
  </conditionalFormatting>
  <conditionalFormatting sqref="BB11 BB22 BB33 BB44 BB55 BB67 BB78 BB89 BB100 BB111">
    <cfRule type="expression" dxfId="424" priority="110" stopIfTrue="1">
      <formula>$P$7&lt;&gt;"No"</formula>
    </cfRule>
    <cfRule type="containsText" dxfId="423" priority="111" stopIfTrue="1" operator="containsText" text="Aprendido">
      <formula>NOT(ISERROR(SEARCH("Aprendido",BB11)))</formula>
    </cfRule>
  </conditionalFormatting>
  <conditionalFormatting sqref="AO11 AO22 AO33 AO44 AO55 AO67 AO78 AO89 AO100 AO111">
    <cfRule type="expression" dxfId="422" priority="83" stopIfTrue="1">
      <formula>$P$7="No"</formula>
    </cfRule>
    <cfRule type="expression" dxfId="421" priority="84" stopIfTrue="1">
      <formula>AND($P$6&lt;&gt;0,AU11&gt;$P$6)</formula>
    </cfRule>
    <cfRule type="expression" dxfId="420" priority="85" stopIfTrue="1">
      <formula>AY11="Vacío"</formula>
    </cfRule>
    <cfRule type="expression" dxfId="419" priority="86" stopIfTrue="1">
      <formula>AY11="Umbral"</formula>
    </cfRule>
    <cfRule type="expression" dxfId="418" priority="87" stopIfTrue="1">
      <formula>AY11="Tiempo"</formula>
    </cfRule>
    <cfRule type="expression" dxfId="417" priority="88" stopIfTrue="1">
      <formula>AY11="Sueños"</formula>
    </cfRule>
    <cfRule type="expression" dxfId="416" priority="89" stopIfTrue="1">
      <formula>AY11="Sangre"</formula>
    </cfRule>
    <cfRule type="expression" dxfId="415" priority="90" stopIfTrue="1">
      <formula>AY11="Conocimiento"</formula>
    </cfRule>
    <cfRule type="expression" dxfId="414" priority="91" stopIfTrue="1">
      <formula>AY11="Pecado"</formula>
    </cfRule>
    <cfRule type="expression" dxfId="413" priority="92" stopIfTrue="1">
      <formula>AY11="Paz"</formula>
    </cfRule>
    <cfRule type="expression" dxfId="412" priority="93" stopIfTrue="1">
      <formula>AY11="Nobleza"</formula>
    </cfRule>
    <cfRule type="expression" dxfId="411" priority="94" stopIfTrue="1">
      <formula>AY11="Musical"</formula>
    </cfRule>
    <cfRule type="expression" dxfId="410" priority="95" stopIfTrue="1">
      <formula>AY11="Muerte"</formula>
    </cfRule>
    <cfRule type="expression" dxfId="409" priority="96" stopIfTrue="1">
      <formula>AY11="Literae"</formula>
    </cfRule>
    <cfRule type="expression" dxfId="408" priority="97" stopIfTrue="1">
      <formula>AY11="Guerra"</formula>
    </cfRule>
    <cfRule type="expression" dxfId="407" priority="98" stopIfTrue="1">
      <formula>AY11="Caos"</formula>
    </cfRule>
    <cfRule type="expression" dxfId="406" priority="99" stopIfTrue="1">
      <formula>AY11="Nigromancia"</formula>
    </cfRule>
    <cfRule type="expression" dxfId="405" priority="100" stopIfTrue="1">
      <formula>AY11="Ilusión"</formula>
    </cfRule>
    <cfRule type="expression" dxfId="404" priority="101" stopIfTrue="1">
      <formula>AY11="Esencia"</formula>
    </cfRule>
    <cfRule type="expression" dxfId="403" priority="102" stopIfTrue="1">
      <formula>AY11="Tierra"</formula>
    </cfRule>
    <cfRule type="expression" dxfId="402" priority="103" stopIfTrue="1">
      <formula>AY11="Fuego"</formula>
    </cfRule>
    <cfRule type="expression" dxfId="401" priority="104" stopIfTrue="1">
      <formula>AY11="Agua"</formula>
    </cfRule>
    <cfRule type="expression" dxfId="400" priority="105" stopIfTrue="1">
      <formula>AY11="Aire"</formula>
    </cfRule>
    <cfRule type="expression" dxfId="399" priority="106" stopIfTrue="1">
      <formula>AY11="Destrucción"</formula>
    </cfRule>
    <cfRule type="expression" dxfId="398" priority="107" stopIfTrue="1">
      <formula>AY11="Creación"</formula>
    </cfRule>
    <cfRule type="expression" dxfId="397" priority="108" stopIfTrue="1">
      <formula>AY11="Oscuridad"</formula>
    </cfRule>
    <cfRule type="expression" dxfId="396"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395" priority="82" stopIfTrue="1">
      <formula>ISERROR(BH11)</formula>
    </cfRule>
  </conditionalFormatting>
  <conditionalFormatting sqref="BM22:BR22 BM23:BV23">
    <cfRule type="containsErrors" dxfId="394" priority="81" stopIfTrue="1">
      <formula>ISERROR(BM22)</formula>
    </cfRule>
  </conditionalFormatting>
  <conditionalFormatting sqref="BM33:BR33 BM34:BV34">
    <cfRule type="containsErrors" dxfId="393" priority="80" stopIfTrue="1">
      <formula>ISERROR(BM33)</formula>
    </cfRule>
  </conditionalFormatting>
  <conditionalFormatting sqref="BM44:BR44 BM45:BV45">
    <cfRule type="containsErrors" dxfId="392" priority="79" stopIfTrue="1">
      <formula>ISERROR(BM44)</formula>
    </cfRule>
  </conditionalFormatting>
  <conditionalFormatting sqref="BM55:BR55 BM56:BV56">
    <cfRule type="containsErrors" dxfId="391" priority="78" stopIfTrue="1">
      <formula>ISERROR(BM55)</formula>
    </cfRule>
  </conditionalFormatting>
  <conditionalFormatting sqref="BM67:BR67 BM68:BV68">
    <cfRule type="containsErrors" dxfId="390" priority="77" stopIfTrue="1">
      <formula>ISERROR(BM67)</formula>
    </cfRule>
  </conditionalFormatting>
  <conditionalFormatting sqref="BM78:BR78 BM79:BV79">
    <cfRule type="containsErrors" dxfId="389" priority="76" stopIfTrue="1">
      <formula>ISERROR(BM78)</formula>
    </cfRule>
  </conditionalFormatting>
  <conditionalFormatting sqref="BM89:BR89 BM90:BV90">
    <cfRule type="containsErrors" dxfId="388" priority="75" stopIfTrue="1">
      <formula>ISERROR(BM89)</formula>
    </cfRule>
  </conditionalFormatting>
  <conditionalFormatting sqref="BM100:BR100 BM101:BV101">
    <cfRule type="containsErrors" dxfId="387" priority="74" stopIfTrue="1">
      <formula>ISERROR(BM100)</formula>
    </cfRule>
  </conditionalFormatting>
  <conditionalFormatting sqref="BM111:BR111 BM112:BV112">
    <cfRule type="containsErrors" dxfId="386" priority="73" stopIfTrue="1">
      <formula>ISERROR(BM111)</formula>
    </cfRule>
  </conditionalFormatting>
  <conditionalFormatting sqref="BH66:BV66">
    <cfRule type="containsErrors" dxfId="385" priority="72" stopIfTrue="1">
      <formula>ISERROR(BH66)</formula>
    </cfRule>
  </conditionalFormatting>
  <conditionalFormatting sqref="BH10:BV10">
    <cfRule type="containsErrors" dxfId="384" priority="71" stopIfTrue="1">
      <formula>ISERROR(BH10)</formula>
    </cfRule>
  </conditionalFormatting>
  <conditionalFormatting sqref="BU11 BU22 BU33 BU44 BU55 BU67 BU78 BU89 BU100 BU111">
    <cfRule type="expression" dxfId="383" priority="69" stopIfTrue="1">
      <formula>$P$7&lt;&gt;"No"</formula>
    </cfRule>
    <cfRule type="containsText" dxfId="382" priority="70" stopIfTrue="1" operator="containsText" text="Aprendido">
      <formula>NOT(ISERROR(SEARCH("Aprendido",BU11)))</formula>
    </cfRule>
  </conditionalFormatting>
  <conditionalFormatting sqref="BH11 BH22 BH33 BH44 BH55 BH67 BH78 BH89 BH100 BH111">
    <cfRule type="expression" dxfId="381" priority="42" stopIfTrue="1">
      <formula>$P$7="No"</formula>
    </cfRule>
    <cfRule type="expression" dxfId="380" priority="43" stopIfTrue="1">
      <formula>AND($P$6&lt;&gt;0,BN11&gt;$P$6)</formula>
    </cfRule>
    <cfRule type="expression" dxfId="379" priority="44" stopIfTrue="1">
      <formula>BR11="Vacío"</formula>
    </cfRule>
    <cfRule type="expression" dxfId="378" priority="45" stopIfTrue="1">
      <formula>BR11="Umbral"</formula>
    </cfRule>
    <cfRule type="expression" dxfId="377" priority="46" stopIfTrue="1">
      <formula>BR11="Tiempo"</formula>
    </cfRule>
    <cfRule type="expression" dxfId="376" priority="47" stopIfTrue="1">
      <formula>BR11="Sueños"</formula>
    </cfRule>
    <cfRule type="expression" dxfId="375" priority="48" stopIfTrue="1">
      <formula>BR11="Sangre"</formula>
    </cfRule>
    <cfRule type="expression" dxfId="374" priority="49" stopIfTrue="1">
      <formula>BR11="Conocimiento"</formula>
    </cfRule>
    <cfRule type="expression" dxfId="373" priority="50" stopIfTrue="1">
      <formula>BR11="Pecado"</formula>
    </cfRule>
    <cfRule type="expression" dxfId="372" priority="51" stopIfTrue="1">
      <formula>BR11="Paz"</formula>
    </cfRule>
    <cfRule type="expression" dxfId="371" priority="52" stopIfTrue="1">
      <formula>BR11="Nobleza"</formula>
    </cfRule>
    <cfRule type="expression" dxfId="370" priority="53" stopIfTrue="1">
      <formula>BR11="Musical"</formula>
    </cfRule>
    <cfRule type="expression" dxfId="369" priority="54" stopIfTrue="1">
      <formula>BR11="Muerte"</formula>
    </cfRule>
    <cfRule type="expression" dxfId="368" priority="55" stopIfTrue="1">
      <formula>BR11="Literae"</formula>
    </cfRule>
    <cfRule type="expression" dxfId="367" priority="56" stopIfTrue="1">
      <formula>BR11="Guerra"</formula>
    </cfRule>
    <cfRule type="expression" dxfId="366" priority="57" stopIfTrue="1">
      <formula>BR11="Caos"</formula>
    </cfRule>
    <cfRule type="expression" dxfId="365" priority="58" stopIfTrue="1">
      <formula>BR11="Nigromancia"</formula>
    </cfRule>
    <cfRule type="expression" dxfId="364" priority="59" stopIfTrue="1">
      <formula>BR11="Ilusión"</formula>
    </cfRule>
    <cfRule type="expression" dxfId="363" priority="60" stopIfTrue="1">
      <formula>BR11="Esencia"</formula>
    </cfRule>
    <cfRule type="expression" dxfId="362" priority="61" stopIfTrue="1">
      <formula>BR11="Tierra"</formula>
    </cfRule>
    <cfRule type="expression" dxfId="361" priority="62" stopIfTrue="1">
      <formula>BR11="Fuego"</formula>
    </cfRule>
    <cfRule type="expression" dxfId="360" priority="63" stopIfTrue="1">
      <formula>BR11="Agua"</formula>
    </cfRule>
    <cfRule type="expression" dxfId="359" priority="64" stopIfTrue="1">
      <formula>BR11="Aire"</formula>
    </cfRule>
    <cfRule type="expression" dxfId="358" priority="65" stopIfTrue="1">
      <formula>BR11="Destrucción"</formula>
    </cfRule>
    <cfRule type="expression" dxfId="357" priority="66" stopIfTrue="1">
      <formula>BR11="Creación"</formula>
    </cfRule>
    <cfRule type="expression" dxfId="356" priority="67" stopIfTrue="1">
      <formula>BR11="Oscuridad"</formula>
    </cfRule>
    <cfRule type="expression" dxfId="355"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54" priority="41" stopIfTrue="1">
      <formula>ISERROR(CA11)</formula>
    </cfRule>
  </conditionalFormatting>
  <conditionalFormatting sqref="CF22:CK22 CF23:CO23">
    <cfRule type="containsErrors" dxfId="353" priority="40" stopIfTrue="1">
      <formula>ISERROR(CF22)</formula>
    </cfRule>
  </conditionalFormatting>
  <conditionalFormatting sqref="CF33:CK33 CF34:CO34">
    <cfRule type="containsErrors" dxfId="352" priority="39" stopIfTrue="1">
      <formula>ISERROR(CF33)</formula>
    </cfRule>
  </conditionalFormatting>
  <conditionalFormatting sqref="CF44:CK44 CF45:CO45">
    <cfRule type="containsErrors" dxfId="351" priority="38" stopIfTrue="1">
      <formula>ISERROR(CF44)</formula>
    </cfRule>
  </conditionalFormatting>
  <conditionalFormatting sqref="CF55:CK55 CF56:CO56">
    <cfRule type="containsErrors" dxfId="350" priority="37" stopIfTrue="1">
      <formula>ISERROR(CF55)</formula>
    </cfRule>
  </conditionalFormatting>
  <conditionalFormatting sqref="CF67:CK67 CF68:CO68">
    <cfRule type="containsErrors" dxfId="349" priority="36" stopIfTrue="1">
      <formula>ISERROR(CF67)</formula>
    </cfRule>
  </conditionalFormatting>
  <conditionalFormatting sqref="CF78:CK78 CF79:CO79">
    <cfRule type="containsErrors" dxfId="348" priority="35" stopIfTrue="1">
      <formula>ISERROR(CF78)</formula>
    </cfRule>
  </conditionalFormatting>
  <conditionalFormatting sqref="CF89:CK89 CF90:CO90">
    <cfRule type="containsErrors" dxfId="347" priority="34" stopIfTrue="1">
      <formula>ISERROR(CF89)</formula>
    </cfRule>
  </conditionalFormatting>
  <conditionalFormatting sqref="CF100:CK100 CF101:CO101">
    <cfRule type="containsErrors" dxfId="346" priority="33" stopIfTrue="1">
      <formula>ISERROR(CF100)</formula>
    </cfRule>
  </conditionalFormatting>
  <conditionalFormatting sqref="CF111:CK111 CF112:CO112">
    <cfRule type="containsErrors" dxfId="345" priority="32" stopIfTrue="1">
      <formula>ISERROR(CF111)</formula>
    </cfRule>
  </conditionalFormatting>
  <conditionalFormatting sqref="CA66:CO66">
    <cfRule type="containsErrors" dxfId="344" priority="31" stopIfTrue="1">
      <formula>ISERROR(CA66)</formula>
    </cfRule>
  </conditionalFormatting>
  <conditionalFormatting sqref="CA10:CO10">
    <cfRule type="containsErrors" dxfId="343" priority="30" stopIfTrue="1">
      <formula>ISERROR(CA10)</formula>
    </cfRule>
  </conditionalFormatting>
  <conditionalFormatting sqref="CN11 CN22 CN33 CN44 CN55 CN67 CN78 CN89 CN100 CN111">
    <cfRule type="expression" dxfId="342" priority="28" stopIfTrue="1">
      <formula>$P$7&lt;&gt;"No"</formula>
    </cfRule>
    <cfRule type="containsText" dxfId="341" priority="29" stopIfTrue="1" operator="containsText" text="Aprendido">
      <formula>NOT(ISERROR(SEARCH("Aprendido",CN11)))</formula>
    </cfRule>
  </conditionalFormatting>
  <conditionalFormatting sqref="CA11 CA22 CA33 CA44 CA55 CA67 CA78 CA89 CA100 CA111">
    <cfRule type="expression" dxfId="340" priority="1" stopIfTrue="1">
      <formula>$P$7="No"</formula>
    </cfRule>
    <cfRule type="expression" dxfId="339" priority="2" stopIfTrue="1">
      <formula>AND($P$6&lt;&gt;0,CG11&gt;$P$6)</formula>
    </cfRule>
    <cfRule type="expression" dxfId="338" priority="3" stopIfTrue="1">
      <formula>CK11="Vacío"</formula>
    </cfRule>
    <cfRule type="expression" dxfId="337" priority="4" stopIfTrue="1">
      <formula>CK11="Umbral"</formula>
    </cfRule>
    <cfRule type="expression" dxfId="336" priority="5" stopIfTrue="1">
      <formula>CK11="Tiempo"</formula>
    </cfRule>
    <cfRule type="expression" dxfId="335" priority="6" stopIfTrue="1">
      <formula>CK11="Sueños"</formula>
    </cfRule>
    <cfRule type="expression" dxfId="334" priority="7" stopIfTrue="1">
      <formula>CK11="Sangre"</formula>
    </cfRule>
    <cfRule type="expression" dxfId="333" priority="8" stopIfTrue="1">
      <formula>CK11="Conocimiento"</formula>
    </cfRule>
    <cfRule type="expression" dxfId="332" priority="9" stopIfTrue="1">
      <formula>CK11="Pecado"</formula>
    </cfRule>
    <cfRule type="expression" dxfId="331" priority="10" stopIfTrue="1">
      <formula>CK11="Paz"</formula>
    </cfRule>
    <cfRule type="expression" dxfId="330" priority="11" stopIfTrue="1">
      <formula>CK11="Nobleza"</formula>
    </cfRule>
    <cfRule type="expression" dxfId="329" priority="12" stopIfTrue="1">
      <formula>CK11="Musical"</formula>
    </cfRule>
    <cfRule type="expression" dxfId="328" priority="13" stopIfTrue="1">
      <formula>CK11="Muerte"</formula>
    </cfRule>
    <cfRule type="expression" dxfId="327" priority="14" stopIfTrue="1">
      <formula>CK11="Literae"</formula>
    </cfRule>
    <cfRule type="expression" dxfId="326" priority="15" stopIfTrue="1">
      <formula>CK11="Guerra"</formula>
    </cfRule>
    <cfRule type="expression" dxfId="325" priority="16" stopIfTrue="1">
      <formula>CK11="Caos"</formula>
    </cfRule>
    <cfRule type="expression" dxfId="324" priority="17" stopIfTrue="1">
      <formula>CK11="Nigromancia"</formula>
    </cfRule>
    <cfRule type="expression" dxfId="323" priority="18" stopIfTrue="1">
      <formula>CK11="Ilusión"</formula>
    </cfRule>
    <cfRule type="expression" dxfId="322" priority="19" stopIfTrue="1">
      <formula>CK11="Esencia"</formula>
    </cfRule>
    <cfRule type="expression" dxfId="321" priority="20" stopIfTrue="1">
      <formula>CK11="Tierra"</formula>
    </cfRule>
    <cfRule type="expression" dxfId="320" priority="21" stopIfTrue="1">
      <formula>CK11="Fuego"</formula>
    </cfRule>
    <cfRule type="expression" dxfId="319" priority="22" stopIfTrue="1">
      <formula>CK11="Agua"</formula>
    </cfRule>
    <cfRule type="expression" dxfId="318" priority="23" stopIfTrue="1">
      <formula>CK11="Aire"</formula>
    </cfRule>
    <cfRule type="expression" dxfId="317" priority="24" stopIfTrue="1">
      <formula>CK11="Destrucción"</formula>
    </cfRule>
    <cfRule type="expression" dxfId="316" priority="25" stopIfTrue="1">
      <formula>CK11="Creación"</formula>
    </cfRule>
    <cfRule type="expression" dxfId="315" priority="26" stopIfTrue="1">
      <formula>CK11="Oscuridad"</formula>
    </cfRule>
    <cfRule type="expression" dxfId="314"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5"/>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5"/>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5"/>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5"/>
      <c r="CW2" s="446"/>
      <c r="CX2" s="446"/>
      <c r="CY2" s="446"/>
      <c r="CZ2" s="446"/>
      <c r="DA2" s="446"/>
      <c r="DB2" s="446"/>
      <c r="DC2" s="447"/>
      <c r="DD2" s="444"/>
    </row>
    <row r="3" spans="1:108" ht="12" customHeight="1" x14ac:dyDescent="0.2">
      <c r="A3" s="444"/>
      <c r="B3" s="294"/>
      <c r="C3" s="4039"/>
      <c r="D3" s="4040"/>
      <c r="E3" s="4040"/>
      <c r="F3" s="4040"/>
      <c r="G3" s="4040"/>
      <c r="H3" s="4040"/>
      <c r="I3" s="448"/>
      <c r="J3" s="448"/>
      <c r="K3" s="448"/>
      <c r="L3" s="448"/>
      <c r="M3" s="448"/>
      <c r="N3" s="448"/>
      <c r="O3" s="448"/>
      <c r="P3" s="448"/>
      <c r="Q3" s="448"/>
      <c r="R3" s="1886"/>
      <c r="S3" s="448"/>
      <c r="T3" s="448"/>
      <c r="U3" s="448"/>
      <c r="V3" s="448"/>
      <c r="W3" s="448"/>
      <c r="X3" s="448"/>
      <c r="Y3" s="449"/>
      <c r="Z3" s="450"/>
      <c r="AA3" s="444"/>
      <c r="AB3" s="444"/>
      <c r="AC3" s="294"/>
      <c r="AD3" s="4039"/>
      <c r="AE3" s="4040"/>
      <c r="AF3" s="4040"/>
      <c r="AG3" s="4040"/>
      <c r="AH3" s="4040"/>
      <c r="AI3" s="4040"/>
      <c r="AJ3" s="448"/>
      <c r="AK3" s="448"/>
      <c r="AL3" s="448"/>
      <c r="AM3" s="448"/>
      <c r="AN3" s="448"/>
      <c r="AO3" s="448"/>
      <c r="AP3" s="448"/>
      <c r="AQ3" s="448"/>
      <c r="AR3" s="448"/>
      <c r="AS3" s="1886"/>
      <c r="AT3" s="448"/>
      <c r="AU3" s="448"/>
      <c r="AV3" s="448"/>
      <c r="AW3" s="448"/>
      <c r="AX3" s="448"/>
      <c r="AY3" s="448"/>
      <c r="AZ3" s="449"/>
      <c r="BA3" s="450"/>
      <c r="BB3" s="444"/>
      <c r="BC3" s="444"/>
      <c r="BD3" s="294"/>
      <c r="BE3" s="4039"/>
      <c r="BF3" s="4040"/>
      <c r="BG3" s="4040"/>
      <c r="BH3" s="4040"/>
      <c r="BI3" s="4040"/>
      <c r="BJ3" s="4040"/>
      <c r="BK3" s="448"/>
      <c r="BL3" s="448"/>
      <c r="BM3" s="448"/>
      <c r="BN3" s="448"/>
      <c r="BO3" s="448"/>
      <c r="BP3" s="448"/>
      <c r="BQ3" s="448"/>
      <c r="BR3" s="448"/>
      <c r="BS3" s="448"/>
      <c r="BT3" s="1886"/>
      <c r="BU3" s="448"/>
      <c r="BV3" s="448"/>
      <c r="BW3" s="448"/>
      <c r="BX3" s="448"/>
      <c r="BY3" s="448"/>
      <c r="BZ3" s="448"/>
      <c r="CA3" s="449"/>
      <c r="CB3" s="450"/>
      <c r="CC3" s="444"/>
      <c r="CD3" s="444"/>
      <c r="CE3" s="294"/>
      <c r="CF3" s="4039"/>
      <c r="CG3" s="4040"/>
      <c r="CH3" s="4040"/>
      <c r="CI3" s="4040"/>
      <c r="CJ3" s="4040"/>
      <c r="CK3" s="4040"/>
      <c r="CL3" s="448"/>
      <c r="CM3" s="448"/>
      <c r="CN3" s="448"/>
      <c r="CO3" s="448"/>
      <c r="CP3" s="448"/>
      <c r="CQ3" s="448"/>
      <c r="CR3" s="448"/>
      <c r="CS3" s="448"/>
      <c r="CT3" s="448"/>
      <c r="CU3" s="1886"/>
      <c r="CV3" s="448"/>
      <c r="CW3" s="448"/>
      <c r="CX3" s="448"/>
      <c r="CY3" s="448"/>
      <c r="CZ3" s="448"/>
      <c r="DA3" s="448"/>
      <c r="DB3" s="449"/>
      <c r="DC3" s="450"/>
      <c r="DD3" s="444"/>
    </row>
    <row r="4" spans="1:108" ht="12" customHeight="1" x14ac:dyDescent="0.2">
      <c r="A4" s="444"/>
      <c r="B4" s="294"/>
      <c r="C4" s="4041"/>
      <c r="D4" s="4042"/>
      <c r="E4" s="4042"/>
      <c r="F4" s="4042"/>
      <c r="G4" s="4042"/>
      <c r="H4" s="4042"/>
      <c r="I4" s="356"/>
      <c r="J4" s="4045" t="s">
        <v>1331</v>
      </c>
      <c r="K4" s="4046"/>
      <c r="L4" s="3025" t="str">
        <f>IF(OR(General!$F$22="",General!$F$22=0),"",General!$F$22)</f>
        <v/>
      </c>
      <c r="M4" s="3025"/>
      <c r="N4" s="3025"/>
      <c r="O4" s="3025"/>
      <c r="P4" s="3025"/>
      <c r="Q4" s="1887"/>
      <c r="R4" s="1611"/>
      <c r="S4" s="4037" t="s">
        <v>9012</v>
      </c>
      <c r="T4" s="4038"/>
      <c r="U4" s="4038"/>
      <c r="V4" s="4038"/>
      <c r="W4" s="4038"/>
      <c r="X4" s="4038"/>
      <c r="Y4" s="451"/>
      <c r="Z4" s="450"/>
      <c r="AA4" s="444"/>
      <c r="AB4" s="444"/>
      <c r="AC4" s="294"/>
      <c r="AD4" s="4041"/>
      <c r="AE4" s="4042"/>
      <c r="AF4" s="4042"/>
      <c r="AG4" s="4042"/>
      <c r="AH4" s="4042"/>
      <c r="AI4" s="4042"/>
      <c r="AJ4" s="356"/>
      <c r="AK4" s="4045" t="s">
        <v>1331</v>
      </c>
      <c r="AL4" s="4046"/>
      <c r="AM4" s="3025" t="str">
        <f>IF(OR(General!$F$22="",General!$F$22=0),"",General!$F$22)</f>
        <v/>
      </c>
      <c r="AN4" s="3025"/>
      <c r="AO4" s="3025"/>
      <c r="AP4" s="3025"/>
      <c r="AQ4" s="3025"/>
      <c r="AR4" s="1887"/>
      <c r="AS4" s="1611"/>
      <c r="AT4" s="4037" t="s">
        <v>9013</v>
      </c>
      <c r="AU4" s="4038"/>
      <c r="AV4" s="4038"/>
      <c r="AW4" s="4038"/>
      <c r="AX4" s="4038"/>
      <c r="AY4" s="4038"/>
      <c r="AZ4" s="451"/>
      <c r="BA4" s="450"/>
      <c r="BB4" s="444"/>
      <c r="BC4" s="444"/>
      <c r="BD4" s="294"/>
      <c r="BE4" s="4041"/>
      <c r="BF4" s="4042"/>
      <c r="BG4" s="4042"/>
      <c r="BH4" s="4042"/>
      <c r="BI4" s="4042"/>
      <c r="BJ4" s="4042"/>
      <c r="BK4" s="356"/>
      <c r="BL4" s="4045" t="s">
        <v>1331</v>
      </c>
      <c r="BM4" s="4046"/>
      <c r="BN4" s="3025" t="str">
        <f>IF(OR(General!$F$22="",General!$F$22=0),"",General!$F$22)</f>
        <v/>
      </c>
      <c r="BO4" s="3025"/>
      <c r="BP4" s="3025"/>
      <c r="BQ4" s="3025"/>
      <c r="BR4" s="3025"/>
      <c r="BS4" s="1887"/>
      <c r="BT4" s="1611"/>
      <c r="BU4" s="4037" t="s">
        <v>9014</v>
      </c>
      <c r="BV4" s="4038"/>
      <c r="BW4" s="4038"/>
      <c r="BX4" s="4038"/>
      <c r="BY4" s="4038"/>
      <c r="BZ4" s="4038"/>
      <c r="CA4" s="451"/>
      <c r="CB4" s="450"/>
      <c r="CC4" s="444"/>
      <c r="CD4" s="444"/>
      <c r="CE4" s="294"/>
      <c r="CF4" s="4041"/>
      <c r="CG4" s="4042"/>
      <c r="CH4" s="4042"/>
      <c r="CI4" s="4042"/>
      <c r="CJ4" s="4042"/>
      <c r="CK4" s="4042"/>
      <c r="CL4" s="356"/>
      <c r="CM4" s="4045" t="s">
        <v>1331</v>
      </c>
      <c r="CN4" s="4046"/>
      <c r="CO4" s="3025" t="str">
        <f>IF(OR(General!$F$22="",General!$F$22=0),"",General!$F$22)</f>
        <v/>
      </c>
      <c r="CP4" s="3025"/>
      <c r="CQ4" s="3025"/>
      <c r="CR4" s="3025"/>
      <c r="CS4" s="3025"/>
      <c r="CT4" s="1887"/>
      <c r="CU4" s="1611"/>
      <c r="CV4" s="4037" t="s">
        <v>9015</v>
      </c>
      <c r="CW4" s="4038"/>
      <c r="CX4" s="4038"/>
      <c r="CY4" s="4038"/>
      <c r="CZ4" s="4038"/>
      <c r="DA4" s="4038"/>
      <c r="DB4" s="451"/>
      <c r="DC4" s="450"/>
      <c r="DD4" s="444"/>
    </row>
    <row r="5" spans="1:108" ht="12" customHeight="1" x14ac:dyDescent="0.2">
      <c r="A5" s="444"/>
      <c r="B5" s="294"/>
      <c r="C5" s="4041"/>
      <c r="D5" s="4042"/>
      <c r="E5" s="4042"/>
      <c r="F5" s="4042"/>
      <c r="G5" s="4042"/>
      <c r="H5" s="4042"/>
      <c r="I5" s="356"/>
      <c r="J5" s="4035" t="s">
        <v>1332</v>
      </c>
      <c r="K5" s="4036"/>
      <c r="L5" s="2838" t="str">
        <f>PDs!$J$8</f>
        <v>Novel</v>
      </c>
      <c r="M5" s="2838"/>
      <c r="N5" s="2838"/>
      <c r="O5" s="2610" t="s">
        <v>1333</v>
      </c>
      <c r="P5" s="2611" t="str">
        <f>Principal!$O$6</f>
        <v>1</v>
      </c>
      <c r="Q5" s="356"/>
      <c r="R5" s="1611"/>
      <c r="S5" s="4038"/>
      <c r="T5" s="4038"/>
      <c r="U5" s="4038"/>
      <c r="V5" s="4038"/>
      <c r="W5" s="4038"/>
      <c r="X5" s="4038"/>
      <c r="Y5" s="451"/>
      <c r="Z5" s="450"/>
      <c r="AA5" s="444"/>
      <c r="AB5" s="444"/>
      <c r="AC5" s="294"/>
      <c r="AD5" s="4041"/>
      <c r="AE5" s="4042"/>
      <c r="AF5" s="4042"/>
      <c r="AG5" s="4042"/>
      <c r="AH5" s="4042"/>
      <c r="AI5" s="4042"/>
      <c r="AJ5" s="356"/>
      <c r="AK5" s="4035" t="s">
        <v>1332</v>
      </c>
      <c r="AL5" s="4036"/>
      <c r="AM5" s="2838" t="str">
        <f>PDs!$J$8</f>
        <v>Novel</v>
      </c>
      <c r="AN5" s="2838"/>
      <c r="AO5" s="2838"/>
      <c r="AP5" s="2610" t="s">
        <v>1333</v>
      </c>
      <c r="AQ5" s="2611" t="str">
        <f>Principal!$O$6</f>
        <v>1</v>
      </c>
      <c r="AR5" s="356"/>
      <c r="AS5" s="1611"/>
      <c r="AT5" s="4038"/>
      <c r="AU5" s="4038"/>
      <c r="AV5" s="4038"/>
      <c r="AW5" s="4038"/>
      <c r="AX5" s="4038"/>
      <c r="AY5" s="4038"/>
      <c r="AZ5" s="451"/>
      <c r="BA5" s="450"/>
      <c r="BB5" s="444"/>
      <c r="BC5" s="444"/>
      <c r="BD5" s="294"/>
      <c r="BE5" s="4041"/>
      <c r="BF5" s="4042"/>
      <c r="BG5" s="4042"/>
      <c r="BH5" s="4042"/>
      <c r="BI5" s="4042"/>
      <c r="BJ5" s="4042"/>
      <c r="BK5" s="356"/>
      <c r="BL5" s="4035" t="s">
        <v>1332</v>
      </c>
      <c r="BM5" s="4036"/>
      <c r="BN5" s="2838" t="str">
        <f>PDs!$J$8</f>
        <v>Novel</v>
      </c>
      <c r="BO5" s="2838"/>
      <c r="BP5" s="2838"/>
      <c r="BQ5" s="2610" t="s">
        <v>1333</v>
      </c>
      <c r="BR5" s="2611" t="str">
        <f>Principal!$O$6</f>
        <v>1</v>
      </c>
      <c r="BS5" s="356"/>
      <c r="BT5" s="1611"/>
      <c r="BU5" s="4038"/>
      <c r="BV5" s="4038"/>
      <c r="BW5" s="4038"/>
      <c r="BX5" s="4038"/>
      <c r="BY5" s="4038"/>
      <c r="BZ5" s="4038"/>
      <c r="CA5" s="451"/>
      <c r="CB5" s="450"/>
      <c r="CC5" s="444"/>
      <c r="CD5" s="444"/>
      <c r="CE5" s="294"/>
      <c r="CF5" s="4041"/>
      <c r="CG5" s="4042"/>
      <c r="CH5" s="4042"/>
      <c r="CI5" s="4042"/>
      <c r="CJ5" s="4042"/>
      <c r="CK5" s="4042"/>
      <c r="CL5" s="356"/>
      <c r="CM5" s="4035" t="s">
        <v>1332</v>
      </c>
      <c r="CN5" s="4036"/>
      <c r="CO5" s="2838" t="str">
        <f>PDs!$J$8</f>
        <v>Novel</v>
      </c>
      <c r="CP5" s="2838"/>
      <c r="CQ5" s="2838"/>
      <c r="CR5" s="2610" t="s">
        <v>1333</v>
      </c>
      <c r="CS5" s="2611" t="str">
        <f>Principal!$O$6</f>
        <v>1</v>
      </c>
      <c r="CT5" s="356"/>
      <c r="CU5" s="1611"/>
      <c r="CV5" s="4038"/>
      <c r="CW5" s="4038"/>
      <c r="CX5" s="4038"/>
      <c r="CY5" s="4038"/>
      <c r="CZ5" s="4038"/>
      <c r="DA5" s="4038"/>
      <c r="DB5" s="451"/>
      <c r="DC5" s="450"/>
      <c r="DD5" s="444"/>
    </row>
    <row r="6" spans="1:108" ht="12" customHeight="1" x14ac:dyDescent="0.2">
      <c r="A6" s="444"/>
      <c r="B6" s="294"/>
      <c r="C6" s="4041"/>
      <c r="D6" s="4042"/>
      <c r="E6" s="4042"/>
      <c r="F6" s="4042"/>
      <c r="G6" s="4042"/>
      <c r="H6" s="4042"/>
      <c r="I6" s="356"/>
      <c r="J6" s="4037" t="s">
        <v>6393</v>
      </c>
      <c r="K6" s="4038"/>
      <c r="L6" s="4038"/>
      <c r="M6" s="4038"/>
      <c r="N6" s="4038"/>
      <c r="O6" s="4038"/>
      <c r="P6" s="4038"/>
      <c r="Q6" s="356"/>
      <c r="R6" s="1611"/>
      <c r="S6" s="4071"/>
      <c r="T6" s="4072"/>
      <c r="U6" s="4072"/>
      <c r="V6" s="4072"/>
      <c r="W6" s="4072"/>
      <c r="X6" s="6046"/>
      <c r="Y6" s="451"/>
      <c r="Z6" s="450"/>
      <c r="AA6" s="444"/>
      <c r="AB6" s="444"/>
      <c r="AC6" s="294"/>
      <c r="AD6" s="4041"/>
      <c r="AE6" s="4042"/>
      <c r="AF6" s="4042"/>
      <c r="AG6" s="4042"/>
      <c r="AH6" s="4042"/>
      <c r="AI6" s="4042"/>
      <c r="AJ6" s="356"/>
      <c r="AK6" s="4037" t="s">
        <v>6393</v>
      </c>
      <c r="AL6" s="4038"/>
      <c r="AM6" s="4038"/>
      <c r="AN6" s="4038"/>
      <c r="AO6" s="4038"/>
      <c r="AP6" s="4038"/>
      <c r="AQ6" s="4038"/>
      <c r="AR6" s="356"/>
      <c r="AS6" s="1611"/>
      <c r="AT6" s="4071"/>
      <c r="AU6" s="4072"/>
      <c r="AV6" s="4072"/>
      <c r="AW6" s="4072"/>
      <c r="AX6" s="4072"/>
      <c r="AY6" s="6046"/>
      <c r="AZ6" s="451"/>
      <c r="BA6" s="450"/>
      <c r="BB6" s="444"/>
      <c r="BC6" s="444"/>
      <c r="BD6" s="294"/>
      <c r="BE6" s="4041"/>
      <c r="BF6" s="4042"/>
      <c r="BG6" s="4042"/>
      <c r="BH6" s="4042"/>
      <c r="BI6" s="4042"/>
      <c r="BJ6" s="4042"/>
      <c r="BK6" s="356"/>
      <c r="BL6" s="4037" t="s">
        <v>6393</v>
      </c>
      <c r="BM6" s="4038"/>
      <c r="BN6" s="4038"/>
      <c r="BO6" s="4038"/>
      <c r="BP6" s="4038"/>
      <c r="BQ6" s="4038"/>
      <c r="BR6" s="4038"/>
      <c r="BS6" s="356"/>
      <c r="BT6" s="1611"/>
      <c r="BU6" s="4071"/>
      <c r="BV6" s="4072"/>
      <c r="BW6" s="4072"/>
      <c r="BX6" s="4072"/>
      <c r="BY6" s="4072"/>
      <c r="BZ6" s="6046"/>
      <c r="CA6" s="451"/>
      <c r="CB6" s="450"/>
      <c r="CC6" s="444"/>
      <c r="CD6" s="444"/>
      <c r="CE6" s="294"/>
      <c r="CF6" s="4041"/>
      <c r="CG6" s="4042"/>
      <c r="CH6" s="4042"/>
      <c r="CI6" s="4042"/>
      <c r="CJ6" s="4042"/>
      <c r="CK6" s="4042"/>
      <c r="CL6" s="356"/>
      <c r="CM6" s="4037" t="s">
        <v>6393</v>
      </c>
      <c r="CN6" s="4038"/>
      <c r="CO6" s="4038"/>
      <c r="CP6" s="4038"/>
      <c r="CQ6" s="4038"/>
      <c r="CR6" s="4038"/>
      <c r="CS6" s="4038"/>
      <c r="CT6" s="356"/>
      <c r="CU6" s="1611"/>
      <c r="CV6" s="4071"/>
      <c r="CW6" s="4072"/>
      <c r="CX6" s="4072"/>
      <c r="CY6" s="4072"/>
      <c r="CZ6" s="4072"/>
      <c r="DA6" s="6046"/>
      <c r="DB6" s="451"/>
      <c r="DC6" s="450"/>
      <c r="DD6" s="444"/>
    </row>
    <row r="7" spans="1:108" ht="12" customHeight="1" x14ac:dyDescent="0.2">
      <c r="A7" s="444"/>
      <c r="B7" s="294"/>
      <c r="C7" s="4041"/>
      <c r="D7" s="4042"/>
      <c r="E7" s="4042"/>
      <c r="F7" s="4042"/>
      <c r="G7" s="4042"/>
      <c r="H7" s="4042"/>
      <c r="I7" s="356"/>
      <c r="J7" s="4038"/>
      <c r="K7" s="4038"/>
      <c r="L7" s="4038"/>
      <c r="M7" s="4038"/>
      <c r="N7" s="4038"/>
      <c r="O7" s="4038"/>
      <c r="P7" s="4038"/>
      <c r="Q7" s="356"/>
      <c r="R7" s="1611"/>
      <c r="S7" s="6047"/>
      <c r="T7" s="6048"/>
      <c r="U7" s="6048"/>
      <c r="V7" s="6048"/>
      <c r="W7" s="6048"/>
      <c r="X7" s="6049"/>
      <c r="Y7" s="1888" t="e">
        <f>MATCH(S6,'Tablas psiquica'!$U$113:$AH$113,0)</f>
        <v>#N/A</v>
      </c>
      <c r="Z7" s="450"/>
      <c r="AA7" s="444"/>
      <c r="AB7" s="444"/>
      <c r="AC7" s="294"/>
      <c r="AD7" s="4041"/>
      <c r="AE7" s="4042"/>
      <c r="AF7" s="4042"/>
      <c r="AG7" s="4042"/>
      <c r="AH7" s="4042"/>
      <c r="AI7" s="4042"/>
      <c r="AJ7" s="356"/>
      <c r="AK7" s="4038"/>
      <c r="AL7" s="4038"/>
      <c r="AM7" s="4038"/>
      <c r="AN7" s="4038"/>
      <c r="AO7" s="4038"/>
      <c r="AP7" s="4038"/>
      <c r="AQ7" s="4038"/>
      <c r="AR7" s="356"/>
      <c r="AS7" s="1611"/>
      <c r="AT7" s="6047"/>
      <c r="AU7" s="6048"/>
      <c r="AV7" s="6048"/>
      <c r="AW7" s="6048"/>
      <c r="AX7" s="6048"/>
      <c r="AY7" s="6049"/>
      <c r="AZ7" s="1888" t="e">
        <f>MATCH(AT6,'Tablas psiquica'!$U$113:$AH$113,0)</f>
        <v>#N/A</v>
      </c>
      <c r="BA7" s="450"/>
      <c r="BB7" s="444"/>
      <c r="BC7" s="444"/>
      <c r="BD7" s="294"/>
      <c r="BE7" s="4041"/>
      <c r="BF7" s="4042"/>
      <c r="BG7" s="4042"/>
      <c r="BH7" s="4042"/>
      <c r="BI7" s="4042"/>
      <c r="BJ7" s="4042"/>
      <c r="BK7" s="356"/>
      <c r="BL7" s="4038"/>
      <c r="BM7" s="4038"/>
      <c r="BN7" s="4038"/>
      <c r="BO7" s="4038"/>
      <c r="BP7" s="4038"/>
      <c r="BQ7" s="4038"/>
      <c r="BR7" s="4038"/>
      <c r="BS7" s="356"/>
      <c r="BT7" s="1611"/>
      <c r="BU7" s="6047"/>
      <c r="BV7" s="6048"/>
      <c r="BW7" s="6048"/>
      <c r="BX7" s="6048"/>
      <c r="BY7" s="6048"/>
      <c r="BZ7" s="6049"/>
      <c r="CA7" s="1888" t="e">
        <f>MATCH(BU6,'Tablas psiquica'!$U$113:$AH$113,0)</f>
        <v>#N/A</v>
      </c>
      <c r="CB7" s="450"/>
      <c r="CC7" s="444"/>
      <c r="CD7" s="444"/>
      <c r="CE7" s="294"/>
      <c r="CF7" s="4041"/>
      <c r="CG7" s="4042"/>
      <c r="CH7" s="4042"/>
      <c r="CI7" s="4042"/>
      <c r="CJ7" s="4042"/>
      <c r="CK7" s="4042"/>
      <c r="CL7" s="356"/>
      <c r="CM7" s="4038"/>
      <c r="CN7" s="4038"/>
      <c r="CO7" s="4038"/>
      <c r="CP7" s="4038"/>
      <c r="CQ7" s="4038"/>
      <c r="CR7" s="4038"/>
      <c r="CS7" s="4038"/>
      <c r="CT7" s="356"/>
      <c r="CU7" s="1611"/>
      <c r="CV7" s="6047"/>
      <c r="CW7" s="6048"/>
      <c r="CX7" s="6048"/>
      <c r="CY7" s="6048"/>
      <c r="CZ7" s="6048"/>
      <c r="DA7" s="6049"/>
      <c r="DB7" s="1888" t="e">
        <f>MATCH(CV6,'Tablas psiquica'!$U$113:$AH$113,0)</f>
        <v>#N/A</v>
      </c>
      <c r="DC7" s="450"/>
      <c r="DD7" s="444"/>
    </row>
    <row r="8" spans="1:108" ht="12" customHeight="1" thickBot="1" x14ac:dyDescent="0.25">
      <c r="A8" s="444"/>
      <c r="B8" s="294"/>
      <c r="C8" s="4043"/>
      <c r="D8" s="4044"/>
      <c r="E8" s="4044"/>
      <c r="F8" s="4044"/>
      <c r="G8" s="4044"/>
      <c r="H8" s="4044"/>
      <c r="I8" s="452"/>
      <c r="J8" s="452"/>
      <c r="K8" s="452"/>
      <c r="L8" s="452"/>
      <c r="M8" s="452"/>
      <c r="N8" s="452"/>
      <c r="O8" s="452"/>
      <c r="P8" s="452"/>
      <c r="Q8" s="452"/>
      <c r="R8" s="1889"/>
      <c r="S8" s="452"/>
      <c r="T8" s="452"/>
      <c r="U8" s="452"/>
      <c r="V8" s="452"/>
      <c r="W8" s="452"/>
      <c r="X8" s="452"/>
      <c r="Y8" s="453"/>
      <c r="Z8" s="450"/>
      <c r="AA8" s="444"/>
      <c r="AB8" s="444"/>
      <c r="AC8" s="294"/>
      <c r="AD8" s="4043"/>
      <c r="AE8" s="4044"/>
      <c r="AF8" s="4044"/>
      <c r="AG8" s="4044"/>
      <c r="AH8" s="4044"/>
      <c r="AI8" s="4044"/>
      <c r="AJ8" s="452"/>
      <c r="AK8" s="452"/>
      <c r="AL8" s="452"/>
      <c r="AM8" s="452"/>
      <c r="AN8" s="452"/>
      <c r="AO8" s="452"/>
      <c r="AP8" s="452"/>
      <c r="AQ8" s="452"/>
      <c r="AR8" s="452"/>
      <c r="AS8" s="1889"/>
      <c r="AT8" s="452"/>
      <c r="AU8" s="452"/>
      <c r="AV8" s="452"/>
      <c r="AW8" s="452"/>
      <c r="AX8" s="452"/>
      <c r="AY8" s="452"/>
      <c r="AZ8" s="453"/>
      <c r="BA8" s="450"/>
      <c r="BB8" s="444"/>
      <c r="BC8" s="444"/>
      <c r="BD8" s="294"/>
      <c r="BE8" s="4043"/>
      <c r="BF8" s="4044"/>
      <c r="BG8" s="4044"/>
      <c r="BH8" s="4044"/>
      <c r="BI8" s="4044"/>
      <c r="BJ8" s="4044"/>
      <c r="BK8" s="452"/>
      <c r="BL8" s="452"/>
      <c r="BM8" s="452"/>
      <c r="BN8" s="452"/>
      <c r="BO8" s="452"/>
      <c r="BP8" s="452"/>
      <c r="BQ8" s="452"/>
      <c r="BR8" s="452"/>
      <c r="BS8" s="452"/>
      <c r="BT8" s="1889"/>
      <c r="BU8" s="452"/>
      <c r="BV8" s="452"/>
      <c r="BW8" s="452"/>
      <c r="BX8" s="452"/>
      <c r="BY8" s="452"/>
      <c r="BZ8" s="452"/>
      <c r="CA8" s="453"/>
      <c r="CB8" s="450"/>
      <c r="CC8" s="444"/>
      <c r="CD8" s="444"/>
      <c r="CE8" s="294"/>
      <c r="CF8" s="4043"/>
      <c r="CG8" s="4044"/>
      <c r="CH8" s="4044"/>
      <c r="CI8" s="4044"/>
      <c r="CJ8" s="4044"/>
      <c r="CK8" s="4044"/>
      <c r="CL8" s="452"/>
      <c r="CM8" s="452"/>
      <c r="CN8" s="452"/>
      <c r="CO8" s="452"/>
      <c r="CP8" s="452"/>
      <c r="CQ8" s="452"/>
      <c r="CR8" s="452"/>
      <c r="CS8" s="452"/>
      <c r="CT8" s="452"/>
      <c r="CU8" s="1889"/>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6044">
        <f>IFERROR(INDEX('Tablas psiquica'!$U$115:$AH$129,B10,Y$7),0)</f>
        <v>0</v>
      </c>
      <c r="D10" s="6045"/>
      <c r="E10" s="6045"/>
      <c r="F10" s="6045"/>
      <c r="G10" s="6045"/>
      <c r="H10" s="6045"/>
      <c r="I10" s="475" t="s">
        <v>1411</v>
      </c>
      <c r="J10" s="745">
        <v>2</v>
      </c>
      <c r="K10" s="6044">
        <f>IFERROR(INDEX('Tablas psiquica'!$U$115:$AH$129,J10,Y$7),0)</f>
        <v>0</v>
      </c>
      <c r="L10" s="6045"/>
      <c r="M10" s="6045"/>
      <c r="N10" s="6045"/>
      <c r="O10" s="6045"/>
      <c r="P10" s="6045"/>
      <c r="Q10" s="475" t="s">
        <v>1411</v>
      </c>
      <c r="R10" s="1223">
        <v>3</v>
      </c>
      <c r="S10" s="6044">
        <f>IFERROR(INDEX('Tablas psiquica'!$U$115:$AH$129,R10,Y$7),0)</f>
        <v>0</v>
      </c>
      <c r="T10" s="6045"/>
      <c r="U10" s="6045"/>
      <c r="V10" s="6045"/>
      <c r="W10" s="6045"/>
      <c r="X10" s="6045"/>
      <c r="Y10" s="475" t="s">
        <v>1411</v>
      </c>
      <c r="Z10" s="450"/>
      <c r="AA10" s="444"/>
      <c r="AB10" s="444"/>
      <c r="AC10" s="1223">
        <v>1</v>
      </c>
      <c r="AD10" s="6044">
        <f>IFERROR(INDEX('Tablas psiquica'!$U$115:$AH$129,AC10,AZ$7),0)</f>
        <v>0</v>
      </c>
      <c r="AE10" s="6045"/>
      <c r="AF10" s="6045"/>
      <c r="AG10" s="6045"/>
      <c r="AH10" s="6045"/>
      <c r="AI10" s="6045"/>
      <c r="AJ10" s="475" t="s">
        <v>1411</v>
      </c>
      <c r="AK10" s="745">
        <v>2</v>
      </c>
      <c r="AL10" s="6044">
        <f>IFERROR(INDEX('Tablas psiquica'!$U$115:$AH$129,AK10,AZ$7),0)</f>
        <v>0</v>
      </c>
      <c r="AM10" s="6045"/>
      <c r="AN10" s="6045"/>
      <c r="AO10" s="6045"/>
      <c r="AP10" s="6045"/>
      <c r="AQ10" s="6045"/>
      <c r="AR10" s="475" t="s">
        <v>1411</v>
      </c>
      <c r="AS10" s="1223">
        <v>3</v>
      </c>
      <c r="AT10" s="6044">
        <f>IFERROR(INDEX('Tablas psiquica'!$U$115:$AH$129,AS10,AZ$7),0)</f>
        <v>0</v>
      </c>
      <c r="AU10" s="6045"/>
      <c r="AV10" s="6045"/>
      <c r="AW10" s="6045"/>
      <c r="AX10" s="6045"/>
      <c r="AY10" s="6045"/>
      <c r="AZ10" s="475" t="s">
        <v>1411</v>
      </c>
      <c r="BA10" s="450"/>
      <c r="BB10" s="444"/>
      <c r="BC10" s="444"/>
      <c r="BD10" s="1223">
        <v>1</v>
      </c>
      <c r="BE10" s="6044">
        <f>IFERROR(INDEX('Tablas psiquica'!$U$115:$AH$129,BD10,CA$7),0)</f>
        <v>0</v>
      </c>
      <c r="BF10" s="6045"/>
      <c r="BG10" s="6045"/>
      <c r="BH10" s="6045"/>
      <c r="BI10" s="6045"/>
      <c r="BJ10" s="6045"/>
      <c r="BK10" s="475" t="s">
        <v>1411</v>
      </c>
      <c r="BL10" s="745">
        <v>2</v>
      </c>
      <c r="BM10" s="6044">
        <f>IFERROR(INDEX('Tablas psiquica'!$U$115:$AH$129,BL10,CA$7),0)</f>
        <v>0</v>
      </c>
      <c r="BN10" s="6045"/>
      <c r="BO10" s="6045"/>
      <c r="BP10" s="6045"/>
      <c r="BQ10" s="6045"/>
      <c r="BR10" s="6045"/>
      <c r="BS10" s="475" t="s">
        <v>1411</v>
      </c>
      <c r="BT10" s="1223">
        <v>3</v>
      </c>
      <c r="BU10" s="6044">
        <f>IFERROR(INDEX('Tablas psiquica'!$U$115:$AH$129,BT10,CA$7),0)</f>
        <v>0</v>
      </c>
      <c r="BV10" s="6045"/>
      <c r="BW10" s="6045"/>
      <c r="BX10" s="6045"/>
      <c r="BY10" s="6045"/>
      <c r="BZ10" s="6045"/>
      <c r="CA10" s="475" t="s">
        <v>1411</v>
      </c>
      <c r="CB10" s="450"/>
      <c r="CC10" s="444"/>
      <c r="CD10" s="444"/>
      <c r="CE10" s="1223">
        <v>1</v>
      </c>
      <c r="CF10" s="6044">
        <f>IFERROR(INDEX('Tablas psiquica'!$U$115:$AH$129,CE10,DB$7),0)</f>
        <v>0</v>
      </c>
      <c r="CG10" s="6045"/>
      <c r="CH10" s="6045"/>
      <c r="CI10" s="6045"/>
      <c r="CJ10" s="6045"/>
      <c r="CK10" s="6045"/>
      <c r="CL10" s="475" t="s">
        <v>1411</v>
      </c>
      <c r="CM10" s="745">
        <v>2</v>
      </c>
      <c r="CN10" s="6044">
        <f>IFERROR(INDEX('Tablas psiquica'!$U$115:$AH$129,CM10,DB$7),0)</f>
        <v>0</v>
      </c>
      <c r="CO10" s="6045"/>
      <c r="CP10" s="6045"/>
      <c r="CQ10" s="6045"/>
      <c r="CR10" s="6045"/>
      <c r="CS10" s="6045"/>
      <c r="CT10" s="475" t="s">
        <v>1411</v>
      </c>
      <c r="CU10" s="1223">
        <v>3</v>
      </c>
      <c r="CV10" s="6044">
        <f>IFERROR(INDEX('Tablas psiquica'!$U$115:$AH$129,CU10,DB$7),0)</f>
        <v>0</v>
      </c>
      <c r="CW10" s="6045"/>
      <c r="CX10" s="6045"/>
      <c r="CY10" s="6045"/>
      <c r="CZ10" s="6045"/>
      <c r="DA10" s="6045"/>
      <c r="DB10" s="475" t="s">
        <v>1411</v>
      </c>
      <c r="DC10" s="450"/>
      <c r="DD10" s="444"/>
    </row>
    <row r="11" spans="1:108" ht="12" customHeight="1" x14ac:dyDescent="0.2">
      <c r="A11" s="444"/>
      <c r="B11" s="1223"/>
      <c r="C11" s="6039" t="str">
        <f>IF(C10=0,"",VLOOKUP(C10,'Tablas psiquica'!$D$7:$R$145,2,FALSE))</f>
        <v/>
      </c>
      <c r="D11" s="6040"/>
      <c r="E11" s="6040"/>
      <c r="F11" s="6041"/>
      <c r="G11" s="6042" t="str">
        <f>IF(C10=0,"",IF(INDEX('Tablas psiquica'!$U$114:$AH$114,1,$Y$7)=0,"No Accesible",IF(ISNA(VLOOKUP(C10,Psíquicos!$AS$17:$AS$43,1,0)),"Accesible CV","Aprendido")))</f>
        <v/>
      </c>
      <c r="H11" s="6043"/>
      <c r="I11" s="1890" t="str">
        <f>IF(C10=0,"",VLOOKUP(C10,'Tablas psiquica'!$D$7:$R$145,3,FALSE))</f>
        <v/>
      </c>
      <c r="J11" s="745"/>
      <c r="K11" s="6039" t="str">
        <f>IF(K10=0,"",VLOOKUP(K10,'Tablas psiquica'!$D$7:$R$145,2,FALSE))</f>
        <v/>
      </c>
      <c r="L11" s="6040"/>
      <c r="M11" s="6040"/>
      <c r="N11" s="6041"/>
      <c r="O11" s="6042" t="str">
        <f>IF(K10=0,"",IF(INDEX('Tablas psiquica'!$U$114:$AH$114,1,$Y$7)=0,"No Accesible",IF(ISNA(VLOOKUP(K10,Psíquicos!$AS$17:$AS$43,1,0)),"Accesible CV","Aprendido")))</f>
        <v/>
      </c>
      <c r="P11" s="6043"/>
      <c r="Q11" s="1890" t="str">
        <f>IF(K10=0,"",VLOOKUP(K10,'Tablas psiquica'!$D$7:$R$145,3,FALSE))</f>
        <v/>
      </c>
      <c r="R11" s="1223"/>
      <c r="S11" s="6039" t="str">
        <f>IF(S10=0,"",VLOOKUP(S10,'Tablas psiquica'!$D$7:$R$145,2,FALSE))</f>
        <v/>
      </c>
      <c r="T11" s="6040"/>
      <c r="U11" s="6040"/>
      <c r="V11" s="6041"/>
      <c r="W11" s="6042" t="str">
        <f>IF(S10=0,"",IF(INDEX('Tablas psiquica'!$U$114:$AH$114,1,$Y$7)=0,"No Accesible",IF(ISNA(VLOOKUP(S10,Psíquicos!$AS$17:$AS$43,1,0)),"Accesible CV","Aprendido")))</f>
        <v/>
      </c>
      <c r="X11" s="6043"/>
      <c r="Y11" s="1890" t="str">
        <f>IF(S10=0,"",VLOOKUP(S10,'Tablas psiquica'!$D$7:$R$145,3,FALSE))</f>
        <v/>
      </c>
      <c r="Z11" s="450"/>
      <c r="AA11" s="444"/>
      <c r="AB11" s="444"/>
      <c r="AC11" s="1223"/>
      <c r="AD11" s="6039" t="str">
        <f>IF(AD10=0,"",VLOOKUP(AD10,'Tablas psiquica'!$D$7:$R$145,2,FALSE))</f>
        <v/>
      </c>
      <c r="AE11" s="6040"/>
      <c r="AF11" s="6040"/>
      <c r="AG11" s="6041"/>
      <c r="AH11" s="6042" t="str">
        <f>IF(AD10=0,"",IF(INDEX('Tablas psiquica'!$U$114:$AH$114,1,$AZ$7)=0,"No Accesible",IF(ISNA(VLOOKUP(AD10,Psíquicos!$AS$17:$AS$43,1,0)),"Accesible CV","Aprendido")))</f>
        <v/>
      </c>
      <c r="AI11" s="6043"/>
      <c r="AJ11" s="1890" t="str">
        <f>IF(AD10=0,"",VLOOKUP(AD10,'Tablas psiquica'!$D$7:$R$145,3,FALSE))</f>
        <v/>
      </c>
      <c r="AK11" s="745"/>
      <c r="AL11" s="6039" t="str">
        <f>IF(AL10=0,"",VLOOKUP(AL10,'Tablas psiquica'!$D$7:$R$145,2,FALSE))</f>
        <v/>
      </c>
      <c r="AM11" s="6040"/>
      <c r="AN11" s="6040"/>
      <c r="AO11" s="6041"/>
      <c r="AP11" s="6042" t="str">
        <f>IF(AL10=0,"",IF(INDEX('Tablas psiquica'!$U$114:$AH$114,1,$AZ$7)=0,"No Accesible",IF(ISNA(VLOOKUP(AL10,Psíquicos!$AS$17:$AS$43,1,0)),"Accesible CV","Aprendido")))</f>
        <v/>
      </c>
      <c r="AQ11" s="6043"/>
      <c r="AR11" s="1890" t="str">
        <f>IF(AL10=0,"",VLOOKUP(AL10,'Tablas psiquica'!$D$7:$R$145,3,FALSE))</f>
        <v/>
      </c>
      <c r="AS11" s="1223"/>
      <c r="AT11" s="6039" t="str">
        <f>IF(AT10=0,"",VLOOKUP(AT10,'Tablas psiquica'!$D$7:$R$145,2,FALSE))</f>
        <v/>
      </c>
      <c r="AU11" s="6040"/>
      <c r="AV11" s="6040"/>
      <c r="AW11" s="6041"/>
      <c r="AX11" s="6042" t="str">
        <f>IF(AT10=0,"",IF(INDEX('Tablas psiquica'!$U$114:$AH$114,1,$AZ$7)=0,"No Accesible",IF(ISNA(VLOOKUP(AT10,Psíquicos!$AS$17:$AS$43,1,0)),"Accesible CV","Aprendido")))</f>
        <v/>
      </c>
      <c r="AY11" s="6043"/>
      <c r="AZ11" s="1890" t="str">
        <f>IF(AT10=0,"",VLOOKUP(AT10,'Tablas psiquica'!$D$7:$R$145,3,FALSE))</f>
        <v/>
      </c>
      <c r="BA11" s="450"/>
      <c r="BB11" s="444"/>
      <c r="BC11" s="444"/>
      <c r="BD11" s="1223"/>
      <c r="BE11" s="6039" t="str">
        <f>IF(BE10=0,"",VLOOKUP(BE10,'Tablas psiquica'!$D$7:$R$145,2,FALSE))</f>
        <v/>
      </c>
      <c r="BF11" s="6040"/>
      <c r="BG11" s="6040"/>
      <c r="BH11" s="6041"/>
      <c r="BI11" s="6042" t="str">
        <f>IF(BE10=0,"",IF(INDEX('Tablas psiquica'!$U$114:$AH$114,1,$CA$7)=0,"No Accesible",IF(ISNA(VLOOKUP(BE10,Psíquicos!$AS$17:$AS$43,1,0)),"Accesible CV","Aprendido")))</f>
        <v/>
      </c>
      <c r="BJ11" s="6043"/>
      <c r="BK11" s="1890" t="str">
        <f>IF(BE10=0,"",VLOOKUP(BE10,'Tablas psiquica'!$D$7:$R$145,3,FALSE))</f>
        <v/>
      </c>
      <c r="BL11" s="745"/>
      <c r="BM11" s="6039" t="str">
        <f>IF(BM10=0,"",VLOOKUP(BM10,'Tablas psiquica'!$D$7:$R$145,2,FALSE))</f>
        <v/>
      </c>
      <c r="BN11" s="6040"/>
      <c r="BO11" s="6040"/>
      <c r="BP11" s="6041"/>
      <c r="BQ11" s="6042" t="str">
        <f>IF(BM10=0,"",IF(INDEX('Tablas psiquica'!$U$114:$AH$114,1,$CA$7)=0,"No Accesible",IF(ISNA(VLOOKUP(BM10,Psíquicos!$AS$17:$AS$43,1,0)),"Accesible CV","Aprendido")))</f>
        <v/>
      </c>
      <c r="BR11" s="6043"/>
      <c r="BS11" s="1890" t="str">
        <f>IF(BM10=0,"",VLOOKUP(BM10,'Tablas psiquica'!$D$7:$R$145,3,FALSE))</f>
        <v/>
      </c>
      <c r="BT11" s="1223"/>
      <c r="BU11" s="6039" t="str">
        <f>IF(BU10=0,"",VLOOKUP(BU10,'Tablas psiquica'!$D$7:$R$145,2,FALSE))</f>
        <v/>
      </c>
      <c r="BV11" s="6040"/>
      <c r="BW11" s="6040"/>
      <c r="BX11" s="6041"/>
      <c r="BY11" s="6042" t="str">
        <f>IF(BU10=0,"",IF(INDEX('Tablas psiquica'!$U$114:$AH$114,1,$CA$7)=0,"No Accesible",IF(ISNA(VLOOKUP(BU10,Psíquicos!$AS$17:$AS$43,1,0)),"Accesible CV","Aprendido")))</f>
        <v/>
      </c>
      <c r="BZ11" s="6043"/>
      <c r="CA11" s="1890" t="str">
        <f>IF(BU10=0,"",VLOOKUP(BU10,'Tablas psiquica'!$D$7:$R$145,3,FALSE))</f>
        <v/>
      </c>
      <c r="CB11" s="450"/>
      <c r="CC11" s="444"/>
      <c r="CD11" s="444"/>
      <c r="CE11" s="1223"/>
      <c r="CF11" s="6039" t="str">
        <f>IF(CF10=0,"",VLOOKUP(CF10,'Tablas psiquica'!$D$7:$R$145,2,FALSE))</f>
        <v/>
      </c>
      <c r="CG11" s="6040"/>
      <c r="CH11" s="6040"/>
      <c r="CI11" s="6041"/>
      <c r="CJ11" s="6042" t="str">
        <f>IF(CF10=0,"",IF(INDEX('Tablas psiquica'!$U$114:$AH$114,1,$DB$7)=0,"No Accesible",IF(ISNA(VLOOKUP(CF10,Psíquicos!$AS$17:$AS$43,1,0)),"Accesible CV","Aprendido")))</f>
        <v/>
      </c>
      <c r="CK11" s="6043"/>
      <c r="CL11" s="1890" t="str">
        <f>IF(CF10=0,"",VLOOKUP(CF10,'Tablas psiquica'!$D$7:$R$145,3,FALSE))</f>
        <v/>
      </c>
      <c r="CM11" s="745"/>
      <c r="CN11" s="6039" t="str">
        <f>IF(CN10=0,"",VLOOKUP(CN10,'Tablas psiquica'!$D$7:$R$145,2,FALSE))</f>
        <v/>
      </c>
      <c r="CO11" s="6040"/>
      <c r="CP11" s="6040"/>
      <c r="CQ11" s="6041"/>
      <c r="CR11" s="6042" t="str">
        <f>IF(CN10=0,"",IF(INDEX('Tablas psiquica'!$U$114:$AH$114,1,$DB$7)=0,"No Accesible",IF(ISNA(VLOOKUP(CN10,Psíquicos!$AS$17:$AS$43,1,0)),"Accesible CV","Aprendido")))</f>
        <v/>
      </c>
      <c r="CS11" s="6043"/>
      <c r="CT11" s="1890" t="str">
        <f>IF(CN10=0,"",VLOOKUP(CN10,'Tablas psiquica'!$D$7:$R$145,3,FALSE))</f>
        <v/>
      </c>
      <c r="CU11" s="1223"/>
      <c r="CV11" s="6039" t="str">
        <f>IF(CV10=0,"",VLOOKUP(CV10,'Tablas psiquica'!$D$7:$R$145,2,FALSE))</f>
        <v/>
      </c>
      <c r="CW11" s="6040"/>
      <c r="CX11" s="6040"/>
      <c r="CY11" s="6041"/>
      <c r="CZ11" s="6042" t="str">
        <f>IF(CV10=0,"",IF(INDEX('Tablas psiquica'!$U$114:$AH$114,1,$DB$7)=0,"No Accesible",IF(ISNA(VLOOKUP(CV10,Psíquicos!$AS$17:$AS$43,1,0)),"Accesible CV","Aprendido")))</f>
        <v/>
      </c>
      <c r="DA11" s="6043"/>
      <c r="DB11" s="1890" t="str">
        <f>IF(CV10=0,"",VLOOKUP(CV10,'Tablas psiquica'!$D$7:$R$145,3,FALSE))</f>
        <v/>
      </c>
      <c r="DC11" s="450"/>
      <c r="DD11" s="444"/>
    </row>
    <row r="12" spans="1:108" ht="12" customHeight="1" x14ac:dyDescent="0.2">
      <c r="A12" s="444"/>
      <c r="B12" s="1223"/>
      <c r="C12" s="1851">
        <v>20</v>
      </c>
      <c r="D12" s="6034" t="s">
        <v>1732</v>
      </c>
      <c r="E12" s="5982"/>
      <c r="F12" s="6035" t="str">
        <f>IF(C10=0,"",VLOOKUP(C10,'Tablas psiquica'!$D$7:$R$145,6,FALSE))</f>
        <v/>
      </c>
      <c r="G12" s="5664"/>
      <c r="H12" s="5664"/>
      <c r="I12" s="5701"/>
      <c r="J12" s="745"/>
      <c r="K12" s="1851">
        <v>20</v>
      </c>
      <c r="L12" s="6034" t="s">
        <v>1732</v>
      </c>
      <c r="M12" s="5982"/>
      <c r="N12" s="6035" t="str">
        <f>IF(K10=0,"",VLOOKUP(K10,'Tablas psiquica'!$D$7:$R$145,6,FALSE))</f>
        <v/>
      </c>
      <c r="O12" s="5664"/>
      <c r="P12" s="5664"/>
      <c r="Q12" s="5701"/>
      <c r="R12" s="1223"/>
      <c r="S12" s="1851">
        <v>20</v>
      </c>
      <c r="T12" s="6034" t="s">
        <v>1732</v>
      </c>
      <c r="U12" s="5982"/>
      <c r="V12" s="6035" t="str">
        <f>IF(S10=0,"",VLOOKUP(S10,'Tablas psiquica'!$D$7:$R$145,6,FALSE))</f>
        <v/>
      </c>
      <c r="W12" s="5664"/>
      <c r="X12" s="5664"/>
      <c r="Y12" s="5701"/>
      <c r="Z12" s="450"/>
      <c r="AA12" s="444"/>
      <c r="AB12" s="444"/>
      <c r="AC12" s="1223"/>
      <c r="AD12" s="1851">
        <v>20</v>
      </c>
      <c r="AE12" s="6034" t="s">
        <v>1732</v>
      </c>
      <c r="AF12" s="5982"/>
      <c r="AG12" s="6035" t="str">
        <f>IF(AD10=0,"",VLOOKUP(AD10,'Tablas psiquica'!$D$7:$R$145,6,FALSE))</f>
        <v/>
      </c>
      <c r="AH12" s="5664"/>
      <c r="AI12" s="5664"/>
      <c r="AJ12" s="5701"/>
      <c r="AK12" s="745"/>
      <c r="AL12" s="1851">
        <v>20</v>
      </c>
      <c r="AM12" s="6034" t="s">
        <v>1732</v>
      </c>
      <c r="AN12" s="5982"/>
      <c r="AO12" s="6035" t="str">
        <f>IF(AL10=0,"",VLOOKUP(AL10,'Tablas psiquica'!$D$7:$R$145,6,FALSE))</f>
        <v/>
      </c>
      <c r="AP12" s="5664"/>
      <c r="AQ12" s="5664"/>
      <c r="AR12" s="5701"/>
      <c r="AS12" s="1223"/>
      <c r="AT12" s="1851">
        <v>20</v>
      </c>
      <c r="AU12" s="6034" t="s">
        <v>1732</v>
      </c>
      <c r="AV12" s="5982"/>
      <c r="AW12" s="6035" t="str">
        <f>IF(AT10=0,"",VLOOKUP(AT10,'Tablas psiquica'!$D$7:$R$145,6,FALSE))</f>
        <v/>
      </c>
      <c r="AX12" s="5664"/>
      <c r="AY12" s="5664"/>
      <c r="AZ12" s="5701"/>
      <c r="BA12" s="450"/>
      <c r="BB12" s="444"/>
      <c r="BC12" s="444"/>
      <c r="BD12" s="1223"/>
      <c r="BE12" s="1851">
        <v>20</v>
      </c>
      <c r="BF12" s="6034" t="s">
        <v>1732</v>
      </c>
      <c r="BG12" s="5982"/>
      <c r="BH12" s="6035" t="str">
        <f>IF(BE10=0,"",VLOOKUP(BE10,'Tablas psiquica'!$D$7:$R$145,6,FALSE))</f>
        <v/>
      </c>
      <c r="BI12" s="5664"/>
      <c r="BJ12" s="5664"/>
      <c r="BK12" s="5701"/>
      <c r="BL12" s="745"/>
      <c r="BM12" s="1851">
        <v>20</v>
      </c>
      <c r="BN12" s="6034" t="s">
        <v>1732</v>
      </c>
      <c r="BO12" s="5982"/>
      <c r="BP12" s="6035" t="str">
        <f>IF(BM10=0,"",VLOOKUP(BM10,'Tablas psiquica'!$D$7:$R$145,6,FALSE))</f>
        <v/>
      </c>
      <c r="BQ12" s="5664"/>
      <c r="BR12" s="5664"/>
      <c r="BS12" s="5701"/>
      <c r="BT12" s="1223"/>
      <c r="BU12" s="1851">
        <v>20</v>
      </c>
      <c r="BV12" s="6034" t="s">
        <v>1732</v>
      </c>
      <c r="BW12" s="5982"/>
      <c r="BX12" s="6035" t="str">
        <f>IF(BU10=0,"",VLOOKUP(BU10,'Tablas psiquica'!$D$7:$R$145,6,FALSE))</f>
        <v/>
      </c>
      <c r="BY12" s="5664"/>
      <c r="BZ12" s="5664"/>
      <c r="CA12" s="5701"/>
      <c r="CB12" s="450"/>
      <c r="CC12" s="444"/>
      <c r="CD12" s="444"/>
      <c r="CE12" s="1223"/>
      <c r="CF12" s="1851">
        <v>20</v>
      </c>
      <c r="CG12" s="6034" t="s">
        <v>1732</v>
      </c>
      <c r="CH12" s="5982"/>
      <c r="CI12" s="6035" t="str">
        <f>IF(CF10=0,"",VLOOKUP(CF10,'Tablas psiquica'!$D$7:$R$145,6,FALSE))</f>
        <v/>
      </c>
      <c r="CJ12" s="5664"/>
      <c r="CK12" s="5664"/>
      <c r="CL12" s="5701"/>
      <c r="CM12" s="745"/>
      <c r="CN12" s="1851">
        <v>20</v>
      </c>
      <c r="CO12" s="6034" t="s">
        <v>1732</v>
      </c>
      <c r="CP12" s="5982"/>
      <c r="CQ12" s="6035" t="str">
        <f>IF(CN10=0,"",VLOOKUP(CN10,'Tablas psiquica'!$D$7:$R$145,6,FALSE))</f>
        <v/>
      </c>
      <c r="CR12" s="5664"/>
      <c r="CS12" s="5664"/>
      <c r="CT12" s="5701"/>
      <c r="CU12" s="1223"/>
      <c r="CV12" s="1851">
        <v>20</v>
      </c>
      <c r="CW12" s="6034" t="s">
        <v>1732</v>
      </c>
      <c r="CX12" s="5982"/>
      <c r="CY12" s="6035" t="str">
        <f>IF(CV10=0,"",VLOOKUP(CV10,'Tablas psiquica'!$D$7:$R$145,6,FALSE))</f>
        <v/>
      </c>
      <c r="CZ12" s="5664"/>
      <c r="DA12" s="5664"/>
      <c r="DB12" s="5701"/>
      <c r="DC12" s="450"/>
      <c r="DD12" s="444"/>
    </row>
    <row r="13" spans="1:108" ht="12" customHeight="1" x14ac:dyDescent="0.2">
      <c r="A13" s="444"/>
      <c r="B13" s="1223"/>
      <c r="C13" s="1850">
        <v>40</v>
      </c>
      <c r="D13" s="6036" t="s">
        <v>1734</v>
      </c>
      <c r="E13" s="5977"/>
      <c r="F13" s="6037" t="str">
        <f>IF(C10=0,"",VLOOKUP(C10,'Tablas psiquica'!$D$7:$R$145,7,FALSE))</f>
        <v/>
      </c>
      <c r="G13" s="5911"/>
      <c r="H13" s="5911"/>
      <c r="I13" s="6038"/>
      <c r="J13" s="745"/>
      <c r="K13" s="1850">
        <v>40</v>
      </c>
      <c r="L13" s="6036" t="s">
        <v>1734</v>
      </c>
      <c r="M13" s="5977"/>
      <c r="N13" s="6037" t="str">
        <f>IF(K10=0,"",VLOOKUP(K10,'Tablas psiquica'!$D$7:$R$145,7,FALSE))</f>
        <v/>
      </c>
      <c r="O13" s="5911"/>
      <c r="P13" s="5911"/>
      <c r="Q13" s="6038"/>
      <c r="R13" s="1223"/>
      <c r="S13" s="1850">
        <v>40</v>
      </c>
      <c r="T13" s="6036" t="s">
        <v>1734</v>
      </c>
      <c r="U13" s="5977"/>
      <c r="V13" s="6037" t="str">
        <f>IF(S10=0,"",VLOOKUP(S10,'Tablas psiquica'!$D$7:$R$145,7,FALSE))</f>
        <v/>
      </c>
      <c r="W13" s="5911"/>
      <c r="X13" s="5911"/>
      <c r="Y13" s="6038"/>
      <c r="Z13" s="450"/>
      <c r="AA13" s="444"/>
      <c r="AB13" s="444"/>
      <c r="AC13" s="1223"/>
      <c r="AD13" s="1850">
        <v>40</v>
      </c>
      <c r="AE13" s="6036" t="s">
        <v>1734</v>
      </c>
      <c r="AF13" s="5977"/>
      <c r="AG13" s="6037" t="str">
        <f>IF(AD10=0,"",VLOOKUP(AD10,'Tablas psiquica'!$D$7:$R$145,7,FALSE))</f>
        <v/>
      </c>
      <c r="AH13" s="5911"/>
      <c r="AI13" s="5911"/>
      <c r="AJ13" s="6038"/>
      <c r="AK13" s="745"/>
      <c r="AL13" s="1850">
        <v>40</v>
      </c>
      <c r="AM13" s="6036" t="s">
        <v>1734</v>
      </c>
      <c r="AN13" s="5977"/>
      <c r="AO13" s="6037" t="str">
        <f>IF(AL10=0,"",VLOOKUP(AL10,'Tablas psiquica'!$D$7:$R$145,7,FALSE))</f>
        <v/>
      </c>
      <c r="AP13" s="5911"/>
      <c r="AQ13" s="5911"/>
      <c r="AR13" s="6038"/>
      <c r="AS13" s="1223"/>
      <c r="AT13" s="1850">
        <v>40</v>
      </c>
      <c r="AU13" s="6036" t="s">
        <v>1734</v>
      </c>
      <c r="AV13" s="5977"/>
      <c r="AW13" s="6037" t="str">
        <f>IF(AT10=0,"",VLOOKUP(AT10,'Tablas psiquica'!$D$7:$R$145,7,FALSE))</f>
        <v/>
      </c>
      <c r="AX13" s="5911"/>
      <c r="AY13" s="5911"/>
      <c r="AZ13" s="6038"/>
      <c r="BA13" s="450"/>
      <c r="BB13" s="444"/>
      <c r="BC13" s="444"/>
      <c r="BD13" s="1223"/>
      <c r="BE13" s="1850">
        <v>40</v>
      </c>
      <c r="BF13" s="6036" t="s">
        <v>1734</v>
      </c>
      <c r="BG13" s="5977"/>
      <c r="BH13" s="6037" t="str">
        <f>IF(BE10=0,"",VLOOKUP(BE10,'Tablas psiquica'!$D$7:$R$145,7,FALSE))</f>
        <v/>
      </c>
      <c r="BI13" s="5911"/>
      <c r="BJ13" s="5911"/>
      <c r="BK13" s="6038"/>
      <c r="BL13" s="745"/>
      <c r="BM13" s="1850">
        <v>40</v>
      </c>
      <c r="BN13" s="6036" t="s">
        <v>1734</v>
      </c>
      <c r="BO13" s="5977"/>
      <c r="BP13" s="6037" t="str">
        <f>IF(BM10=0,"",VLOOKUP(BM10,'Tablas psiquica'!$D$7:$R$145,7,FALSE))</f>
        <v/>
      </c>
      <c r="BQ13" s="5911"/>
      <c r="BR13" s="5911"/>
      <c r="BS13" s="6038"/>
      <c r="BT13" s="1223"/>
      <c r="BU13" s="1850">
        <v>40</v>
      </c>
      <c r="BV13" s="6036" t="s">
        <v>1734</v>
      </c>
      <c r="BW13" s="5977"/>
      <c r="BX13" s="6037" t="str">
        <f>IF(BU10=0,"",VLOOKUP(BU10,'Tablas psiquica'!$D$7:$R$145,7,FALSE))</f>
        <v/>
      </c>
      <c r="BY13" s="5911"/>
      <c r="BZ13" s="5911"/>
      <c r="CA13" s="6038"/>
      <c r="CB13" s="450"/>
      <c r="CC13" s="444"/>
      <c r="CD13" s="444"/>
      <c r="CE13" s="1223"/>
      <c r="CF13" s="1850">
        <v>40</v>
      </c>
      <c r="CG13" s="6036" t="s">
        <v>1734</v>
      </c>
      <c r="CH13" s="5977"/>
      <c r="CI13" s="6037" t="str">
        <f>IF(CF10=0,"",VLOOKUP(CF10,'Tablas psiquica'!$D$7:$R$145,7,FALSE))</f>
        <v/>
      </c>
      <c r="CJ13" s="5911"/>
      <c r="CK13" s="5911"/>
      <c r="CL13" s="6038"/>
      <c r="CM13" s="745"/>
      <c r="CN13" s="1850">
        <v>40</v>
      </c>
      <c r="CO13" s="6036" t="s">
        <v>1734</v>
      </c>
      <c r="CP13" s="5977"/>
      <c r="CQ13" s="6037" t="str">
        <f>IF(CN10=0,"",VLOOKUP(CN10,'Tablas psiquica'!$D$7:$R$145,7,FALSE))</f>
        <v/>
      </c>
      <c r="CR13" s="5911"/>
      <c r="CS13" s="5911"/>
      <c r="CT13" s="6038"/>
      <c r="CU13" s="1223"/>
      <c r="CV13" s="1850">
        <v>40</v>
      </c>
      <c r="CW13" s="6036" t="s">
        <v>1734</v>
      </c>
      <c r="CX13" s="5977"/>
      <c r="CY13" s="6037" t="str">
        <f>IF(CV10=0,"",VLOOKUP(CV10,'Tablas psiquica'!$D$7:$R$145,7,FALSE))</f>
        <v/>
      </c>
      <c r="CZ13" s="5911"/>
      <c r="DA13" s="5911"/>
      <c r="DB13" s="6038"/>
      <c r="DC13" s="450"/>
      <c r="DD13" s="444"/>
    </row>
    <row r="14" spans="1:108" ht="12" customHeight="1" x14ac:dyDescent="0.2">
      <c r="A14" s="444"/>
      <c r="B14" s="1223"/>
      <c r="C14" s="1851">
        <v>80</v>
      </c>
      <c r="D14" s="6034" t="s">
        <v>1737</v>
      </c>
      <c r="E14" s="5982"/>
      <c r="F14" s="6035" t="str">
        <f>IF(C10=0,"",VLOOKUP(C10,'Tablas psiquica'!$D$7:$R$145,8,FALSE))</f>
        <v/>
      </c>
      <c r="G14" s="5664"/>
      <c r="H14" s="5664"/>
      <c r="I14" s="5701"/>
      <c r="J14" s="745"/>
      <c r="K14" s="1851">
        <v>80</v>
      </c>
      <c r="L14" s="6034" t="s">
        <v>1737</v>
      </c>
      <c r="M14" s="5982"/>
      <c r="N14" s="6035" t="str">
        <f>IF(K10=0,"",VLOOKUP(K10,'Tablas psiquica'!$D$7:$R$145,8,FALSE))</f>
        <v/>
      </c>
      <c r="O14" s="5664"/>
      <c r="P14" s="5664"/>
      <c r="Q14" s="5701"/>
      <c r="R14" s="1223"/>
      <c r="S14" s="1851">
        <v>80</v>
      </c>
      <c r="T14" s="6034" t="s">
        <v>1737</v>
      </c>
      <c r="U14" s="5982"/>
      <c r="V14" s="6035" t="str">
        <f>IF(S10=0,"",VLOOKUP(S10,'Tablas psiquica'!$D$7:$R$145,8,FALSE))</f>
        <v/>
      </c>
      <c r="W14" s="5664"/>
      <c r="X14" s="5664"/>
      <c r="Y14" s="5701"/>
      <c r="Z14" s="450"/>
      <c r="AA14" s="444"/>
      <c r="AB14" s="444"/>
      <c r="AC14" s="1223"/>
      <c r="AD14" s="1851">
        <v>80</v>
      </c>
      <c r="AE14" s="6034" t="s">
        <v>1737</v>
      </c>
      <c r="AF14" s="5982"/>
      <c r="AG14" s="6035" t="str">
        <f>IF(AD10=0,"",VLOOKUP(AD10,'Tablas psiquica'!$D$7:$R$145,8,FALSE))</f>
        <v/>
      </c>
      <c r="AH14" s="5664"/>
      <c r="AI14" s="5664"/>
      <c r="AJ14" s="5701"/>
      <c r="AK14" s="745"/>
      <c r="AL14" s="1851">
        <v>80</v>
      </c>
      <c r="AM14" s="6034" t="s">
        <v>1737</v>
      </c>
      <c r="AN14" s="5982"/>
      <c r="AO14" s="6035" t="str">
        <f>IF(AL10=0,"",VLOOKUP(AL10,'Tablas psiquica'!$D$7:$R$145,8,FALSE))</f>
        <v/>
      </c>
      <c r="AP14" s="5664"/>
      <c r="AQ14" s="5664"/>
      <c r="AR14" s="5701"/>
      <c r="AS14" s="1223"/>
      <c r="AT14" s="1851">
        <v>80</v>
      </c>
      <c r="AU14" s="6034" t="s">
        <v>1737</v>
      </c>
      <c r="AV14" s="5982"/>
      <c r="AW14" s="6035" t="str">
        <f>IF(AT10=0,"",VLOOKUP(AT10,'Tablas psiquica'!$D$7:$R$145,8,FALSE))</f>
        <v/>
      </c>
      <c r="AX14" s="5664"/>
      <c r="AY14" s="5664"/>
      <c r="AZ14" s="5701"/>
      <c r="BA14" s="450"/>
      <c r="BB14" s="444"/>
      <c r="BC14" s="444"/>
      <c r="BD14" s="1223"/>
      <c r="BE14" s="1851">
        <v>80</v>
      </c>
      <c r="BF14" s="6034" t="s">
        <v>1737</v>
      </c>
      <c r="BG14" s="5982"/>
      <c r="BH14" s="6035" t="str">
        <f>IF(BE10=0,"",VLOOKUP(BE10,'Tablas psiquica'!$D$7:$R$145,8,FALSE))</f>
        <v/>
      </c>
      <c r="BI14" s="5664"/>
      <c r="BJ14" s="5664"/>
      <c r="BK14" s="5701"/>
      <c r="BL14" s="745"/>
      <c r="BM14" s="1851">
        <v>80</v>
      </c>
      <c r="BN14" s="6034" t="s">
        <v>1737</v>
      </c>
      <c r="BO14" s="5982"/>
      <c r="BP14" s="6035" t="str">
        <f>IF(BM10=0,"",VLOOKUP(BM10,'Tablas psiquica'!$D$7:$R$145,8,FALSE))</f>
        <v/>
      </c>
      <c r="BQ14" s="5664"/>
      <c r="BR14" s="5664"/>
      <c r="BS14" s="5701"/>
      <c r="BT14" s="1223"/>
      <c r="BU14" s="1851">
        <v>80</v>
      </c>
      <c r="BV14" s="6034" t="s">
        <v>1737</v>
      </c>
      <c r="BW14" s="5982"/>
      <c r="BX14" s="6035" t="str">
        <f>IF(BU10=0,"",VLOOKUP(BU10,'Tablas psiquica'!$D$7:$R$145,8,FALSE))</f>
        <v/>
      </c>
      <c r="BY14" s="5664"/>
      <c r="BZ14" s="5664"/>
      <c r="CA14" s="5701"/>
      <c r="CB14" s="450"/>
      <c r="CC14" s="444"/>
      <c r="CD14" s="444"/>
      <c r="CE14" s="1223"/>
      <c r="CF14" s="1851">
        <v>80</v>
      </c>
      <c r="CG14" s="6034" t="s">
        <v>1737</v>
      </c>
      <c r="CH14" s="5982"/>
      <c r="CI14" s="6035" t="str">
        <f>IF(CF10=0,"",VLOOKUP(CF10,'Tablas psiquica'!$D$7:$R$145,8,FALSE))</f>
        <v/>
      </c>
      <c r="CJ14" s="5664"/>
      <c r="CK14" s="5664"/>
      <c r="CL14" s="5701"/>
      <c r="CM14" s="745"/>
      <c r="CN14" s="1851">
        <v>80</v>
      </c>
      <c r="CO14" s="6034" t="s">
        <v>1737</v>
      </c>
      <c r="CP14" s="5982"/>
      <c r="CQ14" s="6035" t="str">
        <f>IF(CN10=0,"",VLOOKUP(CN10,'Tablas psiquica'!$D$7:$R$145,8,FALSE))</f>
        <v/>
      </c>
      <c r="CR14" s="5664"/>
      <c r="CS14" s="5664"/>
      <c r="CT14" s="5701"/>
      <c r="CU14" s="1223"/>
      <c r="CV14" s="1851">
        <v>80</v>
      </c>
      <c r="CW14" s="6034" t="s">
        <v>1737</v>
      </c>
      <c r="CX14" s="5982"/>
      <c r="CY14" s="6035" t="str">
        <f>IF(CV10=0,"",VLOOKUP(CV10,'Tablas psiquica'!$D$7:$R$145,8,FALSE))</f>
        <v/>
      </c>
      <c r="CZ14" s="5664"/>
      <c r="DA14" s="5664"/>
      <c r="DB14" s="5701"/>
      <c r="DC14" s="450"/>
      <c r="DD14" s="444"/>
    </row>
    <row r="15" spans="1:108" ht="12" customHeight="1" x14ac:dyDescent="0.2">
      <c r="A15" s="444"/>
      <c r="B15" s="1223"/>
      <c r="C15" s="1850">
        <v>120</v>
      </c>
      <c r="D15" s="6036" t="s">
        <v>1740</v>
      </c>
      <c r="E15" s="5977"/>
      <c r="F15" s="6037" t="str">
        <f>IF(C10=0,"",VLOOKUP(C10,'Tablas psiquica'!$D$7:$R$145,9,FALSE))</f>
        <v/>
      </c>
      <c r="G15" s="5911"/>
      <c r="H15" s="5911"/>
      <c r="I15" s="6038"/>
      <c r="J15" s="745"/>
      <c r="K15" s="1850">
        <v>120</v>
      </c>
      <c r="L15" s="6036" t="s">
        <v>1740</v>
      </c>
      <c r="M15" s="5977"/>
      <c r="N15" s="6037" t="str">
        <f>IF(K10=0,"",VLOOKUP(K10,'Tablas psiquica'!$D$7:$R$145,9,FALSE))</f>
        <v/>
      </c>
      <c r="O15" s="5911"/>
      <c r="P15" s="5911"/>
      <c r="Q15" s="6038"/>
      <c r="R15" s="1223"/>
      <c r="S15" s="1850">
        <v>120</v>
      </c>
      <c r="T15" s="6036" t="s">
        <v>1740</v>
      </c>
      <c r="U15" s="5977"/>
      <c r="V15" s="6037" t="str">
        <f>IF(S10=0,"",VLOOKUP(S10,'Tablas psiquica'!$D$7:$R$145,9,FALSE))</f>
        <v/>
      </c>
      <c r="W15" s="5911"/>
      <c r="X15" s="5911"/>
      <c r="Y15" s="6038"/>
      <c r="Z15" s="450"/>
      <c r="AA15" s="444"/>
      <c r="AB15" s="444"/>
      <c r="AC15" s="1223"/>
      <c r="AD15" s="1850">
        <v>120</v>
      </c>
      <c r="AE15" s="6036" t="s">
        <v>1740</v>
      </c>
      <c r="AF15" s="5977"/>
      <c r="AG15" s="6037" t="str">
        <f>IF(AD10=0,"",VLOOKUP(AD10,'Tablas psiquica'!$D$7:$R$145,9,FALSE))</f>
        <v/>
      </c>
      <c r="AH15" s="5911"/>
      <c r="AI15" s="5911"/>
      <c r="AJ15" s="6038"/>
      <c r="AK15" s="745"/>
      <c r="AL15" s="1850">
        <v>120</v>
      </c>
      <c r="AM15" s="6036" t="s">
        <v>1740</v>
      </c>
      <c r="AN15" s="5977"/>
      <c r="AO15" s="6037" t="str">
        <f>IF(AL10=0,"",VLOOKUP(AL10,'Tablas psiquica'!$D$7:$R$145,9,FALSE))</f>
        <v/>
      </c>
      <c r="AP15" s="5911"/>
      <c r="AQ15" s="5911"/>
      <c r="AR15" s="6038"/>
      <c r="AS15" s="1223"/>
      <c r="AT15" s="1850">
        <v>120</v>
      </c>
      <c r="AU15" s="6036" t="s">
        <v>1740</v>
      </c>
      <c r="AV15" s="5977"/>
      <c r="AW15" s="6037" t="str">
        <f>IF(AT10=0,"",VLOOKUP(AT10,'Tablas psiquica'!$D$7:$R$145,9,FALSE))</f>
        <v/>
      </c>
      <c r="AX15" s="5911"/>
      <c r="AY15" s="5911"/>
      <c r="AZ15" s="6038"/>
      <c r="BA15" s="450"/>
      <c r="BB15" s="444"/>
      <c r="BC15" s="444"/>
      <c r="BD15" s="1223"/>
      <c r="BE15" s="1850">
        <v>120</v>
      </c>
      <c r="BF15" s="6036" t="s">
        <v>1740</v>
      </c>
      <c r="BG15" s="5977"/>
      <c r="BH15" s="6037" t="str">
        <f>IF(BE10=0,"",VLOOKUP(BE10,'Tablas psiquica'!$D$7:$R$145,9,FALSE))</f>
        <v/>
      </c>
      <c r="BI15" s="5911"/>
      <c r="BJ15" s="5911"/>
      <c r="BK15" s="6038"/>
      <c r="BL15" s="745"/>
      <c r="BM15" s="1850">
        <v>120</v>
      </c>
      <c r="BN15" s="6036" t="s">
        <v>1740</v>
      </c>
      <c r="BO15" s="5977"/>
      <c r="BP15" s="6037" t="str">
        <f>IF(BM10=0,"",VLOOKUP(BM10,'Tablas psiquica'!$D$7:$R$145,9,FALSE))</f>
        <v/>
      </c>
      <c r="BQ15" s="5911"/>
      <c r="BR15" s="5911"/>
      <c r="BS15" s="6038"/>
      <c r="BT15" s="1223"/>
      <c r="BU15" s="1850">
        <v>120</v>
      </c>
      <c r="BV15" s="6036" t="s">
        <v>1740</v>
      </c>
      <c r="BW15" s="5977"/>
      <c r="BX15" s="6037" t="str">
        <f>IF(BU10=0,"",VLOOKUP(BU10,'Tablas psiquica'!$D$7:$R$145,9,FALSE))</f>
        <v/>
      </c>
      <c r="BY15" s="5911"/>
      <c r="BZ15" s="5911"/>
      <c r="CA15" s="6038"/>
      <c r="CB15" s="450"/>
      <c r="CC15" s="444"/>
      <c r="CD15" s="444"/>
      <c r="CE15" s="1223"/>
      <c r="CF15" s="1850">
        <v>120</v>
      </c>
      <c r="CG15" s="6036" t="s">
        <v>1740</v>
      </c>
      <c r="CH15" s="5977"/>
      <c r="CI15" s="6037" t="str">
        <f>IF(CF10=0,"",VLOOKUP(CF10,'Tablas psiquica'!$D$7:$R$145,9,FALSE))</f>
        <v/>
      </c>
      <c r="CJ15" s="5911"/>
      <c r="CK15" s="5911"/>
      <c r="CL15" s="6038"/>
      <c r="CM15" s="745"/>
      <c r="CN15" s="1850">
        <v>120</v>
      </c>
      <c r="CO15" s="6036" t="s">
        <v>1740</v>
      </c>
      <c r="CP15" s="5977"/>
      <c r="CQ15" s="6037" t="str">
        <f>IF(CN10=0,"",VLOOKUP(CN10,'Tablas psiquica'!$D$7:$R$145,9,FALSE))</f>
        <v/>
      </c>
      <c r="CR15" s="5911"/>
      <c r="CS15" s="5911"/>
      <c r="CT15" s="6038"/>
      <c r="CU15" s="1223"/>
      <c r="CV15" s="1850">
        <v>120</v>
      </c>
      <c r="CW15" s="6036" t="s">
        <v>1740</v>
      </c>
      <c r="CX15" s="5977"/>
      <c r="CY15" s="6037" t="str">
        <f>IF(CV10=0,"",VLOOKUP(CV10,'Tablas psiquica'!$D$7:$R$145,9,FALSE))</f>
        <v/>
      </c>
      <c r="CZ15" s="5911"/>
      <c r="DA15" s="5911"/>
      <c r="DB15" s="6038"/>
      <c r="DC15" s="450"/>
      <c r="DD15" s="444"/>
    </row>
    <row r="16" spans="1:108" ht="12" customHeight="1" x14ac:dyDescent="0.2">
      <c r="A16" s="444"/>
      <c r="B16" s="1223"/>
      <c r="C16" s="1851">
        <v>140</v>
      </c>
      <c r="D16" s="6034" t="s">
        <v>6394</v>
      </c>
      <c r="E16" s="5982"/>
      <c r="F16" s="6035" t="str">
        <f>IF(C10=0,"",VLOOKUP(C10,'Tablas psiquica'!$D$7:$R$145,10,FALSE))</f>
        <v/>
      </c>
      <c r="G16" s="5664"/>
      <c r="H16" s="5664"/>
      <c r="I16" s="5701"/>
      <c r="J16" s="745"/>
      <c r="K16" s="1851">
        <v>140</v>
      </c>
      <c r="L16" s="6034" t="s">
        <v>6394</v>
      </c>
      <c r="M16" s="5982"/>
      <c r="N16" s="6035" t="str">
        <f>IF(K10=0,"",VLOOKUP(K10,'Tablas psiquica'!$D$7:$R$145,10,FALSE))</f>
        <v/>
      </c>
      <c r="O16" s="5664"/>
      <c r="P16" s="5664"/>
      <c r="Q16" s="5701"/>
      <c r="R16" s="1223"/>
      <c r="S16" s="1851">
        <v>140</v>
      </c>
      <c r="T16" s="6034" t="s">
        <v>6394</v>
      </c>
      <c r="U16" s="5982"/>
      <c r="V16" s="6035" t="str">
        <f>IF(S10=0,"",VLOOKUP(S10,'Tablas psiquica'!$D$7:$R$145,10,FALSE))</f>
        <v/>
      </c>
      <c r="W16" s="5664"/>
      <c r="X16" s="5664"/>
      <c r="Y16" s="5701"/>
      <c r="Z16" s="450"/>
      <c r="AA16" s="444"/>
      <c r="AB16" s="444"/>
      <c r="AC16" s="1223"/>
      <c r="AD16" s="1851">
        <v>140</v>
      </c>
      <c r="AE16" s="6034" t="s">
        <v>6394</v>
      </c>
      <c r="AF16" s="5982"/>
      <c r="AG16" s="6035" t="str">
        <f>IF(AD10=0,"",VLOOKUP(AD10,'Tablas psiquica'!$D$7:$R$145,10,FALSE))</f>
        <v/>
      </c>
      <c r="AH16" s="5664"/>
      <c r="AI16" s="5664"/>
      <c r="AJ16" s="5701"/>
      <c r="AK16" s="745"/>
      <c r="AL16" s="1851">
        <v>140</v>
      </c>
      <c r="AM16" s="6034" t="s">
        <v>6394</v>
      </c>
      <c r="AN16" s="5982"/>
      <c r="AO16" s="6035" t="str">
        <f>IF(AL10=0,"",VLOOKUP(AL10,'Tablas psiquica'!$D$7:$R$145,10,FALSE))</f>
        <v/>
      </c>
      <c r="AP16" s="5664"/>
      <c r="AQ16" s="5664"/>
      <c r="AR16" s="5701"/>
      <c r="AS16" s="1223"/>
      <c r="AT16" s="1851">
        <v>140</v>
      </c>
      <c r="AU16" s="6034" t="s">
        <v>6394</v>
      </c>
      <c r="AV16" s="5982"/>
      <c r="AW16" s="6035" t="str">
        <f>IF(AT10=0,"",VLOOKUP(AT10,'Tablas psiquica'!$D$7:$R$145,10,FALSE))</f>
        <v/>
      </c>
      <c r="AX16" s="5664"/>
      <c r="AY16" s="5664"/>
      <c r="AZ16" s="5701"/>
      <c r="BA16" s="450"/>
      <c r="BB16" s="444"/>
      <c r="BC16" s="444"/>
      <c r="BD16" s="1223"/>
      <c r="BE16" s="1851">
        <v>140</v>
      </c>
      <c r="BF16" s="6034" t="s">
        <v>6394</v>
      </c>
      <c r="BG16" s="5982"/>
      <c r="BH16" s="6035" t="str">
        <f>IF(BE10=0,"",VLOOKUP(BE10,'Tablas psiquica'!$D$7:$R$145,10,FALSE))</f>
        <v/>
      </c>
      <c r="BI16" s="5664"/>
      <c r="BJ16" s="5664"/>
      <c r="BK16" s="5701"/>
      <c r="BL16" s="745"/>
      <c r="BM16" s="1851">
        <v>140</v>
      </c>
      <c r="BN16" s="6034" t="s">
        <v>6394</v>
      </c>
      <c r="BO16" s="5982"/>
      <c r="BP16" s="6035" t="str">
        <f>IF(BM10=0,"",VLOOKUP(BM10,'Tablas psiquica'!$D$7:$R$145,10,FALSE))</f>
        <v/>
      </c>
      <c r="BQ16" s="5664"/>
      <c r="BR16" s="5664"/>
      <c r="BS16" s="5701"/>
      <c r="BT16" s="1223"/>
      <c r="BU16" s="1851">
        <v>140</v>
      </c>
      <c r="BV16" s="6034" t="s">
        <v>6394</v>
      </c>
      <c r="BW16" s="5982"/>
      <c r="BX16" s="6035" t="str">
        <f>IF(BU10=0,"",VLOOKUP(BU10,'Tablas psiquica'!$D$7:$R$145,10,FALSE))</f>
        <v/>
      </c>
      <c r="BY16" s="5664"/>
      <c r="BZ16" s="5664"/>
      <c r="CA16" s="5701"/>
      <c r="CB16" s="450"/>
      <c r="CC16" s="444"/>
      <c r="CD16" s="444"/>
      <c r="CE16" s="1223"/>
      <c r="CF16" s="1851">
        <v>140</v>
      </c>
      <c r="CG16" s="6034" t="s">
        <v>6394</v>
      </c>
      <c r="CH16" s="5982"/>
      <c r="CI16" s="6035" t="str">
        <f>IF(CF10=0,"",VLOOKUP(CF10,'Tablas psiquica'!$D$7:$R$145,10,FALSE))</f>
        <v/>
      </c>
      <c r="CJ16" s="5664"/>
      <c r="CK16" s="5664"/>
      <c r="CL16" s="5701"/>
      <c r="CM16" s="745"/>
      <c r="CN16" s="1851">
        <v>140</v>
      </c>
      <c r="CO16" s="6034" t="s">
        <v>6394</v>
      </c>
      <c r="CP16" s="5982"/>
      <c r="CQ16" s="6035" t="str">
        <f>IF(CN10=0,"",VLOOKUP(CN10,'Tablas psiquica'!$D$7:$R$145,10,FALSE))</f>
        <v/>
      </c>
      <c r="CR16" s="5664"/>
      <c r="CS16" s="5664"/>
      <c r="CT16" s="5701"/>
      <c r="CU16" s="1223"/>
      <c r="CV16" s="1851">
        <v>140</v>
      </c>
      <c r="CW16" s="6034" t="s">
        <v>6394</v>
      </c>
      <c r="CX16" s="5982"/>
      <c r="CY16" s="6035" t="str">
        <f>IF(CV10=0,"",VLOOKUP(CV10,'Tablas psiquica'!$D$7:$R$145,10,FALSE))</f>
        <v/>
      </c>
      <c r="CZ16" s="5664"/>
      <c r="DA16" s="5664"/>
      <c r="DB16" s="5701"/>
      <c r="DC16" s="450"/>
      <c r="DD16" s="444"/>
    </row>
    <row r="17" spans="1:108" ht="12" customHeight="1" x14ac:dyDescent="0.2">
      <c r="A17" s="444"/>
      <c r="B17" s="1223"/>
      <c r="C17" s="1850">
        <v>180</v>
      </c>
      <c r="D17" s="6036" t="s">
        <v>1744</v>
      </c>
      <c r="E17" s="5977"/>
      <c r="F17" s="6037" t="str">
        <f>IF(C10=0,"",VLOOKUP(C10,'Tablas psiquica'!$D$7:$R$145,11,FALSE))</f>
        <v/>
      </c>
      <c r="G17" s="5911"/>
      <c r="H17" s="5911"/>
      <c r="I17" s="6038"/>
      <c r="J17" s="745"/>
      <c r="K17" s="1850">
        <v>180</v>
      </c>
      <c r="L17" s="6036" t="s">
        <v>1744</v>
      </c>
      <c r="M17" s="5977"/>
      <c r="N17" s="6037" t="str">
        <f>IF(K10=0,"",VLOOKUP(K10,'Tablas psiquica'!$D$7:$R$145,11,FALSE))</f>
        <v/>
      </c>
      <c r="O17" s="5911"/>
      <c r="P17" s="5911"/>
      <c r="Q17" s="6038"/>
      <c r="R17" s="1223"/>
      <c r="S17" s="1850">
        <v>180</v>
      </c>
      <c r="T17" s="6036" t="s">
        <v>1744</v>
      </c>
      <c r="U17" s="5977"/>
      <c r="V17" s="6037" t="str">
        <f>IF(S10=0,"",VLOOKUP(S10,'Tablas psiquica'!$D$7:$R$145,11,FALSE))</f>
        <v/>
      </c>
      <c r="W17" s="5911"/>
      <c r="X17" s="5911"/>
      <c r="Y17" s="6038"/>
      <c r="Z17" s="450"/>
      <c r="AA17" s="444"/>
      <c r="AB17" s="444"/>
      <c r="AC17" s="1223"/>
      <c r="AD17" s="1850">
        <v>180</v>
      </c>
      <c r="AE17" s="6036" t="s">
        <v>1744</v>
      </c>
      <c r="AF17" s="5977"/>
      <c r="AG17" s="6037" t="str">
        <f>IF(AD10=0,"",VLOOKUP(AD10,'Tablas psiquica'!$D$7:$R$145,11,FALSE))</f>
        <v/>
      </c>
      <c r="AH17" s="5911"/>
      <c r="AI17" s="5911"/>
      <c r="AJ17" s="6038"/>
      <c r="AK17" s="745"/>
      <c r="AL17" s="1850">
        <v>180</v>
      </c>
      <c r="AM17" s="6036" t="s">
        <v>1744</v>
      </c>
      <c r="AN17" s="5977"/>
      <c r="AO17" s="6037" t="str">
        <f>IF(AL10=0,"",VLOOKUP(AL10,'Tablas psiquica'!$D$7:$R$145,11,FALSE))</f>
        <v/>
      </c>
      <c r="AP17" s="5911"/>
      <c r="AQ17" s="5911"/>
      <c r="AR17" s="6038"/>
      <c r="AS17" s="1223"/>
      <c r="AT17" s="1850">
        <v>180</v>
      </c>
      <c r="AU17" s="6036" t="s">
        <v>1744</v>
      </c>
      <c r="AV17" s="5977"/>
      <c r="AW17" s="6037" t="str">
        <f>IF(AT10=0,"",VLOOKUP(AT10,'Tablas psiquica'!$D$7:$R$145,11,FALSE))</f>
        <v/>
      </c>
      <c r="AX17" s="5911"/>
      <c r="AY17" s="5911"/>
      <c r="AZ17" s="6038"/>
      <c r="BA17" s="450"/>
      <c r="BB17" s="444"/>
      <c r="BC17" s="444"/>
      <c r="BD17" s="1223"/>
      <c r="BE17" s="1850">
        <v>180</v>
      </c>
      <c r="BF17" s="6036" t="s">
        <v>1744</v>
      </c>
      <c r="BG17" s="5977"/>
      <c r="BH17" s="6037" t="str">
        <f>IF(BE10=0,"",VLOOKUP(BE10,'Tablas psiquica'!$D$7:$R$145,11,FALSE))</f>
        <v/>
      </c>
      <c r="BI17" s="5911"/>
      <c r="BJ17" s="5911"/>
      <c r="BK17" s="6038"/>
      <c r="BL17" s="745"/>
      <c r="BM17" s="1850">
        <v>180</v>
      </c>
      <c r="BN17" s="6036" t="s">
        <v>1744</v>
      </c>
      <c r="BO17" s="5977"/>
      <c r="BP17" s="6037" t="str">
        <f>IF(BM10=0,"",VLOOKUP(BM10,'Tablas psiquica'!$D$7:$R$145,11,FALSE))</f>
        <v/>
      </c>
      <c r="BQ17" s="5911"/>
      <c r="BR17" s="5911"/>
      <c r="BS17" s="6038"/>
      <c r="BT17" s="1223"/>
      <c r="BU17" s="1850">
        <v>180</v>
      </c>
      <c r="BV17" s="6036" t="s">
        <v>1744</v>
      </c>
      <c r="BW17" s="5977"/>
      <c r="BX17" s="6037" t="str">
        <f>IF(BU10=0,"",VLOOKUP(BU10,'Tablas psiquica'!$D$7:$R$145,11,FALSE))</f>
        <v/>
      </c>
      <c r="BY17" s="5911"/>
      <c r="BZ17" s="5911"/>
      <c r="CA17" s="6038"/>
      <c r="CB17" s="450"/>
      <c r="CC17" s="444"/>
      <c r="CD17" s="444"/>
      <c r="CE17" s="1223"/>
      <c r="CF17" s="1850">
        <v>180</v>
      </c>
      <c r="CG17" s="6036" t="s">
        <v>1744</v>
      </c>
      <c r="CH17" s="5977"/>
      <c r="CI17" s="6037" t="str">
        <f>IF(CF10=0,"",VLOOKUP(CF10,'Tablas psiquica'!$D$7:$R$145,11,FALSE))</f>
        <v/>
      </c>
      <c r="CJ17" s="5911"/>
      <c r="CK17" s="5911"/>
      <c r="CL17" s="6038"/>
      <c r="CM17" s="745"/>
      <c r="CN17" s="1850">
        <v>180</v>
      </c>
      <c r="CO17" s="6036" t="s">
        <v>1744</v>
      </c>
      <c r="CP17" s="5977"/>
      <c r="CQ17" s="6037" t="str">
        <f>IF(CN10=0,"",VLOOKUP(CN10,'Tablas psiquica'!$D$7:$R$145,11,FALSE))</f>
        <v/>
      </c>
      <c r="CR17" s="5911"/>
      <c r="CS17" s="5911"/>
      <c r="CT17" s="6038"/>
      <c r="CU17" s="1223"/>
      <c r="CV17" s="1850">
        <v>180</v>
      </c>
      <c r="CW17" s="6036" t="s">
        <v>1744</v>
      </c>
      <c r="CX17" s="5977"/>
      <c r="CY17" s="6037" t="str">
        <f>IF(CV10=0,"",VLOOKUP(CV10,'Tablas psiquica'!$D$7:$R$145,11,FALSE))</f>
        <v/>
      </c>
      <c r="CZ17" s="5911"/>
      <c r="DA17" s="5911"/>
      <c r="DB17" s="6038"/>
      <c r="DC17" s="450"/>
      <c r="DD17" s="444"/>
    </row>
    <row r="18" spans="1:108" ht="12" customHeight="1" x14ac:dyDescent="0.2">
      <c r="A18" s="444"/>
      <c r="B18" s="1223"/>
      <c r="C18" s="1851">
        <v>240</v>
      </c>
      <c r="D18" s="6034" t="s">
        <v>6395</v>
      </c>
      <c r="E18" s="5982"/>
      <c r="F18" s="6035" t="str">
        <f>IF(C10=0,"",VLOOKUP(C10,'Tablas psiquica'!$D$7:$R$145,12,FALSE))</f>
        <v/>
      </c>
      <c r="G18" s="5664"/>
      <c r="H18" s="5664"/>
      <c r="I18" s="5701"/>
      <c r="J18" s="745"/>
      <c r="K18" s="1851">
        <v>240</v>
      </c>
      <c r="L18" s="6034" t="s">
        <v>6395</v>
      </c>
      <c r="M18" s="5982"/>
      <c r="N18" s="6035" t="str">
        <f>IF(K10=0,"",VLOOKUP(K10,'Tablas psiquica'!$D$7:$R$145,12,FALSE))</f>
        <v/>
      </c>
      <c r="O18" s="5664"/>
      <c r="P18" s="5664"/>
      <c r="Q18" s="5701"/>
      <c r="R18" s="1223"/>
      <c r="S18" s="1851">
        <v>240</v>
      </c>
      <c r="T18" s="6034" t="s">
        <v>6395</v>
      </c>
      <c r="U18" s="5982"/>
      <c r="V18" s="6035" t="str">
        <f>IF(S10=0,"",VLOOKUP(S10,'Tablas psiquica'!$D$7:$R$145,12,FALSE))</f>
        <v/>
      </c>
      <c r="W18" s="5664"/>
      <c r="X18" s="5664"/>
      <c r="Y18" s="5701"/>
      <c r="Z18" s="450"/>
      <c r="AA18" s="444"/>
      <c r="AB18" s="444"/>
      <c r="AC18" s="1223"/>
      <c r="AD18" s="1851">
        <v>240</v>
      </c>
      <c r="AE18" s="6034" t="s">
        <v>6395</v>
      </c>
      <c r="AF18" s="5982"/>
      <c r="AG18" s="6035" t="str">
        <f>IF(AD10=0,"",VLOOKUP(AD10,'Tablas psiquica'!$D$7:$R$145,12,FALSE))</f>
        <v/>
      </c>
      <c r="AH18" s="5664"/>
      <c r="AI18" s="5664"/>
      <c r="AJ18" s="5701"/>
      <c r="AK18" s="745"/>
      <c r="AL18" s="1851">
        <v>240</v>
      </c>
      <c r="AM18" s="6034" t="s">
        <v>6395</v>
      </c>
      <c r="AN18" s="5982"/>
      <c r="AO18" s="6035" t="str">
        <f>IF(AL10=0,"",VLOOKUP(AL10,'Tablas psiquica'!$D$7:$R$145,12,FALSE))</f>
        <v/>
      </c>
      <c r="AP18" s="5664"/>
      <c r="AQ18" s="5664"/>
      <c r="AR18" s="5701"/>
      <c r="AS18" s="1223"/>
      <c r="AT18" s="1851">
        <v>240</v>
      </c>
      <c r="AU18" s="6034" t="s">
        <v>6395</v>
      </c>
      <c r="AV18" s="5982"/>
      <c r="AW18" s="6035" t="str">
        <f>IF(AT10=0,"",VLOOKUP(AT10,'Tablas psiquica'!$D$7:$R$145,12,FALSE))</f>
        <v/>
      </c>
      <c r="AX18" s="5664"/>
      <c r="AY18" s="5664"/>
      <c r="AZ18" s="5701"/>
      <c r="BA18" s="450"/>
      <c r="BB18" s="444"/>
      <c r="BC18" s="444"/>
      <c r="BD18" s="1223"/>
      <c r="BE18" s="1851">
        <v>240</v>
      </c>
      <c r="BF18" s="6034" t="s">
        <v>6395</v>
      </c>
      <c r="BG18" s="5982"/>
      <c r="BH18" s="6035" t="str">
        <f>IF(BE10=0,"",VLOOKUP(BE10,'Tablas psiquica'!$D$7:$R$145,12,FALSE))</f>
        <v/>
      </c>
      <c r="BI18" s="5664"/>
      <c r="BJ18" s="5664"/>
      <c r="BK18" s="5701"/>
      <c r="BL18" s="745"/>
      <c r="BM18" s="1851">
        <v>240</v>
      </c>
      <c r="BN18" s="6034" t="s">
        <v>6395</v>
      </c>
      <c r="BO18" s="5982"/>
      <c r="BP18" s="6035" t="str">
        <f>IF(BM10=0,"",VLOOKUP(BM10,'Tablas psiquica'!$D$7:$R$145,12,FALSE))</f>
        <v/>
      </c>
      <c r="BQ18" s="5664"/>
      <c r="BR18" s="5664"/>
      <c r="BS18" s="5701"/>
      <c r="BT18" s="1223"/>
      <c r="BU18" s="1851">
        <v>240</v>
      </c>
      <c r="BV18" s="6034" t="s">
        <v>6395</v>
      </c>
      <c r="BW18" s="5982"/>
      <c r="BX18" s="6035" t="str">
        <f>IF(BU10=0,"",VLOOKUP(BU10,'Tablas psiquica'!$D$7:$R$145,12,FALSE))</f>
        <v/>
      </c>
      <c r="BY18" s="5664"/>
      <c r="BZ18" s="5664"/>
      <c r="CA18" s="5701"/>
      <c r="CB18" s="450"/>
      <c r="CC18" s="444"/>
      <c r="CD18" s="444"/>
      <c r="CE18" s="1223"/>
      <c r="CF18" s="1851">
        <v>240</v>
      </c>
      <c r="CG18" s="6034" t="s">
        <v>6395</v>
      </c>
      <c r="CH18" s="5982"/>
      <c r="CI18" s="6035" t="str">
        <f>IF(CF10=0,"",VLOOKUP(CF10,'Tablas psiquica'!$D$7:$R$145,12,FALSE))</f>
        <v/>
      </c>
      <c r="CJ18" s="5664"/>
      <c r="CK18" s="5664"/>
      <c r="CL18" s="5701"/>
      <c r="CM18" s="745"/>
      <c r="CN18" s="1851">
        <v>240</v>
      </c>
      <c r="CO18" s="6034" t="s">
        <v>6395</v>
      </c>
      <c r="CP18" s="5982"/>
      <c r="CQ18" s="6035" t="str">
        <f>IF(CN10=0,"",VLOOKUP(CN10,'Tablas psiquica'!$D$7:$R$145,12,FALSE))</f>
        <v/>
      </c>
      <c r="CR18" s="5664"/>
      <c r="CS18" s="5664"/>
      <c r="CT18" s="5701"/>
      <c r="CU18" s="1223"/>
      <c r="CV18" s="1851">
        <v>240</v>
      </c>
      <c r="CW18" s="6034" t="s">
        <v>6395</v>
      </c>
      <c r="CX18" s="5982"/>
      <c r="CY18" s="6035" t="str">
        <f>IF(CV10=0,"",VLOOKUP(CV10,'Tablas psiquica'!$D$7:$R$145,12,FALSE))</f>
        <v/>
      </c>
      <c r="CZ18" s="5664"/>
      <c r="DA18" s="5664"/>
      <c r="DB18" s="5701"/>
      <c r="DC18" s="450"/>
      <c r="DD18" s="444"/>
    </row>
    <row r="19" spans="1:108" ht="12" customHeight="1" x14ac:dyDescent="0.2">
      <c r="A19" s="444"/>
      <c r="B19" s="1223"/>
      <c r="C19" s="1850">
        <v>280</v>
      </c>
      <c r="D19" s="6036" t="s">
        <v>1747</v>
      </c>
      <c r="E19" s="5977"/>
      <c r="F19" s="6037" t="str">
        <f>IF(C10=0,"",VLOOKUP(C10,'Tablas psiquica'!$D$7:$R$145,13,FALSE))</f>
        <v/>
      </c>
      <c r="G19" s="5911"/>
      <c r="H19" s="5911"/>
      <c r="I19" s="6038"/>
      <c r="J19" s="745"/>
      <c r="K19" s="1850">
        <v>280</v>
      </c>
      <c r="L19" s="6036" t="s">
        <v>1747</v>
      </c>
      <c r="M19" s="5977"/>
      <c r="N19" s="6037" t="str">
        <f>IF(K10=0,"",VLOOKUP(K10,'Tablas psiquica'!$D$7:$R$145,13,FALSE))</f>
        <v/>
      </c>
      <c r="O19" s="5911"/>
      <c r="P19" s="5911"/>
      <c r="Q19" s="6038"/>
      <c r="R19" s="1223"/>
      <c r="S19" s="1850">
        <v>280</v>
      </c>
      <c r="T19" s="6036" t="s">
        <v>1747</v>
      </c>
      <c r="U19" s="5977"/>
      <c r="V19" s="6037" t="str">
        <f>IF(S10=0,"",VLOOKUP(S10,'Tablas psiquica'!$D$7:$R$145,13,FALSE))</f>
        <v/>
      </c>
      <c r="W19" s="5911"/>
      <c r="X19" s="5911"/>
      <c r="Y19" s="6038"/>
      <c r="Z19" s="450"/>
      <c r="AA19" s="444"/>
      <c r="AB19" s="444"/>
      <c r="AC19" s="1223"/>
      <c r="AD19" s="1850">
        <v>280</v>
      </c>
      <c r="AE19" s="6036" t="s">
        <v>1747</v>
      </c>
      <c r="AF19" s="5977"/>
      <c r="AG19" s="6037" t="str">
        <f>IF(AD10=0,"",VLOOKUP(AD10,'Tablas psiquica'!$D$7:$R$145,13,FALSE))</f>
        <v/>
      </c>
      <c r="AH19" s="5911"/>
      <c r="AI19" s="5911"/>
      <c r="AJ19" s="6038"/>
      <c r="AK19" s="745"/>
      <c r="AL19" s="1850">
        <v>280</v>
      </c>
      <c r="AM19" s="6036" t="s">
        <v>1747</v>
      </c>
      <c r="AN19" s="5977"/>
      <c r="AO19" s="6037" t="str">
        <f>IF(AL10=0,"",VLOOKUP(AL10,'Tablas psiquica'!$D$7:$R$145,13,FALSE))</f>
        <v/>
      </c>
      <c r="AP19" s="5911"/>
      <c r="AQ19" s="5911"/>
      <c r="AR19" s="6038"/>
      <c r="AS19" s="1223"/>
      <c r="AT19" s="1850">
        <v>280</v>
      </c>
      <c r="AU19" s="6036" t="s">
        <v>1747</v>
      </c>
      <c r="AV19" s="5977"/>
      <c r="AW19" s="6037" t="str">
        <f>IF(AT10=0,"",VLOOKUP(AT10,'Tablas psiquica'!$D$7:$R$145,13,FALSE))</f>
        <v/>
      </c>
      <c r="AX19" s="5911"/>
      <c r="AY19" s="5911"/>
      <c r="AZ19" s="6038"/>
      <c r="BA19" s="450"/>
      <c r="BB19" s="444"/>
      <c r="BC19" s="444"/>
      <c r="BD19" s="1223"/>
      <c r="BE19" s="1850">
        <v>280</v>
      </c>
      <c r="BF19" s="6036" t="s">
        <v>1747</v>
      </c>
      <c r="BG19" s="5977"/>
      <c r="BH19" s="6037" t="str">
        <f>IF(BE10=0,"",VLOOKUP(BE10,'Tablas psiquica'!$D$7:$R$145,13,FALSE))</f>
        <v/>
      </c>
      <c r="BI19" s="5911"/>
      <c r="BJ19" s="5911"/>
      <c r="BK19" s="6038"/>
      <c r="BL19" s="745"/>
      <c r="BM19" s="1850">
        <v>280</v>
      </c>
      <c r="BN19" s="6036" t="s">
        <v>1747</v>
      </c>
      <c r="BO19" s="5977"/>
      <c r="BP19" s="6037" t="str">
        <f>IF(BM10=0,"",VLOOKUP(BM10,'Tablas psiquica'!$D$7:$R$145,13,FALSE))</f>
        <v/>
      </c>
      <c r="BQ19" s="5911"/>
      <c r="BR19" s="5911"/>
      <c r="BS19" s="6038"/>
      <c r="BT19" s="1223"/>
      <c r="BU19" s="1850">
        <v>280</v>
      </c>
      <c r="BV19" s="6036" t="s">
        <v>1747</v>
      </c>
      <c r="BW19" s="5977"/>
      <c r="BX19" s="6037" t="str">
        <f>IF(BU10=0,"",VLOOKUP(BU10,'Tablas psiquica'!$D$7:$R$145,13,FALSE))</f>
        <v/>
      </c>
      <c r="BY19" s="5911"/>
      <c r="BZ19" s="5911"/>
      <c r="CA19" s="6038"/>
      <c r="CB19" s="450"/>
      <c r="CC19" s="444"/>
      <c r="CD19" s="444"/>
      <c r="CE19" s="1223"/>
      <c r="CF19" s="1850">
        <v>280</v>
      </c>
      <c r="CG19" s="6036" t="s">
        <v>1747</v>
      </c>
      <c r="CH19" s="5977"/>
      <c r="CI19" s="6037" t="str">
        <f>IF(CF10=0,"",VLOOKUP(CF10,'Tablas psiquica'!$D$7:$R$145,13,FALSE))</f>
        <v/>
      </c>
      <c r="CJ19" s="5911"/>
      <c r="CK19" s="5911"/>
      <c r="CL19" s="6038"/>
      <c r="CM19" s="745"/>
      <c r="CN19" s="1850">
        <v>280</v>
      </c>
      <c r="CO19" s="6036" t="s">
        <v>1747</v>
      </c>
      <c r="CP19" s="5977"/>
      <c r="CQ19" s="6037" t="str">
        <f>IF(CN10=0,"",VLOOKUP(CN10,'Tablas psiquica'!$D$7:$R$145,13,FALSE))</f>
        <v/>
      </c>
      <c r="CR19" s="5911"/>
      <c r="CS19" s="5911"/>
      <c r="CT19" s="6038"/>
      <c r="CU19" s="1223"/>
      <c r="CV19" s="1850">
        <v>280</v>
      </c>
      <c r="CW19" s="6036" t="s">
        <v>1747</v>
      </c>
      <c r="CX19" s="5977"/>
      <c r="CY19" s="6037" t="str">
        <f>IF(CV10=0,"",VLOOKUP(CV10,'Tablas psiquica'!$D$7:$R$145,13,FALSE))</f>
        <v/>
      </c>
      <c r="CZ19" s="5911"/>
      <c r="DA19" s="5911"/>
      <c r="DB19" s="6038"/>
      <c r="DC19" s="450"/>
      <c r="DD19" s="444"/>
    </row>
    <row r="20" spans="1:108" ht="12" customHeight="1" x14ac:dyDescent="0.2">
      <c r="A20" s="444"/>
      <c r="B20" s="1223"/>
      <c r="C20" s="1851">
        <v>320</v>
      </c>
      <c r="D20" s="6034" t="s">
        <v>1749</v>
      </c>
      <c r="E20" s="5982"/>
      <c r="F20" s="6035" t="str">
        <f>IF(C10=0,"",VLOOKUP(C10,'Tablas psiquica'!$D$7:$R$145,14,FALSE))</f>
        <v/>
      </c>
      <c r="G20" s="5664"/>
      <c r="H20" s="5664"/>
      <c r="I20" s="5701"/>
      <c r="J20" s="745"/>
      <c r="K20" s="1851">
        <v>320</v>
      </c>
      <c r="L20" s="6034" t="s">
        <v>1749</v>
      </c>
      <c r="M20" s="5982"/>
      <c r="N20" s="6035" t="str">
        <f>IF(K10=0,"",VLOOKUP(K10,'Tablas psiquica'!$D$7:$R$145,14,FALSE))</f>
        <v/>
      </c>
      <c r="O20" s="5664"/>
      <c r="P20" s="5664"/>
      <c r="Q20" s="5701"/>
      <c r="R20" s="1223"/>
      <c r="S20" s="1851">
        <v>320</v>
      </c>
      <c r="T20" s="6034" t="s">
        <v>1749</v>
      </c>
      <c r="U20" s="5982"/>
      <c r="V20" s="6035" t="str">
        <f>IF(S10=0,"",VLOOKUP(S10,'Tablas psiquica'!$D$7:$R$145,14,FALSE))</f>
        <v/>
      </c>
      <c r="W20" s="5664"/>
      <c r="X20" s="5664"/>
      <c r="Y20" s="5701"/>
      <c r="Z20" s="450"/>
      <c r="AA20" s="444"/>
      <c r="AB20" s="444"/>
      <c r="AC20" s="1223"/>
      <c r="AD20" s="1851">
        <v>320</v>
      </c>
      <c r="AE20" s="6034" t="s">
        <v>1749</v>
      </c>
      <c r="AF20" s="5982"/>
      <c r="AG20" s="6035" t="str">
        <f>IF(AD10=0,"",VLOOKUP(AD10,'Tablas psiquica'!$D$7:$R$145,14,FALSE))</f>
        <v/>
      </c>
      <c r="AH20" s="5664"/>
      <c r="AI20" s="5664"/>
      <c r="AJ20" s="5701"/>
      <c r="AK20" s="745"/>
      <c r="AL20" s="1851">
        <v>320</v>
      </c>
      <c r="AM20" s="6034" t="s">
        <v>1749</v>
      </c>
      <c r="AN20" s="5982"/>
      <c r="AO20" s="6035" t="str">
        <f>IF(AL10=0,"",VLOOKUP(AL10,'Tablas psiquica'!$D$7:$R$145,14,FALSE))</f>
        <v/>
      </c>
      <c r="AP20" s="5664"/>
      <c r="AQ20" s="5664"/>
      <c r="AR20" s="5701"/>
      <c r="AS20" s="1223"/>
      <c r="AT20" s="1851">
        <v>320</v>
      </c>
      <c r="AU20" s="6034" t="s">
        <v>1749</v>
      </c>
      <c r="AV20" s="5982"/>
      <c r="AW20" s="6035" t="str">
        <f>IF(AT10=0,"",VLOOKUP(AT10,'Tablas psiquica'!$D$7:$R$145,14,FALSE))</f>
        <v/>
      </c>
      <c r="AX20" s="5664"/>
      <c r="AY20" s="5664"/>
      <c r="AZ20" s="5701"/>
      <c r="BA20" s="450"/>
      <c r="BB20" s="444"/>
      <c r="BC20" s="444"/>
      <c r="BD20" s="1223"/>
      <c r="BE20" s="1851">
        <v>320</v>
      </c>
      <c r="BF20" s="6034" t="s">
        <v>1749</v>
      </c>
      <c r="BG20" s="5982"/>
      <c r="BH20" s="6035" t="str">
        <f>IF(BE10=0,"",VLOOKUP(BE10,'Tablas psiquica'!$D$7:$R$145,14,FALSE))</f>
        <v/>
      </c>
      <c r="BI20" s="5664"/>
      <c r="BJ20" s="5664"/>
      <c r="BK20" s="5701"/>
      <c r="BL20" s="745"/>
      <c r="BM20" s="1851">
        <v>320</v>
      </c>
      <c r="BN20" s="6034" t="s">
        <v>1749</v>
      </c>
      <c r="BO20" s="5982"/>
      <c r="BP20" s="6035" t="str">
        <f>IF(BM10=0,"",VLOOKUP(BM10,'Tablas psiquica'!$D$7:$R$145,14,FALSE))</f>
        <v/>
      </c>
      <c r="BQ20" s="5664"/>
      <c r="BR20" s="5664"/>
      <c r="BS20" s="5701"/>
      <c r="BT20" s="1223"/>
      <c r="BU20" s="1851">
        <v>320</v>
      </c>
      <c r="BV20" s="6034" t="s">
        <v>1749</v>
      </c>
      <c r="BW20" s="5982"/>
      <c r="BX20" s="6035" t="str">
        <f>IF(BU10=0,"",VLOOKUP(BU10,'Tablas psiquica'!$D$7:$R$145,14,FALSE))</f>
        <v/>
      </c>
      <c r="BY20" s="5664"/>
      <c r="BZ20" s="5664"/>
      <c r="CA20" s="5701"/>
      <c r="CB20" s="450"/>
      <c r="CC20" s="444"/>
      <c r="CD20" s="444"/>
      <c r="CE20" s="1223"/>
      <c r="CF20" s="1851">
        <v>320</v>
      </c>
      <c r="CG20" s="6034" t="s">
        <v>1749</v>
      </c>
      <c r="CH20" s="5982"/>
      <c r="CI20" s="6035" t="str">
        <f>IF(CF10=0,"",VLOOKUP(CF10,'Tablas psiquica'!$D$7:$R$145,14,FALSE))</f>
        <v/>
      </c>
      <c r="CJ20" s="5664"/>
      <c r="CK20" s="5664"/>
      <c r="CL20" s="5701"/>
      <c r="CM20" s="745"/>
      <c r="CN20" s="1851">
        <v>320</v>
      </c>
      <c r="CO20" s="6034" t="s">
        <v>1749</v>
      </c>
      <c r="CP20" s="5982"/>
      <c r="CQ20" s="6035" t="str">
        <f>IF(CN10=0,"",VLOOKUP(CN10,'Tablas psiquica'!$D$7:$R$145,14,FALSE))</f>
        <v/>
      </c>
      <c r="CR20" s="5664"/>
      <c r="CS20" s="5664"/>
      <c r="CT20" s="5701"/>
      <c r="CU20" s="1223"/>
      <c r="CV20" s="1851">
        <v>320</v>
      </c>
      <c r="CW20" s="6034" t="s">
        <v>1749</v>
      </c>
      <c r="CX20" s="5982"/>
      <c r="CY20" s="6035" t="str">
        <f>IF(CV10=0,"",VLOOKUP(CV10,'Tablas psiquica'!$D$7:$R$145,14,FALSE))</f>
        <v/>
      </c>
      <c r="CZ20" s="5664"/>
      <c r="DA20" s="5664"/>
      <c r="DB20" s="5701"/>
      <c r="DC20" s="450"/>
      <c r="DD20" s="444"/>
    </row>
    <row r="21" spans="1:108" ht="12" customHeight="1" x14ac:dyDescent="0.2">
      <c r="A21" s="444"/>
      <c r="B21" s="1223"/>
      <c r="C21" s="476">
        <v>440</v>
      </c>
      <c r="D21" s="6032" t="s">
        <v>1692</v>
      </c>
      <c r="E21" s="6033"/>
      <c r="F21" s="6029" t="str">
        <f>IF(C10=0,"",VLOOKUP(C10,'Tablas psiquica'!$D$7:$R$145,15,FALSE))</f>
        <v/>
      </c>
      <c r="G21" s="6030"/>
      <c r="H21" s="6030"/>
      <c r="I21" s="6031"/>
      <c r="J21" s="745"/>
      <c r="K21" s="476">
        <v>440</v>
      </c>
      <c r="L21" s="6032" t="s">
        <v>1692</v>
      </c>
      <c r="M21" s="6033"/>
      <c r="N21" s="6029" t="str">
        <f>IF(K10=0,"",VLOOKUP(K10,'Tablas psiquica'!$D$7:$R$145,15,FALSE))</f>
        <v/>
      </c>
      <c r="O21" s="6030"/>
      <c r="P21" s="6030"/>
      <c r="Q21" s="6031"/>
      <c r="R21" s="1223"/>
      <c r="S21" s="476">
        <v>440</v>
      </c>
      <c r="T21" s="6032" t="s">
        <v>1692</v>
      </c>
      <c r="U21" s="6033"/>
      <c r="V21" s="6029" t="str">
        <f>IF(S10=0,"",VLOOKUP(S10,'Tablas psiquica'!$D$7:$R$145,15,FALSE))</f>
        <v/>
      </c>
      <c r="W21" s="6030"/>
      <c r="X21" s="6030"/>
      <c r="Y21" s="6031"/>
      <c r="Z21" s="450"/>
      <c r="AA21" s="444"/>
      <c r="AB21" s="444"/>
      <c r="AC21" s="1223"/>
      <c r="AD21" s="476">
        <v>440</v>
      </c>
      <c r="AE21" s="6032" t="s">
        <v>1692</v>
      </c>
      <c r="AF21" s="6033"/>
      <c r="AG21" s="6029" t="str">
        <f>IF(AD10=0,"",VLOOKUP(AD10,'Tablas psiquica'!$D$7:$R$145,15,FALSE))</f>
        <v/>
      </c>
      <c r="AH21" s="6030"/>
      <c r="AI21" s="6030"/>
      <c r="AJ21" s="6031"/>
      <c r="AK21" s="745"/>
      <c r="AL21" s="476">
        <v>440</v>
      </c>
      <c r="AM21" s="6032" t="s">
        <v>1692</v>
      </c>
      <c r="AN21" s="6033"/>
      <c r="AO21" s="6029" t="str">
        <f>IF(AL10=0,"",VLOOKUP(AL10,'Tablas psiquica'!$D$7:$R$145,15,FALSE))</f>
        <v/>
      </c>
      <c r="AP21" s="6030"/>
      <c r="AQ21" s="6030"/>
      <c r="AR21" s="6031"/>
      <c r="AS21" s="1223"/>
      <c r="AT21" s="476">
        <v>440</v>
      </c>
      <c r="AU21" s="6032" t="s">
        <v>1692</v>
      </c>
      <c r="AV21" s="6033"/>
      <c r="AW21" s="6029" t="str">
        <f>IF(AT10=0,"",VLOOKUP(AT10,'Tablas psiquica'!$D$7:$R$145,15,FALSE))</f>
        <v/>
      </c>
      <c r="AX21" s="6030"/>
      <c r="AY21" s="6030"/>
      <c r="AZ21" s="6031"/>
      <c r="BA21" s="450"/>
      <c r="BB21" s="444"/>
      <c r="BC21" s="444"/>
      <c r="BD21" s="1223"/>
      <c r="BE21" s="476">
        <v>440</v>
      </c>
      <c r="BF21" s="6032" t="s">
        <v>1692</v>
      </c>
      <c r="BG21" s="6033"/>
      <c r="BH21" s="6029" t="str">
        <f>IF(BE10=0,"",VLOOKUP(BE10,'Tablas psiquica'!$D$7:$R$145,15,FALSE))</f>
        <v/>
      </c>
      <c r="BI21" s="6030"/>
      <c r="BJ21" s="6030"/>
      <c r="BK21" s="6031"/>
      <c r="BL21" s="745"/>
      <c r="BM21" s="476">
        <v>440</v>
      </c>
      <c r="BN21" s="6032" t="s">
        <v>1692</v>
      </c>
      <c r="BO21" s="6033"/>
      <c r="BP21" s="6029" t="str">
        <f>IF(BM10=0,"",VLOOKUP(BM10,'Tablas psiquica'!$D$7:$R$145,15,FALSE))</f>
        <v/>
      </c>
      <c r="BQ21" s="6030"/>
      <c r="BR21" s="6030"/>
      <c r="BS21" s="6031"/>
      <c r="BT21" s="1223"/>
      <c r="BU21" s="476">
        <v>440</v>
      </c>
      <c r="BV21" s="6032" t="s">
        <v>1692</v>
      </c>
      <c r="BW21" s="6033"/>
      <c r="BX21" s="6029" t="str">
        <f>IF(BU10=0,"",VLOOKUP(BU10,'Tablas psiquica'!$D$7:$R$145,15,FALSE))</f>
        <v/>
      </c>
      <c r="BY21" s="6030"/>
      <c r="BZ21" s="6030"/>
      <c r="CA21" s="6031"/>
      <c r="CB21" s="450"/>
      <c r="CC21" s="444"/>
      <c r="CD21" s="444"/>
      <c r="CE21" s="1223"/>
      <c r="CF21" s="476">
        <v>440</v>
      </c>
      <c r="CG21" s="6032" t="s">
        <v>1692</v>
      </c>
      <c r="CH21" s="6033"/>
      <c r="CI21" s="6029" t="str">
        <f>IF(CF10=0,"",VLOOKUP(CF10,'Tablas psiquica'!$D$7:$R$145,15,FALSE))</f>
        <v/>
      </c>
      <c r="CJ21" s="6030"/>
      <c r="CK21" s="6030"/>
      <c r="CL21" s="6031"/>
      <c r="CM21" s="745"/>
      <c r="CN21" s="476">
        <v>440</v>
      </c>
      <c r="CO21" s="6032" t="s">
        <v>1692</v>
      </c>
      <c r="CP21" s="6033"/>
      <c r="CQ21" s="6029" t="str">
        <f>IF(CN10=0,"",VLOOKUP(CN10,'Tablas psiquica'!$D$7:$R$145,15,FALSE))</f>
        <v/>
      </c>
      <c r="CR21" s="6030"/>
      <c r="CS21" s="6030"/>
      <c r="CT21" s="6031"/>
      <c r="CU21" s="1223"/>
      <c r="CV21" s="476">
        <v>440</v>
      </c>
      <c r="CW21" s="6032" t="s">
        <v>1692</v>
      </c>
      <c r="CX21" s="6033"/>
      <c r="CY21" s="6029" t="str">
        <f>IF(CV10=0,"",VLOOKUP(CV10,'Tablas psiquica'!$D$7:$R$145,15,FALSE))</f>
        <v/>
      </c>
      <c r="CZ21" s="6030"/>
      <c r="DA21" s="6030"/>
      <c r="DB21" s="6031"/>
      <c r="DC21" s="450"/>
      <c r="DD21" s="444"/>
    </row>
    <row r="22" spans="1:108" ht="12" customHeight="1" thickBot="1" x14ac:dyDescent="0.25">
      <c r="A22" s="444"/>
      <c r="B22" s="1223"/>
      <c r="C22" s="6026" t="s">
        <v>6396</v>
      </c>
      <c r="D22" s="6027"/>
      <c r="E22" s="477" t="str">
        <f>IF(C10=0,"",VLOOKUP(C10,'Tablas psiquica'!$D$7:$R$145,4,FALSE))</f>
        <v/>
      </c>
      <c r="F22" s="6028" t="s">
        <v>6391</v>
      </c>
      <c r="G22" s="6028"/>
      <c r="H22" s="4769" t="str">
        <f>IF(C10=0,"",VLOOKUP(C10,'Tablas psiquica'!$D$7:$R$145,5,FALSE))</f>
        <v/>
      </c>
      <c r="I22" s="4770"/>
      <c r="J22" s="745"/>
      <c r="K22" s="6026" t="s">
        <v>6396</v>
      </c>
      <c r="L22" s="6027"/>
      <c r="M22" s="477" t="str">
        <f>IF(K10=0,"",VLOOKUP(K10,'Tablas psiquica'!$D$7:$R$145,4,FALSE))</f>
        <v/>
      </c>
      <c r="N22" s="6028" t="s">
        <v>6391</v>
      </c>
      <c r="O22" s="6028"/>
      <c r="P22" s="4769" t="str">
        <f>IF(K10=0,"",VLOOKUP(K10,'Tablas psiquica'!$D$7:$R$145,5,FALSE))</f>
        <v/>
      </c>
      <c r="Q22" s="4770"/>
      <c r="R22" s="1223"/>
      <c r="S22" s="6026" t="s">
        <v>6396</v>
      </c>
      <c r="T22" s="6027"/>
      <c r="U22" s="477" t="str">
        <f>IF(S10=0,"",VLOOKUP(S10,'Tablas psiquica'!$D$7:$R$145,4,FALSE))</f>
        <v/>
      </c>
      <c r="V22" s="6028" t="s">
        <v>6391</v>
      </c>
      <c r="W22" s="6028"/>
      <c r="X22" s="4769" t="str">
        <f>IF(S10=0,"",VLOOKUP(S10,'Tablas psiquica'!$D$7:$R$145,5,FALSE))</f>
        <v/>
      </c>
      <c r="Y22" s="4770"/>
      <c r="Z22" s="450"/>
      <c r="AA22" s="444"/>
      <c r="AB22" s="444"/>
      <c r="AC22" s="1223"/>
      <c r="AD22" s="6026" t="s">
        <v>6396</v>
      </c>
      <c r="AE22" s="6027"/>
      <c r="AF22" s="477" t="str">
        <f>IF(AD10=0,"",VLOOKUP(AD10,'Tablas psiquica'!$D$7:$R$145,4,FALSE))</f>
        <v/>
      </c>
      <c r="AG22" s="6028" t="s">
        <v>6391</v>
      </c>
      <c r="AH22" s="6028"/>
      <c r="AI22" s="4769" t="str">
        <f>IF(AD10=0,"",VLOOKUP(AD10,'Tablas psiquica'!$D$7:$R$145,5,FALSE))</f>
        <v/>
      </c>
      <c r="AJ22" s="4770"/>
      <c r="AK22" s="745"/>
      <c r="AL22" s="6026" t="s">
        <v>6396</v>
      </c>
      <c r="AM22" s="6027"/>
      <c r="AN22" s="477" t="str">
        <f>IF(AL10=0,"",VLOOKUP(AL10,'Tablas psiquica'!$D$7:$R$145,4,FALSE))</f>
        <v/>
      </c>
      <c r="AO22" s="6028" t="s">
        <v>6391</v>
      </c>
      <c r="AP22" s="6028"/>
      <c r="AQ22" s="4769" t="str">
        <f>IF(AL10=0,"",VLOOKUP(AL10,'Tablas psiquica'!$D$7:$R$145,5,FALSE))</f>
        <v/>
      </c>
      <c r="AR22" s="4770"/>
      <c r="AS22" s="1223"/>
      <c r="AT22" s="6026" t="s">
        <v>6396</v>
      </c>
      <c r="AU22" s="6027"/>
      <c r="AV22" s="477" t="str">
        <f>IF(AT10=0,"",VLOOKUP(AT10,'Tablas psiquica'!$D$7:$R$145,4,FALSE))</f>
        <v/>
      </c>
      <c r="AW22" s="6028" t="s">
        <v>6391</v>
      </c>
      <c r="AX22" s="6028"/>
      <c r="AY22" s="4769" t="str">
        <f>IF(AT10=0,"",VLOOKUP(AT10,'Tablas psiquica'!$D$7:$R$145,5,FALSE))</f>
        <v/>
      </c>
      <c r="AZ22" s="4770"/>
      <c r="BA22" s="450"/>
      <c r="BB22" s="444"/>
      <c r="BC22" s="444"/>
      <c r="BD22" s="1223"/>
      <c r="BE22" s="6026" t="s">
        <v>6396</v>
      </c>
      <c r="BF22" s="6027"/>
      <c r="BG22" s="477" t="str">
        <f>IF(BE10=0,"",VLOOKUP(BE10,'Tablas psiquica'!$D$7:$R$145,4,FALSE))</f>
        <v/>
      </c>
      <c r="BH22" s="6028" t="s">
        <v>6391</v>
      </c>
      <c r="BI22" s="6028"/>
      <c r="BJ22" s="4769" t="str">
        <f>IF(BE10=0,"",VLOOKUP(BE10,'Tablas psiquica'!$D$7:$R$145,5,FALSE))</f>
        <v/>
      </c>
      <c r="BK22" s="4770"/>
      <c r="BL22" s="745"/>
      <c r="BM22" s="6026" t="s">
        <v>6396</v>
      </c>
      <c r="BN22" s="6027"/>
      <c r="BO22" s="477" t="str">
        <f>IF(BM10=0,"",VLOOKUP(BM10,'Tablas psiquica'!$D$7:$R$145,4,FALSE))</f>
        <v/>
      </c>
      <c r="BP22" s="6028" t="s">
        <v>6391</v>
      </c>
      <c r="BQ22" s="6028"/>
      <c r="BR22" s="4769" t="str">
        <f>IF(BM10=0,"",VLOOKUP(BM10,'Tablas psiquica'!$D$7:$R$145,5,FALSE))</f>
        <v/>
      </c>
      <c r="BS22" s="4770"/>
      <c r="BT22" s="1223"/>
      <c r="BU22" s="6026" t="s">
        <v>6396</v>
      </c>
      <c r="BV22" s="6027"/>
      <c r="BW22" s="477" t="str">
        <f>IF(BU10=0,"",VLOOKUP(BU10,'Tablas psiquica'!$D$7:$R$145,4,FALSE))</f>
        <v/>
      </c>
      <c r="BX22" s="6028" t="s">
        <v>6391</v>
      </c>
      <c r="BY22" s="6028"/>
      <c r="BZ22" s="4769" t="str">
        <f>IF(BU10=0,"",VLOOKUP(BU10,'Tablas psiquica'!$D$7:$R$145,5,FALSE))</f>
        <v/>
      </c>
      <c r="CA22" s="4770"/>
      <c r="CB22" s="450"/>
      <c r="CC22" s="444"/>
      <c r="CD22" s="444"/>
      <c r="CE22" s="1223"/>
      <c r="CF22" s="6026" t="s">
        <v>6396</v>
      </c>
      <c r="CG22" s="6027"/>
      <c r="CH22" s="477" t="str">
        <f>IF(CF10=0,"",VLOOKUP(CF10,'Tablas psiquica'!$D$7:$R$145,4,FALSE))</f>
        <v/>
      </c>
      <c r="CI22" s="6028" t="s">
        <v>6391</v>
      </c>
      <c r="CJ22" s="6028"/>
      <c r="CK22" s="4769" t="str">
        <f>IF(CF10=0,"",VLOOKUP(CF10,'Tablas psiquica'!$D$7:$R$145,5,FALSE))</f>
        <v/>
      </c>
      <c r="CL22" s="4770"/>
      <c r="CM22" s="745"/>
      <c r="CN22" s="6026" t="s">
        <v>6396</v>
      </c>
      <c r="CO22" s="6027"/>
      <c r="CP22" s="477" t="str">
        <f>IF(CN10=0,"",VLOOKUP(CN10,'Tablas psiquica'!$D$7:$R$145,4,FALSE))</f>
        <v/>
      </c>
      <c r="CQ22" s="6028" t="s">
        <v>6391</v>
      </c>
      <c r="CR22" s="6028"/>
      <c r="CS22" s="4769" t="str">
        <f>IF(CN10=0,"",VLOOKUP(CN10,'Tablas psiquica'!$D$7:$R$145,5,FALSE))</f>
        <v/>
      </c>
      <c r="CT22" s="4770"/>
      <c r="CU22" s="1223"/>
      <c r="CV22" s="6026" t="s">
        <v>6396</v>
      </c>
      <c r="CW22" s="6027"/>
      <c r="CX22" s="477" t="str">
        <f>IF(CV10=0,"",VLOOKUP(CV10,'Tablas psiquica'!$D$7:$R$145,4,FALSE))</f>
        <v/>
      </c>
      <c r="CY22" s="6028" t="s">
        <v>6391</v>
      </c>
      <c r="CZ22" s="6028"/>
      <c r="DA22" s="4769" t="str">
        <f>IF(CV10=0,"",VLOOKUP(CV10,'Tablas psiquica'!$D$7:$R$145,5,FALSE))</f>
        <v/>
      </c>
      <c r="DB22" s="4770"/>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6044">
        <f>IFERROR(INDEX('Tablas psiquica'!$U$115:$AH$129,B24,Y$7),0)</f>
        <v>0</v>
      </c>
      <c r="D24" s="6045"/>
      <c r="E24" s="6045"/>
      <c r="F24" s="6045"/>
      <c r="G24" s="6045"/>
      <c r="H24" s="6045"/>
      <c r="I24" s="475" t="s">
        <v>1411</v>
      </c>
      <c r="J24" s="745">
        <v>5</v>
      </c>
      <c r="K24" s="6044">
        <f>IFERROR(INDEX('Tablas psiquica'!$U$115:$AH$129,J24,Y$7),0)</f>
        <v>0</v>
      </c>
      <c r="L24" s="6045"/>
      <c r="M24" s="6045"/>
      <c r="N24" s="6045"/>
      <c r="O24" s="6045"/>
      <c r="P24" s="6045"/>
      <c r="Q24" s="475" t="s">
        <v>1411</v>
      </c>
      <c r="R24" s="1223">
        <v>6</v>
      </c>
      <c r="S24" s="6044">
        <f>IFERROR(INDEX('Tablas psiquica'!$U$115:$AH$129,R24,Y$7),0)</f>
        <v>0</v>
      </c>
      <c r="T24" s="6045"/>
      <c r="U24" s="6045"/>
      <c r="V24" s="6045"/>
      <c r="W24" s="6045"/>
      <c r="X24" s="6045"/>
      <c r="Y24" s="475" t="s">
        <v>1411</v>
      </c>
      <c r="Z24" s="450"/>
      <c r="AA24" s="444"/>
      <c r="AB24" s="444"/>
      <c r="AC24" s="1223">
        <v>4</v>
      </c>
      <c r="AD24" s="6044">
        <f>IFERROR(INDEX('Tablas psiquica'!$U$115:$AH$129,AC24,AZ$7),0)</f>
        <v>0</v>
      </c>
      <c r="AE24" s="6045"/>
      <c r="AF24" s="6045"/>
      <c r="AG24" s="6045"/>
      <c r="AH24" s="6045"/>
      <c r="AI24" s="6045"/>
      <c r="AJ24" s="475" t="s">
        <v>1411</v>
      </c>
      <c r="AK24" s="745">
        <v>5</v>
      </c>
      <c r="AL24" s="6044">
        <f>IFERROR(INDEX('Tablas psiquica'!$U$115:$AH$129,AK24,AZ$7),0)</f>
        <v>0</v>
      </c>
      <c r="AM24" s="6045"/>
      <c r="AN24" s="6045"/>
      <c r="AO24" s="6045"/>
      <c r="AP24" s="6045"/>
      <c r="AQ24" s="6045"/>
      <c r="AR24" s="475" t="s">
        <v>1411</v>
      </c>
      <c r="AS24" s="1223">
        <v>6</v>
      </c>
      <c r="AT24" s="6044">
        <f>IFERROR(INDEX('Tablas psiquica'!$U$115:$AH$129,AS24,AZ$7),0)</f>
        <v>0</v>
      </c>
      <c r="AU24" s="6045"/>
      <c r="AV24" s="6045"/>
      <c r="AW24" s="6045"/>
      <c r="AX24" s="6045"/>
      <c r="AY24" s="6045"/>
      <c r="AZ24" s="475" t="s">
        <v>1411</v>
      </c>
      <c r="BA24" s="450"/>
      <c r="BB24" s="444"/>
      <c r="BC24" s="444"/>
      <c r="BD24" s="1223">
        <v>4</v>
      </c>
      <c r="BE24" s="6044">
        <f>IFERROR(INDEX('Tablas psiquica'!$U$115:$AH$129,BD24,CA$7),0)</f>
        <v>0</v>
      </c>
      <c r="BF24" s="6045"/>
      <c r="BG24" s="6045"/>
      <c r="BH24" s="6045"/>
      <c r="BI24" s="6045"/>
      <c r="BJ24" s="6045"/>
      <c r="BK24" s="475" t="s">
        <v>1411</v>
      </c>
      <c r="BL24" s="745">
        <v>5</v>
      </c>
      <c r="BM24" s="6044">
        <f>IFERROR(INDEX('Tablas psiquica'!$U$115:$AH$129,BL24,CA$7),0)</f>
        <v>0</v>
      </c>
      <c r="BN24" s="6045"/>
      <c r="BO24" s="6045"/>
      <c r="BP24" s="6045"/>
      <c r="BQ24" s="6045"/>
      <c r="BR24" s="6045"/>
      <c r="BS24" s="475" t="s">
        <v>1411</v>
      </c>
      <c r="BT24" s="1223">
        <v>6</v>
      </c>
      <c r="BU24" s="6044">
        <f>IFERROR(INDEX('Tablas psiquica'!$U$115:$AH$129,BT24,CA$7),0)</f>
        <v>0</v>
      </c>
      <c r="BV24" s="6045"/>
      <c r="BW24" s="6045"/>
      <c r="BX24" s="6045"/>
      <c r="BY24" s="6045"/>
      <c r="BZ24" s="6045"/>
      <c r="CA24" s="475" t="s">
        <v>1411</v>
      </c>
      <c r="CB24" s="450"/>
      <c r="CC24" s="444"/>
      <c r="CD24" s="444"/>
      <c r="CE24" s="1223">
        <v>4</v>
      </c>
      <c r="CF24" s="6044">
        <f>IFERROR(INDEX('Tablas psiquica'!$U$115:$AH$129,CE24,DB$7),0)</f>
        <v>0</v>
      </c>
      <c r="CG24" s="6045"/>
      <c r="CH24" s="6045"/>
      <c r="CI24" s="6045"/>
      <c r="CJ24" s="6045"/>
      <c r="CK24" s="6045"/>
      <c r="CL24" s="475" t="s">
        <v>1411</v>
      </c>
      <c r="CM24" s="745">
        <v>5</v>
      </c>
      <c r="CN24" s="6044">
        <f>IFERROR(INDEX('Tablas psiquica'!$U$115:$AH$129,CM24,DB$7),0)</f>
        <v>0</v>
      </c>
      <c r="CO24" s="6045"/>
      <c r="CP24" s="6045"/>
      <c r="CQ24" s="6045"/>
      <c r="CR24" s="6045"/>
      <c r="CS24" s="6045"/>
      <c r="CT24" s="475" t="s">
        <v>1411</v>
      </c>
      <c r="CU24" s="1223">
        <v>6</v>
      </c>
      <c r="CV24" s="6044">
        <f>IFERROR(INDEX('Tablas psiquica'!$U$115:$AH$129,CU24,DB$7),0)</f>
        <v>0</v>
      </c>
      <c r="CW24" s="6045"/>
      <c r="CX24" s="6045"/>
      <c r="CY24" s="6045"/>
      <c r="CZ24" s="6045"/>
      <c r="DA24" s="6045"/>
      <c r="DB24" s="475" t="s">
        <v>1411</v>
      </c>
      <c r="DC24" s="450"/>
      <c r="DD24" s="444"/>
    </row>
    <row r="25" spans="1:108" ht="12" customHeight="1" x14ac:dyDescent="0.2">
      <c r="A25" s="444"/>
      <c r="B25" s="1223"/>
      <c r="C25" s="6039" t="str">
        <f>IF(C24=0,"",VLOOKUP(C24,'Tablas psiquica'!$D$7:$R$145,2,FALSE))</f>
        <v/>
      </c>
      <c r="D25" s="6040"/>
      <c r="E25" s="6040"/>
      <c r="F25" s="6041"/>
      <c r="G25" s="6042" t="str">
        <f>IF(C24=0,"",IF(INDEX('Tablas psiquica'!$U$114:$AH$114,1,$Y$7)=0,"No Accesible",IF(ISNA(VLOOKUP(C24,Psíquicos!$AS$17:$AS$43,1,0)),"Accesible CV","Aprendido")))</f>
        <v/>
      </c>
      <c r="H25" s="6043"/>
      <c r="I25" s="1890" t="str">
        <f>IF(C24=0,"",VLOOKUP(C24,'Tablas psiquica'!$D$7:$R$145,3,FALSE))</f>
        <v/>
      </c>
      <c r="J25" s="745"/>
      <c r="K25" s="6039" t="str">
        <f>IF(K24=0,"",VLOOKUP(K24,'Tablas psiquica'!$D$7:$R$145,2,FALSE))</f>
        <v/>
      </c>
      <c r="L25" s="6040"/>
      <c r="M25" s="6040"/>
      <c r="N25" s="6041"/>
      <c r="O25" s="6042" t="str">
        <f>IF(K24=0,"",IF(INDEX('Tablas psiquica'!$U$114:$AH$114,1,$Y$7)=0,"No Accesible",IF(ISNA(VLOOKUP(K24,Psíquicos!$AS$17:$AS$43,1,0)),"Accesible CV","Aprendido")))</f>
        <v/>
      </c>
      <c r="P25" s="6043"/>
      <c r="Q25" s="1890" t="str">
        <f>IF(K24=0,"",VLOOKUP(K24,'Tablas psiquica'!$D$7:$R$145,3,FALSE))</f>
        <v/>
      </c>
      <c r="R25" s="1223"/>
      <c r="S25" s="6039" t="str">
        <f>IF(S24=0,"",VLOOKUP(S24,'Tablas psiquica'!$D$7:$R$145,2,FALSE))</f>
        <v/>
      </c>
      <c r="T25" s="6040"/>
      <c r="U25" s="6040"/>
      <c r="V25" s="6041"/>
      <c r="W25" s="6042" t="str">
        <f>IF(S24=0,"",IF(INDEX('Tablas psiquica'!$U$114:$AH$114,1,$Y$7)=0,"No Accesible",IF(ISNA(VLOOKUP(S24,Psíquicos!$AS$17:$AS$43,1,0)),"Accesible CV","Aprendido")))</f>
        <v/>
      </c>
      <c r="X25" s="6043"/>
      <c r="Y25" s="1890" t="str">
        <f>IF(S24=0,"",VLOOKUP(S24,'Tablas psiquica'!$D$7:$R$145,3,FALSE))</f>
        <v/>
      </c>
      <c r="Z25" s="450"/>
      <c r="AA25" s="444"/>
      <c r="AB25" s="444"/>
      <c r="AC25" s="1223"/>
      <c r="AD25" s="6039" t="str">
        <f>IF(AD24=0,"",VLOOKUP(AD24,'Tablas psiquica'!$D$7:$R$145,2,FALSE))</f>
        <v/>
      </c>
      <c r="AE25" s="6040"/>
      <c r="AF25" s="6040"/>
      <c r="AG25" s="6041"/>
      <c r="AH25" s="6042" t="str">
        <f>IF(AD24=0,"",IF(INDEX('Tablas psiquica'!$U$114:$AH$114,1,$AZ$7)=0,"No Accesible",IF(ISNA(VLOOKUP(AD24,Psíquicos!$AS$17:$AS$43,1,0)),"Accesible CV","Aprendido")))</f>
        <v/>
      </c>
      <c r="AI25" s="6043"/>
      <c r="AJ25" s="1890" t="str">
        <f>IF(AD24=0,"",VLOOKUP(AD24,'Tablas psiquica'!$D$7:$R$145,3,FALSE))</f>
        <v/>
      </c>
      <c r="AK25" s="745"/>
      <c r="AL25" s="6039" t="str">
        <f>IF(AL24=0,"",VLOOKUP(AL24,'Tablas psiquica'!$D$7:$R$145,2,FALSE))</f>
        <v/>
      </c>
      <c r="AM25" s="6040"/>
      <c r="AN25" s="6040"/>
      <c r="AO25" s="6041"/>
      <c r="AP25" s="6042" t="str">
        <f>IF(AL24=0,"",IF(INDEX('Tablas psiquica'!$U$114:$AH$114,1,$AZ$7)=0,"No Accesible",IF(ISNA(VLOOKUP(AL24,Psíquicos!$AS$17:$AS$43,1,0)),"Accesible CV","Aprendido")))</f>
        <v/>
      </c>
      <c r="AQ25" s="6043"/>
      <c r="AR25" s="1890" t="str">
        <f>IF(AL24=0,"",VLOOKUP(AL24,'Tablas psiquica'!$D$7:$R$145,3,FALSE))</f>
        <v/>
      </c>
      <c r="AS25" s="1223"/>
      <c r="AT25" s="6039" t="str">
        <f>IF(AT24=0,"",VLOOKUP(AT24,'Tablas psiquica'!$D$7:$R$145,2,FALSE))</f>
        <v/>
      </c>
      <c r="AU25" s="6040"/>
      <c r="AV25" s="6040"/>
      <c r="AW25" s="6041"/>
      <c r="AX25" s="6042" t="str">
        <f>IF(AT24=0,"",IF(INDEX('Tablas psiquica'!$U$114:$AH$114,1,$AZ$7)=0,"No Accesible",IF(ISNA(VLOOKUP(AT24,Psíquicos!$AS$17:$AS$43,1,0)),"Accesible CV","Aprendido")))</f>
        <v/>
      </c>
      <c r="AY25" s="6043"/>
      <c r="AZ25" s="1890" t="str">
        <f>IF(AT24=0,"",VLOOKUP(AT24,'Tablas psiquica'!$D$7:$R$145,3,FALSE))</f>
        <v/>
      </c>
      <c r="BA25" s="450"/>
      <c r="BB25" s="444"/>
      <c r="BC25" s="444"/>
      <c r="BD25" s="1223"/>
      <c r="BE25" s="6039" t="str">
        <f>IF(BE24=0,"",VLOOKUP(BE24,'Tablas psiquica'!$D$7:$R$145,2,FALSE))</f>
        <v/>
      </c>
      <c r="BF25" s="6040"/>
      <c r="BG25" s="6040"/>
      <c r="BH25" s="6041"/>
      <c r="BI25" s="6042" t="str">
        <f>IF(BE24=0,"",IF(INDEX('Tablas psiquica'!$U$114:$AH$114,1,$CA$7)=0,"No Accesible",IF(ISNA(VLOOKUP(BE24,Psíquicos!$AS$17:$AS$43,1,0)),"Accesible CV","Aprendido")))</f>
        <v/>
      </c>
      <c r="BJ25" s="6043"/>
      <c r="BK25" s="1890" t="str">
        <f>IF(BE24=0,"",VLOOKUP(BE24,'Tablas psiquica'!$D$7:$R$145,3,FALSE))</f>
        <v/>
      </c>
      <c r="BL25" s="745"/>
      <c r="BM25" s="6039" t="str">
        <f>IF(BM24=0,"",VLOOKUP(BM24,'Tablas psiquica'!$D$7:$R$145,2,FALSE))</f>
        <v/>
      </c>
      <c r="BN25" s="6040"/>
      <c r="BO25" s="6040"/>
      <c r="BP25" s="6041"/>
      <c r="BQ25" s="6042" t="str">
        <f>IF(BM24=0,"",IF(INDEX('Tablas psiquica'!$U$114:$AH$114,1,$CA$7)=0,"No Accesible",IF(ISNA(VLOOKUP(BM24,Psíquicos!$AS$17:$AS$43,1,0)),"Accesible CV","Aprendido")))</f>
        <v/>
      </c>
      <c r="BR25" s="6043"/>
      <c r="BS25" s="1890" t="str">
        <f>IF(BM24=0,"",VLOOKUP(BM24,'Tablas psiquica'!$D$7:$R$145,3,FALSE))</f>
        <v/>
      </c>
      <c r="BT25" s="1223"/>
      <c r="BU25" s="6039" t="str">
        <f>IF(BU24=0,"",VLOOKUP(BU24,'Tablas psiquica'!$D$7:$R$145,2,FALSE))</f>
        <v/>
      </c>
      <c r="BV25" s="6040"/>
      <c r="BW25" s="6040"/>
      <c r="BX25" s="6041"/>
      <c r="BY25" s="6042" t="str">
        <f>IF(BU24=0,"",IF(INDEX('Tablas psiquica'!$U$114:$AH$114,1,$CA$7)=0,"No Accesible",IF(ISNA(VLOOKUP(BU24,Psíquicos!$AS$17:$AS$43,1,0)),"Accesible CV","Aprendido")))</f>
        <v/>
      </c>
      <c r="BZ25" s="6043"/>
      <c r="CA25" s="1890" t="str">
        <f>IF(BU24=0,"",VLOOKUP(BU24,'Tablas psiquica'!$D$7:$R$145,3,FALSE))</f>
        <v/>
      </c>
      <c r="CB25" s="450"/>
      <c r="CC25" s="444"/>
      <c r="CD25" s="444"/>
      <c r="CE25" s="1223"/>
      <c r="CF25" s="6039" t="str">
        <f>IF(CF24=0,"",VLOOKUP(CF24,'Tablas psiquica'!$D$7:$R$145,2,FALSE))</f>
        <v/>
      </c>
      <c r="CG25" s="6040"/>
      <c r="CH25" s="6040"/>
      <c r="CI25" s="6041"/>
      <c r="CJ25" s="6042" t="str">
        <f>IF(CF24=0,"",IF(INDEX('Tablas psiquica'!$U$114:$AH$114,1,$DB$7)=0,"No Accesible",IF(ISNA(VLOOKUP(CF24,Psíquicos!$AS$17:$AS$43,1,0)),"Accesible CV","Aprendido")))</f>
        <v/>
      </c>
      <c r="CK25" s="6043"/>
      <c r="CL25" s="1890" t="str">
        <f>IF(CF24=0,"",VLOOKUP(CF24,'Tablas psiquica'!$D$7:$R$145,3,FALSE))</f>
        <v/>
      </c>
      <c r="CM25" s="745"/>
      <c r="CN25" s="6039" t="str">
        <f>IF(CN24=0,"",VLOOKUP(CN24,'Tablas psiquica'!$D$7:$R$145,2,FALSE))</f>
        <v/>
      </c>
      <c r="CO25" s="6040"/>
      <c r="CP25" s="6040"/>
      <c r="CQ25" s="6041"/>
      <c r="CR25" s="6042" t="str">
        <f>IF(CN24=0,"",IF(INDEX('Tablas psiquica'!$U$114:$AH$114,1,$DB$7)=0,"No Accesible",IF(ISNA(VLOOKUP(CN24,Psíquicos!$AS$17:$AS$43,1,0)),"Accesible CV","Aprendido")))</f>
        <v/>
      </c>
      <c r="CS25" s="6043"/>
      <c r="CT25" s="1890" t="str">
        <f>IF(CN24=0,"",VLOOKUP(CN24,'Tablas psiquica'!$D$7:$R$145,3,FALSE))</f>
        <v/>
      </c>
      <c r="CU25" s="1223"/>
      <c r="CV25" s="6039" t="str">
        <f>IF(CV24=0,"",VLOOKUP(CV24,'Tablas psiquica'!$D$7:$R$145,2,FALSE))</f>
        <v/>
      </c>
      <c r="CW25" s="6040"/>
      <c r="CX25" s="6040"/>
      <c r="CY25" s="6041"/>
      <c r="CZ25" s="6042" t="str">
        <f>IF(CV24=0,"",IF(INDEX('Tablas psiquica'!$U$114:$AH$114,1,$DB$7)=0,"No Accesible",IF(ISNA(VLOOKUP(CV24,Psíquicos!$AS$17:$AS$43,1,0)),"Accesible CV","Aprendido")))</f>
        <v/>
      </c>
      <c r="DA25" s="6043"/>
      <c r="DB25" s="1890" t="str">
        <f>IF(CV24=0,"",VLOOKUP(CV24,'Tablas psiquica'!$D$7:$R$145,3,FALSE))</f>
        <v/>
      </c>
      <c r="DC25" s="450"/>
      <c r="DD25" s="444"/>
    </row>
    <row r="26" spans="1:108" ht="12" customHeight="1" x14ac:dyDescent="0.2">
      <c r="A26" s="444"/>
      <c r="B26" s="1223"/>
      <c r="C26" s="1851">
        <v>20</v>
      </c>
      <c r="D26" s="6034" t="s">
        <v>1732</v>
      </c>
      <c r="E26" s="5982"/>
      <c r="F26" s="6035" t="str">
        <f>IF(C24=0,"",VLOOKUP(C24,'Tablas psiquica'!$D$7:$R$145,6,FALSE))</f>
        <v/>
      </c>
      <c r="G26" s="5664"/>
      <c r="H26" s="5664"/>
      <c r="I26" s="5701"/>
      <c r="J26" s="745"/>
      <c r="K26" s="1851">
        <v>20</v>
      </c>
      <c r="L26" s="6034" t="s">
        <v>1732</v>
      </c>
      <c r="M26" s="5982"/>
      <c r="N26" s="6035" t="str">
        <f>IF(K24=0,"",VLOOKUP(K24,'Tablas psiquica'!$D$7:$R$145,6,FALSE))</f>
        <v/>
      </c>
      <c r="O26" s="5664"/>
      <c r="P26" s="5664"/>
      <c r="Q26" s="5701"/>
      <c r="R26" s="1223"/>
      <c r="S26" s="1851">
        <v>20</v>
      </c>
      <c r="T26" s="6034" t="s">
        <v>1732</v>
      </c>
      <c r="U26" s="5982"/>
      <c r="V26" s="6035" t="str">
        <f>IF(S24=0,"",VLOOKUP(S24,'Tablas psiquica'!$D$7:$R$145,6,FALSE))</f>
        <v/>
      </c>
      <c r="W26" s="5664"/>
      <c r="X26" s="5664"/>
      <c r="Y26" s="5701"/>
      <c r="Z26" s="450"/>
      <c r="AA26" s="444"/>
      <c r="AB26" s="444"/>
      <c r="AC26" s="1223"/>
      <c r="AD26" s="1851">
        <v>20</v>
      </c>
      <c r="AE26" s="6034" t="s">
        <v>1732</v>
      </c>
      <c r="AF26" s="5982"/>
      <c r="AG26" s="6035" t="str">
        <f>IF(AD24=0,"",VLOOKUP(AD24,'Tablas psiquica'!$D$7:$R$145,6,FALSE))</f>
        <v/>
      </c>
      <c r="AH26" s="5664"/>
      <c r="AI26" s="5664"/>
      <c r="AJ26" s="5701"/>
      <c r="AK26" s="745"/>
      <c r="AL26" s="1851">
        <v>20</v>
      </c>
      <c r="AM26" s="6034" t="s">
        <v>1732</v>
      </c>
      <c r="AN26" s="5982"/>
      <c r="AO26" s="6035" t="str">
        <f>IF(AL24=0,"",VLOOKUP(AL24,'Tablas psiquica'!$D$7:$R$145,6,FALSE))</f>
        <v/>
      </c>
      <c r="AP26" s="5664"/>
      <c r="AQ26" s="5664"/>
      <c r="AR26" s="5701"/>
      <c r="AS26" s="1223"/>
      <c r="AT26" s="1851">
        <v>20</v>
      </c>
      <c r="AU26" s="6034" t="s">
        <v>1732</v>
      </c>
      <c r="AV26" s="5982"/>
      <c r="AW26" s="6035" t="str">
        <f>IF(AT24=0,"",VLOOKUP(AT24,'Tablas psiquica'!$D$7:$R$145,6,FALSE))</f>
        <v/>
      </c>
      <c r="AX26" s="5664"/>
      <c r="AY26" s="5664"/>
      <c r="AZ26" s="5701"/>
      <c r="BA26" s="450"/>
      <c r="BB26" s="444"/>
      <c r="BC26" s="444"/>
      <c r="BD26" s="1223"/>
      <c r="BE26" s="1851">
        <v>20</v>
      </c>
      <c r="BF26" s="6034" t="s">
        <v>1732</v>
      </c>
      <c r="BG26" s="5982"/>
      <c r="BH26" s="6035" t="str">
        <f>IF(BE24=0,"",VLOOKUP(BE24,'Tablas psiquica'!$D$7:$R$145,6,FALSE))</f>
        <v/>
      </c>
      <c r="BI26" s="5664"/>
      <c r="BJ26" s="5664"/>
      <c r="BK26" s="5701"/>
      <c r="BL26" s="745"/>
      <c r="BM26" s="1851">
        <v>20</v>
      </c>
      <c r="BN26" s="6034" t="s">
        <v>1732</v>
      </c>
      <c r="BO26" s="5982"/>
      <c r="BP26" s="6035" t="str">
        <f>IF(BM24=0,"",VLOOKUP(BM24,'Tablas psiquica'!$D$7:$R$145,6,FALSE))</f>
        <v/>
      </c>
      <c r="BQ26" s="5664"/>
      <c r="BR26" s="5664"/>
      <c r="BS26" s="5701"/>
      <c r="BT26" s="1223"/>
      <c r="BU26" s="1851">
        <v>20</v>
      </c>
      <c r="BV26" s="6034" t="s">
        <v>1732</v>
      </c>
      <c r="BW26" s="5982"/>
      <c r="BX26" s="6035" t="str">
        <f>IF(BU24=0,"",VLOOKUP(BU24,'Tablas psiquica'!$D$7:$R$145,6,FALSE))</f>
        <v/>
      </c>
      <c r="BY26" s="5664"/>
      <c r="BZ26" s="5664"/>
      <c r="CA26" s="5701"/>
      <c r="CB26" s="450"/>
      <c r="CC26" s="444"/>
      <c r="CD26" s="444"/>
      <c r="CE26" s="1223"/>
      <c r="CF26" s="1851">
        <v>20</v>
      </c>
      <c r="CG26" s="6034" t="s">
        <v>1732</v>
      </c>
      <c r="CH26" s="5982"/>
      <c r="CI26" s="6035" t="str">
        <f>IF(CF24=0,"",VLOOKUP(CF24,'Tablas psiquica'!$D$7:$R$145,6,FALSE))</f>
        <v/>
      </c>
      <c r="CJ26" s="5664"/>
      <c r="CK26" s="5664"/>
      <c r="CL26" s="5701"/>
      <c r="CM26" s="745"/>
      <c r="CN26" s="1851">
        <v>20</v>
      </c>
      <c r="CO26" s="6034" t="s">
        <v>1732</v>
      </c>
      <c r="CP26" s="5982"/>
      <c r="CQ26" s="6035" t="str">
        <f>IF(CN24=0,"",VLOOKUP(CN24,'Tablas psiquica'!$D$7:$R$145,6,FALSE))</f>
        <v/>
      </c>
      <c r="CR26" s="5664"/>
      <c r="CS26" s="5664"/>
      <c r="CT26" s="5701"/>
      <c r="CU26" s="1223"/>
      <c r="CV26" s="1851">
        <v>20</v>
      </c>
      <c r="CW26" s="6034" t="s">
        <v>1732</v>
      </c>
      <c r="CX26" s="5982"/>
      <c r="CY26" s="6035" t="str">
        <f>IF(CV24=0,"",VLOOKUP(CV24,'Tablas psiquica'!$D$7:$R$145,6,FALSE))</f>
        <v/>
      </c>
      <c r="CZ26" s="5664"/>
      <c r="DA26" s="5664"/>
      <c r="DB26" s="5701"/>
      <c r="DC26" s="450"/>
      <c r="DD26" s="444"/>
    </row>
    <row r="27" spans="1:108" ht="12" customHeight="1" x14ac:dyDescent="0.2">
      <c r="A27" s="444"/>
      <c r="B27" s="1223"/>
      <c r="C27" s="1850">
        <v>40</v>
      </c>
      <c r="D27" s="6036" t="s">
        <v>1734</v>
      </c>
      <c r="E27" s="5977"/>
      <c r="F27" s="6037" t="str">
        <f>IF(C24=0,"",VLOOKUP(C24,'Tablas psiquica'!$D$7:$R$145,7,FALSE))</f>
        <v/>
      </c>
      <c r="G27" s="5911"/>
      <c r="H27" s="5911"/>
      <c r="I27" s="6038"/>
      <c r="J27" s="745"/>
      <c r="K27" s="1850">
        <v>40</v>
      </c>
      <c r="L27" s="6036" t="s">
        <v>1734</v>
      </c>
      <c r="M27" s="5977"/>
      <c r="N27" s="6037" t="str">
        <f>IF(K24=0,"",VLOOKUP(K24,'Tablas psiquica'!$D$7:$R$145,7,FALSE))</f>
        <v/>
      </c>
      <c r="O27" s="5911"/>
      <c r="P27" s="5911"/>
      <c r="Q27" s="6038"/>
      <c r="R27" s="1223"/>
      <c r="S27" s="1850">
        <v>40</v>
      </c>
      <c r="T27" s="6036" t="s">
        <v>1734</v>
      </c>
      <c r="U27" s="5977"/>
      <c r="V27" s="6037" t="str">
        <f>IF(S24=0,"",VLOOKUP(S24,'Tablas psiquica'!$D$7:$R$145,7,FALSE))</f>
        <v/>
      </c>
      <c r="W27" s="5911"/>
      <c r="X27" s="5911"/>
      <c r="Y27" s="6038"/>
      <c r="Z27" s="450"/>
      <c r="AA27" s="444"/>
      <c r="AB27" s="444"/>
      <c r="AC27" s="1223"/>
      <c r="AD27" s="1850">
        <v>40</v>
      </c>
      <c r="AE27" s="6036" t="s">
        <v>1734</v>
      </c>
      <c r="AF27" s="5977"/>
      <c r="AG27" s="6037" t="str">
        <f>IF(AD24=0,"",VLOOKUP(AD24,'Tablas psiquica'!$D$7:$R$145,7,FALSE))</f>
        <v/>
      </c>
      <c r="AH27" s="5911"/>
      <c r="AI27" s="5911"/>
      <c r="AJ27" s="6038"/>
      <c r="AK27" s="745"/>
      <c r="AL27" s="1850">
        <v>40</v>
      </c>
      <c r="AM27" s="6036" t="s">
        <v>1734</v>
      </c>
      <c r="AN27" s="5977"/>
      <c r="AO27" s="6037" t="str">
        <f>IF(AL24=0,"",VLOOKUP(AL24,'Tablas psiquica'!$D$7:$R$145,7,FALSE))</f>
        <v/>
      </c>
      <c r="AP27" s="5911"/>
      <c r="AQ27" s="5911"/>
      <c r="AR27" s="6038"/>
      <c r="AS27" s="1223"/>
      <c r="AT27" s="1850">
        <v>40</v>
      </c>
      <c r="AU27" s="6036" t="s">
        <v>1734</v>
      </c>
      <c r="AV27" s="5977"/>
      <c r="AW27" s="6037" t="str">
        <f>IF(AT24=0,"",VLOOKUP(AT24,'Tablas psiquica'!$D$7:$R$145,7,FALSE))</f>
        <v/>
      </c>
      <c r="AX27" s="5911"/>
      <c r="AY27" s="5911"/>
      <c r="AZ27" s="6038"/>
      <c r="BA27" s="450"/>
      <c r="BB27" s="444"/>
      <c r="BC27" s="444"/>
      <c r="BD27" s="1223"/>
      <c r="BE27" s="1850">
        <v>40</v>
      </c>
      <c r="BF27" s="6036" t="s">
        <v>1734</v>
      </c>
      <c r="BG27" s="5977"/>
      <c r="BH27" s="6037" t="str">
        <f>IF(BE24=0,"",VLOOKUP(BE24,'Tablas psiquica'!$D$7:$R$145,7,FALSE))</f>
        <v/>
      </c>
      <c r="BI27" s="5911"/>
      <c r="BJ27" s="5911"/>
      <c r="BK27" s="6038"/>
      <c r="BL27" s="745"/>
      <c r="BM27" s="1850">
        <v>40</v>
      </c>
      <c r="BN27" s="6036" t="s">
        <v>1734</v>
      </c>
      <c r="BO27" s="5977"/>
      <c r="BP27" s="6037" t="str">
        <f>IF(BM24=0,"",VLOOKUP(BM24,'Tablas psiquica'!$D$7:$R$145,7,FALSE))</f>
        <v/>
      </c>
      <c r="BQ27" s="5911"/>
      <c r="BR27" s="5911"/>
      <c r="BS27" s="6038"/>
      <c r="BT27" s="1223"/>
      <c r="BU27" s="1850">
        <v>40</v>
      </c>
      <c r="BV27" s="6036" t="s">
        <v>1734</v>
      </c>
      <c r="BW27" s="5977"/>
      <c r="BX27" s="6037" t="str">
        <f>IF(BU24=0,"",VLOOKUP(BU24,'Tablas psiquica'!$D$7:$R$145,7,FALSE))</f>
        <v/>
      </c>
      <c r="BY27" s="5911"/>
      <c r="BZ27" s="5911"/>
      <c r="CA27" s="6038"/>
      <c r="CB27" s="450"/>
      <c r="CC27" s="444"/>
      <c r="CD27" s="444"/>
      <c r="CE27" s="1223"/>
      <c r="CF27" s="1850">
        <v>40</v>
      </c>
      <c r="CG27" s="6036" t="s">
        <v>1734</v>
      </c>
      <c r="CH27" s="5977"/>
      <c r="CI27" s="6037" t="str">
        <f>IF(CF24=0,"",VLOOKUP(CF24,'Tablas psiquica'!$D$7:$R$145,7,FALSE))</f>
        <v/>
      </c>
      <c r="CJ27" s="5911"/>
      <c r="CK27" s="5911"/>
      <c r="CL27" s="6038"/>
      <c r="CM27" s="745"/>
      <c r="CN27" s="1850">
        <v>40</v>
      </c>
      <c r="CO27" s="6036" t="s">
        <v>1734</v>
      </c>
      <c r="CP27" s="5977"/>
      <c r="CQ27" s="6037" t="str">
        <f>IF(CN24=0,"",VLOOKUP(CN24,'Tablas psiquica'!$D$7:$R$145,7,FALSE))</f>
        <v/>
      </c>
      <c r="CR27" s="5911"/>
      <c r="CS27" s="5911"/>
      <c r="CT27" s="6038"/>
      <c r="CU27" s="1223"/>
      <c r="CV27" s="1850">
        <v>40</v>
      </c>
      <c r="CW27" s="6036" t="s">
        <v>1734</v>
      </c>
      <c r="CX27" s="5977"/>
      <c r="CY27" s="6037" t="str">
        <f>IF(CV24=0,"",VLOOKUP(CV24,'Tablas psiquica'!$D$7:$R$145,7,FALSE))</f>
        <v/>
      </c>
      <c r="CZ27" s="5911"/>
      <c r="DA27" s="5911"/>
      <c r="DB27" s="6038"/>
      <c r="DC27" s="450"/>
      <c r="DD27" s="444"/>
    </row>
    <row r="28" spans="1:108" ht="12" customHeight="1" x14ac:dyDescent="0.2">
      <c r="A28" s="444"/>
      <c r="B28" s="1223"/>
      <c r="C28" s="1851">
        <v>80</v>
      </c>
      <c r="D28" s="6034" t="s">
        <v>1737</v>
      </c>
      <c r="E28" s="5982"/>
      <c r="F28" s="6035" t="str">
        <f>IF(C24=0,"",VLOOKUP(C24,'Tablas psiquica'!$D$7:$R$145,8,FALSE))</f>
        <v/>
      </c>
      <c r="G28" s="5664"/>
      <c r="H28" s="5664"/>
      <c r="I28" s="5701"/>
      <c r="J28" s="745"/>
      <c r="K28" s="1851">
        <v>80</v>
      </c>
      <c r="L28" s="6034" t="s">
        <v>1737</v>
      </c>
      <c r="M28" s="5982"/>
      <c r="N28" s="6035" t="str">
        <f>IF(K24=0,"",VLOOKUP(K24,'Tablas psiquica'!$D$7:$R$145,8,FALSE))</f>
        <v/>
      </c>
      <c r="O28" s="5664"/>
      <c r="P28" s="5664"/>
      <c r="Q28" s="5701"/>
      <c r="R28" s="1223"/>
      <c r="S28" s="1851">
        <v>80</v>
      </c>
      <c r="T28" s="6034" t="s">
        <v>1737</v>
      </c>
      <c r="U28" s="5982"/>
      <c r="V28" s="6035" t="str">
        <f>IF(S24=0,"",VLOOKUP(S24,'Tablas psiquica'!$D$7:$R$145,8,FALSE))</f>
        <v/>
      </c>
      <c r="W28" s="5664"/>
      <c r="X28" s="5664"/>
      <c r="Y28" s="5701"/>
      <c r="Z28" s="450"/>
      <c r="AA28" s="444"/>
      <c r="AB28" s="444"/>
      <c r="AC28" s="1223"/>
      <c r="AD28" s="1851">
        <v>80</v>
      </c>
      <c r="AE28" s="6034" t="s">
        <v>1737</v>
      </c>
      <c r="AF28" s="5982"/>
      <c r="AG28" s="6035" t="str">
        <f>IF(AD24=0,"",VLOOKUP(AD24,'Tablas psiquica'!$D$7:$R$145,8,FALSE))</f>
        <v/>
      </c>
      <c r="AH28" s="5664"/>
      <c r="AI28" s="5664"/>
      <c r="AJ28" s="5701"/>
      <c r="AK28" s="745"/>
      <c r="AL28" s="1851">
        <v>80</v>
      </c>
      <c r="AM28" s="6034" t="s">
        <v>1737</v>
      </c>
      <c r="AN28" s="5982"/>
      <c r="AO28" s="6035" t="str">
        <f>IF(AL24=0,"",VLOOKUP(AL24,'Tablas psiquica'!$D$7:$R$145,8,FALSE))</f>
        <v/>
      </c>
      <c r="AP28" s="5664"/>
      <c r="AQ28" s="5664"/>
      <c r="AR28" s="5701"/>
      <c r="AS28" s="1223"/>
      <c r="AT28" s="1851">
        <v>80</v>
      </c>
      <c r="AU28" s="6034" t="s">
        <v>1737</v>
      </c>
      <c r="AV28" s="5982"/>
      <c r="AW28" s="6035" t="str">
        <f>IF(AT24=0,"",VLOOKUP(AT24,'Tablas psiquica'!$D$7:$R$145,8,FALSE))</f>
        <v/>
      </c>
      <c r="AX28" s="5664"/>
      <c r="AY28" s="5664"/>
      <c r="AZ28" s="5701"/>
      <c r="BA28" s="450"/>
      <c r="BB28" s="444"/>
      <c r="BC28" s="444"/>
      <c r="BD28" s="1223"/>
      <c r="BE28" s="1851">
        <v>80</v>
      </c>
      <c r="BF28" s="6034" t="s">
        <v>1737</v>
      </c>
      <c r="BG28" s="5982"/>
      <c r="BH28" s="6035" t="str">
        <f>IF(BE24=0,"",VLOOKUP(BE24,'Tablas psiquica'!$D$7:$R$145,8,FALSE))</f>
        <v/>
      </c>
      <c r="BI28" s="5664"/>
      <c r="BJ28" s="5664"/>
      <c r="BK28" s="5701"/>
      <c r="BL28" s="745"/>
      <c r="BM28" s="1851">
        <v>80</v>
      </c>
      <c r="BN28" s="6034" t="s">
        <v>1737</v>
      </c>
      <c r="BO28" s="5982"/>
      <c r="BP28" s="6035" t="str">
        <f>IF(BM24=0,"",VLOOKUP(BM24,'Tablas psiquica'!$D$7:$R$145,8,FALSE))</f>
        <v/>
      </c>
      <c r="BQ28" s="5664"/>
      <c r="BR28" s="5664"/>
      <c r="BS28" s="5701"/>
      <c r="BT28" s="1223"/>
      <c r="BU28" s="1851">
        <v>80</v>
      </c>
      <c r="BV28" s="6034" t="s">
        <v>1737</v>
      </c>
      <c r="BW28" s="5982"/>
      <c r="BX28" s="6035" t="str">
        <f>IF(BU24=0,"",VLOOKUP(BU24,'Tablas psiquica'!$D$7:$R$145,8,FALSE))</f>
        <v/>
      </c>
      <c r="BY28" s="5664"/>
      <c r="BZ28" s="5664"/>
      <c r="CA28" s="5701"/>
      <c r="CB28" s="450"/>
      <c r="CC28" s="444"/>
      <c r="CD28" s="444"/>
      <c r="CE28" s="1223"/>
      <c r="CF28" s="1851">
        <v>80</v>
      </c>
      <c r="CG28" s="6034" t="s">
        <v>1737</v>
      </c>
      <c r="CH28" s="5982"/>
      <c r="CI28" s="6035" t="str">
        <f>IF(CF24=0,"",VLOOKUP(CF24,'Tablas psiquica'!$D$7:$R$145,8,FALSE))</f>
        <v/>
      </c>
      <c r="CJ28" s="5664"/>
      <c r="CK28" s="5664"/>
      <c r="CL28" s="5701"/>
      <c r="CM28" s="745"/>
      <c r="CN28" s="1851">
        <v>80</v>
      </c>
      <c r="CO28" s="6034" t="s">
        <v>1737</v>
      </c>
      <c r="CP28" s="5982"/>
      <c r="CQ28" s="6035" t="str">
        <f>IF(CN24=0,"",VLOOKUP(CN24,'Tablas psiquica'!$D$7:$R$145,8,FALSE))</f>
        <v/>
      </c>
      <c r="CR28" s="5664"/>
      <c r="CS28" s="5664"/>
      <c r="CT28" s="5701"/>
      <c r="CU28" s="1223"/>
      <c r="CV28" s="1851">
        <v>80</v>
      </c>
      <c r="CW28" s="6034" t="s">
        <v>1737</v>
      </c>
      <c r="CX28" s="5982"/>
      <c r="CY28" s="6035" t="str">
        <f>IF(CV24=0,"",VLOOKUP(CV24,'Tablas psiquica'!$D$7:$R$145,8,FALSE))</f>
        <v/>
      </c>
      <c r="CZ28" s="5664"/>
      <c r="DA28" s="5664"/>
      <c r="DB28" s="5701"/>
      <c r="DC28" s="450"/>
      <c r="DD28" s="444"/>
    </row>
    <row r="29" spans="1:108" ht="12" customHeight="1" x14ac:dyDescent="0.2">
      <c r="A29" s="444"/>
      <c r="B29" s="1223"/>
      <c r="C29" s="1850">
        <v>120</v>
      </c>
      <c r="D29" s="6036" t="s">
        <v>1740</v>
      </c>
      <c r="E29" s="5977"/>
      <c r="F29" s="6037" t="str">
        <f>IF(C24=0,"",VLOOKUP(C24,'Tablas psiquica'!$D$7:$R$145,9,FALSE))</f>
        <v/>
      </c>
      <c r="G29" s="5911"/>
      <c r="H29" s="5911"/>
      <c r="I29" s="6038"/>
      <c r="J29" s="745"/>
      <c r="K29" s="1850">
        <v>120</v>
      </c>
      <c r="L29" s="6036" t="s">
        <v>1740</v>
      </c>
      <c r="M29" s="5977"/>
      <c r="N29" s="6037" t="str">
        <f>IF(K24=0,"",VLOOKUP(K24,'Tablas psiquica'!$D$7:$R$145,9,FALSE))</f>
        <v/>
      </c>
      <c r="O29" s="5911"/>
      <c r="P29" s="5911"/>
      <c r="Q29" s="6038"/>
      <c r="R29" s="1223"/>
      <c r="S29" s="1850">
        <v>120</v>
      </c>
      <c r="T29" s="6036" t="s">
        <v>1740</v>
      </c>
      <c r="U29" s="5977"/>
      <c r="V29" s="6037" t="str">
        <f>IF(S24=0,"",VLOOKUP(S24,'Tablas psiquica'!$D$7:$R$145,9,FALSE))</f>
        <v/>
      </c>
      <c r="W29" s="5911"/>
      <c r="X29" s="5911"/>
      <c r="Y29" s="6038"/>
      <c r="Z29" s="450"/>
      <c r="AA29" s="444"/>
      <c r="AB29" s="444"/>
      <c r="AC29" s="1223"/>
      <c r="AD29" s="1850">
        <v>120</v>
      </c>
      <c r="AE29" s="6036" t="s">
        <v>1740</v>
      </c>
      <c r="AF29" s="5977"/>
      <c r="AG29" s="6037" t="str">
        <f>IF(AD24=0,"",VLOOKUP(AD24,'Tablas psiquica'!$D$7:$R$145,9,FALSE))</f>
        <v/>
      </c>
      <c r="AH29" s="5911"/>
      <c r="AI29" s="5911"/>
      <c r="AJ29" s="6038"/>
      <c r="AK29" s="745"/>
      <c r="AL29" s="1850">
        <v>120</v>
      </c>
      <c r="AM29" s="6036" t="s">
        <v>1740</v>
      </c>
      <c r="AN29" s="5977"/>
      <c r="AO29" s="6037" t="str">
        <f>IF(AL24=0,"",VLOOKUP(AL24,'Tablas psiquica'!$D$7:$R$145,9,FALSE))</f>
        <v/>
      </c>
      <c r="AP29" s="5911"/>
      <c r="AQ29" s="5911"/>
      <c r="AR29" s="6038"/>
      <c r="AS29" s="1223"/>
      <c r="AT29" s="1850">
        <v>120</v>
      </c>
      <c r="AU29" s="6036" t="s">
        <v>1740</v>
      </c>
      <c r="AV29" s="5977"/>
      <c r="AW29" s="6037" t="str">
        <f>IF(AT24=0,"",VLOOKUP(AT24,'Tablas psiquica'!$D$7:$R$145,9,FALSE))</f>
        <v/>
      </c>
      <c r="AX29" s="5911"/>
      <c r="AY29" s="5911"/>
      <c r="AZ29" s="6038"/>
      <c r="BA29" s="450"/>
      <c r="BB29" s="444"/>
      <c r="BC29" s="444"/>
      <c r="BD29" s="1223"/>
      <c r="BE29" s="1850">
        <v>120</v>
      </c>
      <c r="BF29" s="6036" t="s">
        <v>1740</v>
      </c>
      <c r="BG29" s="5977"/>
      <c r="BH29" s="6037" t="str">
        <f>IF(BE24=0,"",VLOOKUP(BE24,'Tablas psiquica'!$D$7:$R$145,9,FALSE))</f>
        <v/>
      </c>
      <c r="BI29" s="5911"/>
      <c r="BJ29" s="5911"/>
      <c r="BK29" s="6038"/>
      <c r="BL29" s="745"/>
      <c r="BM29" s="1850">
        <v>120</v>
      </c>
      <c r="BN29" s="6036" t="s">
        <v>1740</v>
      </c>
      <c r="BO29" s="5977"/>
      <c r="BP29" s="6037" t="str">
        <f>IF(BM24=0,"",VLOOKUP(BM24,'Tablas psiquica'!$D$7:$R$145,9,FALSE))</f>
        <v/>
      </c>
      <c r="BQ29" s="5911"/>
      <c r="BR29" s="5911"/>
      <c r="BS29" s="6038"/>
      <c r="BT29" s="1223"/>
      <c r="BU29" s="1850">
        <v>120</v>
      </c>
      <c r="BV29" s="6036" t="s">
        <v>1740</v>
      </c>
      <c r="BW29" s="5977"/>
      <c r="BX29" s="6037" t="str">
        <f>IF(BU24=0,"",VLOOKUP(BU24,'Tablas psiquica'!$D$7:$R$145,9,FALSE))</f>
        <v/>
      </c>
      <c r="BY29" s="5911"/>
      <c r="BZ29" s="5911"/>
      <c r="CA29" s="6038"/>
      <c r="CB29" s="450"/>
      <c r="CC29" s="444"/>
      <c r="CD29" s="444"/>
      <c r="CE29" s="1223"/>
      <c r="CF29" s="1850">
        <v>120</v>
      </c>
      <c r="CG29" s="6036" t="s">
        <v>1740</v>
      </c>
      <c r="CH29" s="5977"/>
      <c r="CI29" s="6037" t="str">
        <f>IF(CF24=0,"",VLOOKUP(CF24,'Tablas psiquica'!$D$7:$R$145,9,FALSE))</f>
        <v/>
      </c>
      <c r="CJ29" s="5911"/>
      <c r="CK29" s="5911"/>
      <c r="CL29" s="6038"/>
      <c r="CM29" s="745"/>
      <c r="CN29" s="1850">
        <v>120</v>
      </c>
      <c r="CO29" s="6036" t="s">
        <v>1740</v>
      </c>
      <c r="CP29" s="5977"/>
      <c r="CQ29" s="6037" t="str">
        <f>IF(CN24=0,"",VLOOKUP(CN24,'Tablas psiquica'!$D$7:$R$145,9,FALSE))</f>
        <v/>
      </c>
      <c r="CR29" s="5911"/>
      <c r="CS29" s="5911"/>
      <c r="CT29" s="6038"/>
      <c r="CU29" s="1223"/>
      <c r="CV29" s="1850">
        <v>120</v>
      </c>
      <c r="CW29" s="6036" t="s">
        <v>1740</v>
      </c>
      <c r="CX29" s="5977"/>
      <c r="CY29" s="6037" t="str">
        <f>IF(CV24=0,"",VLOOKUP(CV24,'Tablas psiquica'!$D$7:$R$145,9,FALSE))</f>
        <v/>
      </c>
      <c r="CZ29" s="5911"/>
      <c r="DA29" s="5911"/>
      <c r="DB29" s="6038"/>
      <c r="DC29" s="450"/>
      <c r="DD29" s="444"/>
    </row>
    <row r="30" spans="1:108" ht="12" customHeight="1" x14ac:dyDescent="0.2">
      <c r="A30" s="444"/>
      <c r="B30" s="1223"/>
      <c r="C30" s="1851">
        <v>140</v>
      </c>
      <c r="D30" s="6034" t="s">
        <v>6394</v>
      </c>
      <c r="E30" s="5982"/>
      <c r="F30" s="6035" t="str">
        <f>IF(C24=0,"",VLOOKUP(C24,'Tablas psiquica'!$D$7:$R$145,10,FALSE))</f>
        <v/>
      </c>
      <c r="G30" s="5664"/>
      <c r="H30" s="5664"/>
      <c r="I30" s="5701"/>
      <c r="J30" s="745"/>
      <c r="K30" s="1851">
        <v>140</v>
      </c>
      <c r="L30" s="6034" t="s">
        <v>6394</v>
      </c>
      <c r="M30" s="5982"/>
      <c r="N30" s="6035" t="str">
        <f>IF(K24=0,"",VLOOKUP(K24,'Tablas psiquica'!$D$7:$R$145,10,FALSE))</f>
        <v/>
      </c>
      <c r="O30" s="5664"/>
      <c r="P30" s="5664"/>
      <c r="Q30" s="5701"/>
      <c r="R30" s="1223"/>
      <c r="S30" s="1851">
        <v>140</v>
      </c>
      <c r="T30" s="6034" t="s">
        <v>6394</v>
      </c>
      <c r="U30" s="5982"/>
      <c r="V30" s="6035" t="str">
        <f>IF(S24=0,"",VLOOKUP(S24,'Tablas psiquica'!$D$7:$R$145,10,FALSE))</f>
        <v/>
      </c>
      <c r="W30" s="5664"/>
      <c r="X30" s="5664"/>
      <c r="Y30" s="5701"/>
      <c r="Z30" s="450"/>
      <c r="AA30" s="444"/>
      <c r="AB30" s="444"/>
      <c r="AC30" s="1223"/>
      <c r="AD30" s="1851">
        <v>140</v>
      </c>
      <c r="AE30" s="6034" t="s">
        <v>6394</v>
      </c>
      <c r="AF30" s="5982"/>
      <c r="AG30" s="6035" t="str">
        <f>IF(AD24=0,"",VLOOKUP(AD24,'Tablas psiquica'!$D$7:$R$145,10,FALSE))</f>
        <v/>
      </c>
      <c r="AH30" s="5664"/>
      <c r="AI30" s="5664"/>
      <c r="AJ30" s="5701"/>
      <c r="AK30" s="745"/>
      <c r="AL30" s="1851">
        <v>140</v>
      </c>
      <c r="AM30" s="6034" t="s">
        <v>6394</v>
      </c>
      <c r="AN30" s="5982"/>
      <c r="AO30" s="6035" t="str">
        <f>IF(AL24=0,"",VLOOKUP(AL24,'Tablas psiquica'!$D$7:$R$145,10,FALSE))</f>
        <v/>
      </c>
      <c r="AP30" s="5664"/>
      <c r="AQ30" s="5664"/>
      <c r="AR30" s="5701"/>
      <c r="AS30" s="1223"/>
      <c r="AT30" s="1851">
        <v>140</v>
      </c>
      <c r="AU30" s="6034" t="s">
        <v>6394</v>
      </c>
      <c r="AV30" s="5982"/>
      <c r="AW30" s="6035" t="str">
        <f>IF(AT24=0,"",VLOOKUP(AT24,'Tablas psiquica'!$D$7:$R$145,10,FALSE))</f>
        <v/>
      </c>
      <c r="AX30" s="5664"/>
      <c r="AY30" s="5664"/>
      <c r="AZ30" s="5701"/>
      <c r="BA30" s="450"/>
      <c r="BB30" s="444"/>
      <c r="BC30" s="444"/>
      <c r="BD30" s="1223"/>
      <c r="BE30" s="1851">
        <v>140</v>
      </c>
      <c r="BF30" s="6034" t="s">
        <v>6394</v>
      </c>
      <c r="BG30" s="5982"/>
      <c r="BH30" s="6035" t="str">
        <f>IF(BE24=0,"",VLOOKUP(BE24,'Tablas psiquica'!$D$7:$R$145,10,FALSE))</f>
        <v/>
      </c>
      <c r="BI30" s="5664"/>
      <c r="BJ30" s="5664"/>
      <c r="BK30" s="5701"/>
      <c r="BL30" s="745"/>
      <c r="BM30" s="1851">
        <v>140</v>
      </c>
      <c r="BN30" s="6034" t="s">
        <v>6394</v>
      </c>
      <c r="BO30" s="5982"/>
      <c r="BP30" s="6035" t="str">
        <f>IF(BM24=0,"",VLOOKUP(BM24,'Tablas psiquica'!$D$7:$R$145,10,FALSE))</f>
        <v/>
      </c>
      <c r="BQ30" s="5664"/>
      <c r="BR30" s="5664"/>
      <c r="BS30" s="5701"/>
      <c r="BT30" s="1223"/>
      <c r="BU30" s="1851">
        <v>140</v>
      </c>
      <c r="BV30" s="6034" t="s">
        <v>6394</v>
      </c>
      <c r="BW30" s="5982"/>
      <c r="BX30" s="6035" t="str">
        <f>IF(BU24=0,"",VLOOKUP(BU24,'Tablas psiquica'!$D$7:$R$145,10,FALSE))</f>
        <v/>
      </c>
      <c r="BY30" s="5664"/>
      <c r="BZ30" s="5664"/>
      <c r="CA30" s="5701"/>
      <c r="CB30" s="450"/>
      <c r="CC30" s="444"/>
      <c r="CD30" s="444"/>
      <c r="CE30" s="1223"/>
      <c r="CF30" s="1851">
        <v>140</v>
      </c>
      <c r="CG30" s="6034" t="s">
        <v>6394</v>
      </c>
      <c r="CH30" s="5982"/>
      <c r="CI30" s="6035" t="str">
        <f>IF(CF24=0,"",VLOOKUP(CF24,'Tablas psiquica'!$D$7:$R$145,10,FALSE))</f>
        <v/>
      </c>
      <c r="CJ30" s="5664"/>
      <c r="CK30" s="5664"/>
      <c r="CL30" s="5701"/>
      <c r="CM30" s="745"/>
      <c r="CN30" s="1851">
        <v>140</v>
      </c>
      <c r="CO30" s="6034" t="s">
        <v>6394</v>
      </c>
      <c r="CP30" s="5982"/>
      <c r="CQ30" s="6035" t="str">
        <f>IF(CN24=0,"",VLOOKUP(CN24,'Tablas psiquica'!$D$7:$R$145,10,FALSE))</f>
        <v/>
      </c>
      <c r="CR30" s="5664"/>
      <c r="CS30" s="5664"/>
      <c r="CT30" s="5701"/>
      <c r="CU30" s="1223"/>
      <c r="CV30" s="1851">
        <v>140</v>
      </c>
      <c r="CW30" s="6034" t="s">
        <v>6394</v>
      </c>
      <c r="CX30" s="5982"/>
      <c r="CY30" s="6035" t="str">
        <f>IF(CV24=0,"",VLOOKUP(CV24,'Tablas psiquica'!$D$7:$R$145,10,FALSE))</f>
        <v/>
      </c>
      <c r="CZ30" s="5664"/>
      <c r="DA30" s="5664"/>
      <c r="DB30" s="5701"/>
      <c r="DC30" s="450"/>
      <c r="DD30" s="444"/>
    </row>
    <row r="31" spans="1:108" ht="12" customHeight="1" x14ac:dyDescent="0.2">
      <c r="A31" s="444"/>
      <c r="B31" s="1223"/>
      <c r="C31" s="1850">
        <v>180</v>
      </c>
      <c r="D31" s="6036" t="s">
        <v>1744</v>
      </c>
      <c r="E31" s="5977"/>
      <c r="F31" s="6037" t="str">
        <f>IF(C24=0,"",VLOOKUP(C24,'Tablas psiquica'!$D$7:$R$145,11,FALSE))</f>
        <v/>
      </c>
      <c r="G31" s="5911"/>
      <c r="H31" s="5911"/>
      <c r="I31" s="6038"/>
      <c r="J31" s="745"/>
      <c r="K31" s="1850">
        <v>180</v>
      </c>
      <c r="L31" s="6036" t="s">
        <v>1744</v>
      </c>
      <c r="M31" s="5977"/>
      <c r="N31" s="6037" t="str">
        <f>IF(K24=0,"",VLOOKUP(K24,'Tablas psiquica'!$D$7:$R$145,11,FALSE))</f>
        <v/>
      </c>
      <c r="O31" s="5911"/>
      <c r="P31" s="5911"/>
      <c r="Q31" s="6038"/>
      <c r="R31" s="1223"/>
      <c r="S31" s="1850">
        <v>180</v>
      </c>
      <c r="T31" s="6036" t="s">
        <v>1744</v>
      </c>
      <c r="U31" s="5977"/>
      <c r="V31" s="6037" t="str">
        <f>IF(S24=0,"",VLOOKUP(S24,'Tablas psiquica'!$D$7:$R$145,11,FALSE))</f>
        <v/>
      </c>
      <c r="W31" s="5911"/>
      <c r="X31" s="5911"/>
      <c r="Y31" s="6038"/>
      <c r="Z31" s="450"/>
      <c r="AA31" s="444"/>
      <c r="AB31" s="444"/>
      <c r="AC31" s="1223"/>
      <c r="AD31" s="1850">
        <v>180</v>
      </c>
      <c r="AE31" s="6036" t="s">
        <v>1744</v>
      </c>
      <c r="AF31" s="5977"/>
      <c r="AG31" s="6037" t="str">
        <f>IF(AD24=0,"",VLOOKUP(AD24,'Tablas psiquica'!$D$7:$R$145,11,FALSE))</f>
        <v/>
      </c>
      <c r="AH31" s="5911"/>
      <c r="AI31" s="5911"/>
      <c r="AJ31" s="6038"/>
      <c r="AK31" s="745"/>
      <c r="AL31" s="1850">
        <v>180</v>
      </c>
      <c r="AM31" s="6036" t="s">
        <v>1744</v>
      </c>
      <c r="AN31" s="5977"/>
      <c r="AO31" s="6037" t="str">
        <f>IF(AL24=0,"",VLOOKUP(AL24,'Tablas psiquica'!$D$7:$R$145,11,FALSE))</f>
        <v/>
      </c>
      <c r="AP31" s="5911"/>
      <c r="AQ31" s="5911"/>
      <c r="AR31" s="6038"/>
      <c r="AS31" s="1223"/>
      <c r="AT31" s="1850">
        <v>180</v>
      </c>
      <c r="AU31" s="6036" t="s">
        <v>1744</v>
      </c>
      <c r="AV31" s="5977"/>
      <c r="AW31" s="6037" t="str">
        <f>IF(AT24=0,"",VLOOKUP(AT24,'Tablas psiquica'!$D$7:$R$145,11,FALSE))</f>
        <v/>
      </c>
      <c r="AX31" s="5911"/>
      <c r="AY31" s="5911"/>
      <c r="AZ31" s="6038"/>
      <c r="BA31" s="450"/>
      <c r="BB31" s="444"/>
      <c r="BC31" s="444"/>
      <c r="BD31" s="1223"/>
      <c r="BE31" s="1850">
        <v>180</v>
      </c>
      <c r="BF31" s="6036" t="s">
        <v>1744</v>
      </c>
      <c r="BG31" s="5977"/>
      <c r="BH31" s="6037" t="str">
        <f>IF(BE24=0,"",VLOOKUP(BE24,'Tablas psiquica'!$D$7:$R$145,11,FALSE))</f>
        <v/>
      </c>
      <c r="BI31" s="5911"/>
      <c r="BJ31" s="5911"/>
      <c r="BK31" s="6038"/>
      <c r="BL31" s="745"/>
      <c r="BM31" s="1850">
        <v>180</v>
      </c>
      <c r="BN31" s="6036" t="s">
        <v>1744</v>
      </c>
      <c r="BO31" s="5977"/>
      <c r="BP31" s="6037" t="str">
        <f>IF(BM24=0,"",VLOOKUP(BM24,'Tablas psiquica'!$D$7:$R$145,11,FALSE))</f>
        <v/>
      </c>
      <c r="BQ31" s="5911"/>
      <c r="BR31" s="5911"/>
      <c r="BS31" s="6038"/>
      <c r="BT31" s="1223"/>
      <c r="BU31" s="1850">
        <v>180</v>
      </c>
      <c r="BV31" s="6036" t="s">
        <v>1744</v>
      </c>
      <c r="BW31" s="5977"/>
      <c r="BX31" s="6037" t="str">
        <f>IF(BU24=0,"",VLOOKUP(BU24,'Tablas psiquica'!$D$7:$R$145,11,FALSE))</f>
        <v/>
      </c>
      <c r="BY31" s="5911"/>
      <c r="BZ31" s="5911"/>
      <c r="CA31" s="6038"/>
      <c r="CB31" s="450"/>
      <c r="CC31" s="444"/>
      <c r="CD31" s="444"/>
      <c r="CE31" s="1223"/>
      <c r="CF31" s="1850">
        <v>180</v>
      </c>
      <c r="CG31" s="6036" t="s">
        <v>1744</v>
      </c>
      <c r="CH31" s="5977"/>
      <c r="CI31" s="6037" t="str">
        <f>IF(CF24=0,"",VLOOKUP(CF24,'Tablas psiquica'!$D$7:$R$145,11,FALSE))</f>
        <v/>
      </c>
      <c r="CJ31" s="5911"/>
      <c r="CK31" s="5911"/>
      <c r="CL31" s="6038"/>
      <c r="CM31" s="745"/>
      <c r="CN31" s="1850">
        <v>180</v>
      </c>
      <c r="CO31" s="6036" t="s">
        <v>1744</v>
      </c>
      <c r="CP31" s="5977"/>
      <c r="CQ31" s="6037" t="str">
        <f>IF(CN24=0,"",VLOOKUP(CN24,'Tablas psiquica'!$D$7:$R$145,11,FALSE))</f>
        <v/>
      </c>
      <c r="CR31" s="5911"/>
      <c r="CS31" s="5911"/>
      <c r="CT31" s="6038"/>
      <c r="CU31" s="1223"/>
      <c r="CV31" s="1850">
        <v>180</v>
      </c>
      <c r="CW31" s="6036" t="s">
        <v>1744</v>
      </c>
      <c r="CX31" s="5977"/>
      <c r="CY31" s="6037" t="str">
        <f>IF(CV24=0,"",VLOOKUP(CV24,'Tablas psiquica'!$D$7:$R$145,11,FALSE))</f>
        <v/>
      </c>
      <c r="CZ31" s="5911"/>
      <c r="DA31" s="5911"/>
      <c r="DB31" s="6038"/>
      <c r="DC31" s="450"/>
      <c r="DD31" s="444"/>
    </row>
    <row r="32" spans="1:108" ht="12" customHeight="1" x14ac:dyDescent="0.2">
      <c r="A32" s="444"/>
      <c r="B32" s="1223"/>
      <c r="C32" s="1851">
        <v>240</v>
      </c>
      <c r="D32" s="6034" t="s">
        <v>6395</v>
      </c>
      <c r="E32" s="5982"/>
      <c r="F32" s="6035" t="str">
        <f>IF(C24=0,"",VLOOKUP(C24,'Tablas psiquica'!$D$7:$R$145,12,FALSE))</f>
        <v/>
      </c>
      <c r="G32" s="5664"/>
      <c r="H32" s="5664"/>
      <c r="I32" s="5701"/>
      <c r="J32" s="745"/>
      <c r="K32" s="1851">
        <v>240</v>
      </c>
      <c r="L32" s="6034" t="s">
        <v>6395</v>
      </c>
      <c r="M32" s="5982"/>
      <c r="N32" s="6035" t="str">
        <f>IF(K24=0,"",VLOOKUP(K24,'Tablas psiquica'!$D$7:$R$145,12,FALSE))</f>
        <v/>
      </c>
      <c r="O32" s="5664"/>
      <c r="P32" s="5664"/>
      <c r="Q32" s="5701"/>
      <c r="R32" s="1223"/>
      <c r="S32" s="1851">
        <v>240</v>
      </c>
      <c r="T32" s="6034" t="s">
        <v>6395</v>
      </c>
      <c r="U32" s="5982"/>
      <c r="V32" s="6035" t="str">
        <f>IF(S24=0,"",VLOOKUP(S24,'Tablas psiquica'!$D$7:$R$145,12,FALSE))</f>
        <v/>
      </c>
      <c r="W32" s="5664"/>
      <c r="X32" s="5664"/>
      <c r="Y32" s="5701"/>
      <c r="Z32" s="450"/>
      <c r="AA32" s="444"/>
      <c r="AB32" s="444"/>
      <c r="AC32" s="1223"/>
      <c r="AD32" s="1851">
        <v>240</v>
      </c>
      <c r="AE32" s="6034" t="s">
        <v>6395</v>
      </c>
      <c r="AF32" s="5982"/>
      <c r="AG32" s="6035" t="str">
        <f>IF(AD24=0,"",VLOOKUP(AD24,'Tablas psiquica'!$D$7:$R$145,12,FALSE))</f>
        <v/>
      </c>
      <c r="AH32" s="5664"/>
      <c r="AI32" s="5664"/>
      <c r="AJ32" s="5701"/>
      <c r="AK32" s="745"/>
      <c r="AL32" s="1851">
        <v>240</v>
      </c>
      <c r="AM32" s="6034" t="s">
        <v>6395</v>
      </c>
      <c r="AN32" s="5982"/>
      <c r="AO32" s="6035" t="str">
        <f>IF(AL24=0,"",VLOOKUP(AL24,'Tablas psiquica'!$D$7:$R$145,12,FALSE))</f>
        <v/>
      </c>
      <c r="AP32" s="5664"/>
      <c r="AQ32" s="5664"/>
      <c r="AR32" s="5701"/>
      <c r="AS32" s="1223"/>
      <c r="AT32" s="1851">
        <v>240</v>
      </c>
      <c r="AU32" s="6034" t="s">
        <v>6395</v>
      </c>
      <c r="AV32" s="5982"/>
      <c r="AW32" s="6035" t="str">
        <f>IF(AT24=0,"",VLOOKUP(AT24,'Tablas psiquica'!$D$7:$R$145,12,FALSE))</f>
        <v/>
      </c>
      <c r="AX32" s="5664"/>
      <c r="AY32" s="5664"/>
      <c r="AZ32" s="5701"/>
      <c r="BA32" s="450"/>
      <c r="BB32" s="444"/>
      <c r="BC32" s="444"/>
      <c r="BD32" s="1223"/>
      <c r="BE32" s="1851">
        <v>240</v>
      </c>
      <c r="BF32" s="6034" t="s">
        <v>6395</v>
      </c>
      <c r="BG32" s="5982"/>
      <c r="BH32" s="6035" t="str">
        <f>IF(BE24=0,"",VLOOKUP(BE24,'Tablas psiquica'!$D$7:$R$145,12,FALSE))</f>
        <v/>
      </c>
      <c r="BI32" s="5664"/>
      <c r="BJ32" s="5664"/>
      <c r="BK32" s="5701"/>
      <c r="BL32" s="745"/>
      <c r="BM32" s="1851">
        <v>240</v>
      </c>
      <c r="BN32" s="6034" t="s">
        <v>6395</v>
      </c>
      <c r="BO32" s="5982"/>
      <c r="BP32" s="6035" t="str">
        <f>IF(BM24=0,"",VLOOKUP(BM24,'Tablas psiquica'!$D$7:$R$145,12,FALSE))</f>
        <v/>
      </c>
      <c r="BQ32" s="5664"/>
      <c r="BR32" s="5664"/>
      <c r="BS32" s="5701"/>
      <c r="BT32" s="1223"/>
      <c r="BU32" s="1851">
        <v>240</v>
      </c>
      <c r="BV32" s="6034" t="s">
        <v>6395</v>
      </c>
      <c r="BW32" s="5982"/>
      <c r="BX32" s="6035" t="str">
        <f>IF(BU24=0,"",VLOOKUP(BU24,'Tablas psiquica'!$D$7:$R$145,12,FALSE))</f>
        <v/>
      </c>
      <c r="BY32" s="5664"/>
      <c r="BZ32" s="5664"/>
      <c r="CA32" s="5701"/>
      <c r="CB32" s="450"/>
      <c r="CC32" s="444"/>
      <c r="CD32" s="444"/>
      <c r="CE32" s="1223"/>
      <c r="CF32" s="1851">
        <v>240</v>
      </c>
      <c r="CG32" s="6034" t="s">
        <v>6395</v>
      </c>
      <c r="CH32" s="5982"/>
      <c r="CI32" s="6035" t="str">
        <f>IF(CF24=0,"",VLOOKUP(CF24,'Tablas psiquica'!$D$7:$R$145,12,FALSE))</f>
        <v/>
      </c>
      <c r="CJ32" s="5664"/>
      <c r="CK32" s="5664"/>
      <c r="CL32" s="5701"/>
      <c r="CM32" s="745"/>
      <c r="CN32" s="1851">
        <v>240</v>
      </c>
      <c r="CO32" s="6034" t="s">
        <v>6395</v>
      </c>
      <c r="CP32" s="5982"/>
      <c r="CQ32" s="6035" t="str">
        <f>IF(CN24=0,"",VLOOKUP(CN24,'Tablas psiquica'!$D$7:$R$145,12,FALSE))</f>
        <v/>
      </c>
      <c r="CR32" s="5664"/>
      <c r="CS32" s="5664"/>
      <c r="CT32" s="5701"/>
      <c r="CU32" s="1223"/>
      <c r="CV32" s="1851">
        <v>240</v>
      </c>
      <c r="CW32" s="6034" t="s">
        <v>6395</v>
      </c>
      <c r="CX32" s="5982"/>
      <c r="CY32" s="6035" t="str">
        <f>IF(CV24=0,"",VLOOKUP(CV24,'Tablas psiquica'!$D$7:$R$145,12,FALSE))</f>
        <v/>
      </c>
      <c r="CZ32" s="5664"/>
      <c r="DA32" s="5664"/>
      <c r="DB32" s="5701"/>
      <c r="DC32" s="450"/>
      <c r="DD32" s="444"/>
    </row>
    <row r="33" spans="1:108" ht="12" customHeight="1" x14ac:dyDescent="0.2">
      <c r="A33" s="444"/>
      <c r="B33" s="1223"/>
      <c r="C33" s="1850">
        <v>280</v>
      </c>
      <c r="D33" s="6036" t="s">
        <v>1747</v>
      </c>
      <c r="E33" s="5977"/>
      <c r="F33" s="6037" t="str">
        <f>IF(C24=0,"",VLOOKUP(C24,'Tablas psiquica'!$D$7:$R$145,13,FALSE))</f>
        <v/>
      </c>
      <c r="G33" s="5911"/>
      <c r="H33" s="5911"/>
      <c r="I33" s="6038"/>
      <c r="J33" s="745"/>
      <c r="K33" s="1850">
        <v>280</v>
      </c>
      <c r="L33" s="6036" t="s">
        <v>1747</v>
      </c>
      <c r="M33" s="5977"/>
      <c r="N33" s="6037" t="str">
        <f>IF(K24=0,"",VLOOKUP(K24,'Tablas psiquica'!$D$7:$R$145,13,FALSE))</f>
        <v/>
      </c>
      <c r="O33" s="5911"/>
      <c r="P33" s="5911"/>
      <c r="Q33" s="6038"/>
      <c r="R33" s="1223"/>
      <c r="S33" s="1850">
        <v>280</v>
      </c>
      <c r="T33" s="6036" t="s">
        <v>1747</v>
      </c>
      <c r="U33" s="5977"/>
      <c r="V33" s="6037" t="str">
        <f>IF(S24=0,"",VLOOKUP(S24,'Tablas psiquica'!$D$7:$R$145,13,FALSE))</f>
        <v/>
      </c>
      <c r="W33" s="5911"/>
      <c r="X33" s="5911"/>
      <c r="Y33" s="6038"/>
      <c r="Z33" s="450"/>
      <c r="AA33" s="444"/>
      <c r="AB33" s="444"/>
      <c r="AC33" s="1223"/>
      <c r="AD33" s="1850">
        <v>280</v>
      </c>
      <c r="AE33" s="6036" t="s">
        <v>1747</v>
      </c>
      <c r="AF33" s="5977"/>
      <c r="AG33" s="6037" t="str">
        <f>IF(AD24=0,"",VLOOKUP(AD24,'Tablas psiquica'!$D$7:$R$145,13,FALSE))</f>
        <v/>
      </c>
      <c r="AH33" s="5911"/>
      <c r="AI33" s="5911"/>
      <c r="AJ33" s="6038"/>
      <c r="AK33" s="745"/>
      <c r="AL33" s="1850">
        <v>280</v>
      </c>
      <c r="AM33" s="6036" t="s">
        <v>1747</v>
      </c>
      <c r="AN33" s="5977"/>
      <c r="AO33" s="6037" t="str">
        <f>IF(AL24=0,"",VLOOKUP(AL24,'Tablas psiquica'!$D$7:$R$145,13,FALSE))</f>
        <v/>
      </c>
      <c r="AP33" s="5911"/>
      <c r="AQ33" s="5911"/>
      <c r="AR33" s="6038"/>
      <c r="AS33" s="1223"/>
      <c r="AT33" s="1850">
        <v>280</v>
      </c>
      <c r="AU33" s="6036" t="s">
        <v>1747</v>
      </c>
      <c r="AV33" s="5977"/>
      <c r="AW33" s="6037" t="str">
        <f>IF(AT24=0,"",VLOOKUP(AT24,'Tablas psiquica'!$D$7:$R$145,13,FALSE))</f>
        <v/>
      </c>
      <c r="AX33" s="5911"/>
      <c r="AY33" s="5911"/>
      <c r="AZ33" s="6038"/>
      <c r="BA33" s="450"/>
      <c r="BB33" s="444"/>
      <c r="BC33" s="444"/>
      <c r="BD33" s="1223"/>
      <c r="BE33" s="1850">
        <v>280</v>
      </c>
      <c r="BF33" s="6036" t="s">
        <v>1747</v>
      </c>
      <c r="BG33" s="5977"/>
      <c r="BH33" s="6037" t="str">
        <f>IF(BE24=0,"",VLOOKUP(BE24,'Tablas psiquica'!$D$7:$R$145,13,FALSE))</f>
        <v/>
      </c>
      <c r="BI33" s="5911"/>
      <c r="BJ33" s="5911"/>
      <c r="BK33" s="6038"/>
      <c r="BL33" s="745"/>
      <c r="BM33" s="1850">
        <v>280</v>
      </c>
      <c r="BN33" s="6036" t="s">
        <v>1747</v>
      </c>
      <c r="BO33" s="5977"/>
      <c r="BP33" s="6037" t="str">
        <f>IF(BM24=0,"",VLOOKUP(BM24,'Tablas psiquica'!$D$7:$R$145,13,FALSE))</f>
        <v/>
      </c>
      <c r="BQ33" s="5911"/>
      <c r="BR33" s="5911"/>
      <c r="BS33" s="6038"/>
      <c r="BT33" s="1223"/>
      <c r="BU33" s="1850">
        <v>280</v>
      </c>
      <c r="BV33" s="6036" t="s">
        <v>1747</v>
      </c>
      <c r="BW33" s="5977"/>
      <c r="BX33" s="6037" t="str">
        <f>IF(BU24=0,"",VLOOKUP(BU24,'Tablas psiquica'!$D$7:$R$145,13,FALSE))</f>
        <v/>
      </c>
      <c r="BY33" s="5911"/>
      <c r="BZ33" s="5911"/>
      <c r="CA33" s="6038"/>
      <c r="CB33" s="450"/>
      <c r="CC33" s="444"/>
      <c r="CD33" s="444"/>
      <c r="CE33" s="1223"/>
      <c r="CF33" s="1850">
        <v>280</v>
      </c>
      <c r="CG33" s="6036" t="s">
        <v>1747</v>
      </c>
      <c r="CH33" s="5977"/>
      <c r="CI33" s="6037" t="str">
        <f>IF(CF24=0,"",VLOOKUP(CF24,'Tablas psiquica'!$D$7:$R$145,13,FALSE))</f>
        <v/>
      </c>
      <c r="CJ33" s="5911"/>
      <c r="CK33" s="5911"/>
      <c r="CL33" s="6038"/>
      <c r="CM33" s="745"/>
      <c r="CN33" s="1850">
        <v>280</v>
      </c>
      <c r="CO33" s="6036" t="s">
        <v>1747</v>
      </c>
      <c r="CP33" s="5977"/>
      <c r="CQ33" s="6037" t="str">
        <f>IF(CN24=0,"",VLOOKUP(CN24,'Tablas psiquica'!$D$7:$R$145,13,FALSE))</f>
        <v/>
      </c>
      <c r="CR33" s="5911"/>
      <c r="CS33" s="5911"/>
      <c r="CT33" s="6038"/>
      <c r="CU33" s="1223"/>
      <c r="CV33" s="1850">
        <v>280</v>
      </c>
      <c r="CW33" s="6036" t="s">
        <v>1747</v>
      </c>
      <c r="CX33" s="5977"/>
      <c r="CY33" s="6037" t="str">
        <f>IF(CV24=0,"",VLOOKUP(CV24,'Tablas psiquica'!$D$7:$R$145,13,FALSE))</f>
        <v/>
      </c>
      <c r="CZ33" s="5911"/>
      <c r="DA33" s="5911"/>
      <c r="DB33" s="6038"/>
      <c r="DC33" s="450"/>
      <c r="DD33" s="444"/>
    </row>
    <row r="34" spans="1:108" ht="12" customHeight="1" x14ac:dyDescent="0.2">
      <c r="A34" s="444"/>
      <c r="B34" s="1223"/>
      <c r="C34" s="1851">
        <v>320</v>
      </c>
      <c r="D34" s="6034" t="s">
        <v>1749</v>
      </c>
      <c r="E34" s="5982"/>
      <c r="F34" s="6035" t="str">
        <f>IF(C24=0,"",VLOOKUP(C24,'Tablas psiquica'!$D$7:$R$145,14,FALSE))</f>
        <v/>
      </c>
      <c r="G34" s="5664"/>
      <c r="H34" s="5664"/>
      <c r="I34" s="5701"/>
      <c r="J34" s="745"/>
      <c r="K34" s="1851">
        <v>320</v>
      </c>
      <c r="L34" s="6034" t="s">
        <v>1749</v>
      </c>
      <c r="M34" s="5982"/>
      <c r="N34" s="6035" t="str">
        <f>IF(K24=0,"",VLOOKUP(K24,'Tablas psiquica'!$D$7:$R$145,14,FALSE))</f>
        <v/>
      </c>
      <c r="O34" s="5664"/>
      <c r="P34" s="5664"/>
      <c r="Q34" s="5701"/>
      <c r="R34" s="1223"/>
      <c r="S34" s="1851">
        <v>320</v>
      </c>
      <c r="T34" s="6034" t="s">
        <v>1749</v>
      </c>
      <c r="U34" s="5982"/>
      <c r="V34" s="6035" t="str">
        <f>IF(S24=0,"",VLOOKUP(S24,'Tablas psiquica'!$D$7:$R$145,14,FALSE))</f>
        <v/>
      </c>
      <c r="W34" s="5664"/>
      <c r="X34" s="5664"/>
      <c r="Y34" s="5701"/>
      <c r="Z34" s="450"/>
      <c r="AA34" s="444"/>
      <c r="AB34" s="444"/>
      <c r="AC34" s="1223"/>
      <c r="AD34" s="1851">
        <v>320</v>
      </c>
      <c r="AE34" s="6034" t="s">
        <v>1749</v>
      </c>
      <c r="AF34" s="5982"/>
      <c r="AG34" s="6035" t="str">
        <f>IF(AD24=0,"",VLOOKUP(AD24,'Tablas psiquica'!$D$7:$R$145,14,FALSE))</f>
        <v/>
      </c>
      <c r="AH34" s="5664"/>
      <c r="AI34" s="5664"/>
      <c r="AJ34" s="5701"/>
      <c r="AK34" s="745"/>
      <c r="AL34" s="1851">
        <v>320</v>
      </c>
      <c r="AM34" s="6034" t="s">
        <v>1749</v>
      </c>
      <c r="AN34" s="5982"/>
      <c r="AO34" s="6035" t="str">
        <f>IF(AL24=0,"",VLOOKUP(AL24,'Tablas psiquica'!$D$7:$R$145,14,FALSE))</f>
        <v/>
      </c>
      <c r="AP34" s="5664"/>
      <c r="AQ34" s="5664"/>
      <c r="AR34" s="5701"/>
      <c r="AS34" s="1223"/>
      <c r="AT34" s="1851">
        <v>320</v>
      </c>
      <c r="AU34" s="6034" t="s">
        <v>1749</v>
      </c>
      <c r="AV34" s="5982"/>
      <c r="AW34" s="6035" t="str">
        <f>IF(AT24=0,"",VLOOKUP(AT24,'Tablas psiquica'!$D$7:$R$145,14,FALSE))</f>
        <v/>
      </c>
      <c r="AX34" s="5664"/>
      <c r="AY34" s="5664"/>
      <c r="AZ34" s="5701"/>
      <c r="BA34" s="450"/>
      <c r="BB34" s="444"/>
      <c r="BC34" s="444"/>
      <c r="BD34" s="1223"/>
      <c r="BE34" s="1851">
        <v>320</v>
      </c>
      <c r="BF34" s="6034" t="s">
        <v>1749</v>
      </c>
      <c r="BG34" s="5982"/>
      <c r="BH34" s="6035" t="str">
        <f>IF(BE24=0,"",VLOOKUP(BE24,'Tablas psiquica'!$D$7:$R$145,14,FALSE))</f>
        <v/>
      </c>
      <c r="BI34" s="5664"/>
      <c r="BJ34" s="5664"/>
      <c r="BK34" s="5701"/>
      <c r="BL34" s="745"/>
      <c r="BM34" s="1851">
        <v>320</v>
      </c>
      <c r="BN34" s="6034" t="s">
        <v>1749</v>
      </c>
      <c r="BO34" s="5982"/>
      <c r="BP34" s="6035" t="str">
        <f>IF(BM24=0,"",VLOOKUP(BM24,'Tablas psiquica'!$D$7:$R$145,14,FALSE))</f>
        <v/>
      </c>
      <c r="BQ34" s="5664"/>
      <c r="BR34" s="5664"/>
      <c r="BS34" s="5701"/>
      <c r="BT34" s="1223"/>
      <c r="BU34" s="1851">
        <v>320</v>
      </c>
      <c r="BV34" s="6034" t="s">
        <v>1749</v>
      </c>
      <c r="BW34" s="5982"/>
      <c r="BX34" s="6035" t="str">
        <f>IF(BU24=0,"",VLOOKUP(BU24,'Tablas psiquica'!$D$7:$R$145,14,FALSE))</f>
        <v/>
      </c>
      <c r="BY34" s="5664"/>
      <c r="BZ34" s="5664"/>
      <c r="CA34" s="5701"/>
      <c r="CB34" s="450"/>
      <c r="CC34" s="444"/>
      <c r="CD34" s="444"/>
      <c r="CE34" s="1223"/>
      <c r="CF34" s="1851">
        <v>320</v>
      </c>
      <c r="CG34" s="6034" t="s">
        <v>1749</v>
      </c>
      <c r="CH34" s="5982"/>
      <c r="CI34" s="6035" t="str">
        <f>IF(CF24=0,"",VLOOKUP(CF24,'Tablas psiquica'!$D$7:$R$145,14,FALSE))</f>
        <v/>
      </c>
      <c r="CJ34" s="5664"/>
      <c r="CK34" s="5664"/>
      <c r="CL34" s="5701"/>
      <c r="CM34" s="745"/>
      <c r="CN34" s="1851">
        <v>320</v>
      </c>
      <c r="CO34" s="6034" t="s">
        <v>1749</v>
      </c>
      <c r="CP34" s="5982"/>
      <c r="CQ34" s="6035" t="str">
        <f>IF(CN24=0,"",VLOOKUP(CN24,'Tablas psiquica'!$D$7:$R$145,14,FALSE))</f>
        <v/>
      </c>
      <c r="CR34" s="5664"/>
      <c r="CS34" s="5664"/>
      <c r="CT34" s="5701"/>
      <c r="CU34" s="1223"/>
      <c r="CV34" s="1851">
        <v>320</v>
      </c>
      <c r="CW34" s="6034" t="s">
        <v>1749</v>
      </c>
      <c r="CX34" s="5982"/>
      <c r="CY34" s="6035" t="str">
        <f>IF(CV24=0,"",VLOOKUP(CV24,'Tablas psiquica'!$D$7:$R$145,14,FALSE))</f>
        <v/>
      </c>
      <c r="CZ34" s="5664"/>
      <c r="DA34" s="5664"/>
      <c r="DB34" s="5701"/>
      <c r="DC34" s="450"/>
      <c r="DD34" s="444"/>
    </row>
    <row r="35" spans="1:108" ht="12" customHeight="1" x14ac:dyDescent="0.2">
      <c r="A35" s="444"/>
      <c r="B35" s="1223"/>
      <c r="C35" s="476">
        <v>440</v>
      </c>
      <c r="D35" s="6032" t="s">
        <v>1692</v>
      </c>
      <c r="E35" s="6033"/>
      <c r="F35" s="6029" t="str">
        <f>IF(C24=0,"",VLOOKUP(C24,'Tablas psiquica'!$D$7:$R$145,15,FALSE))</f>
        <v/>
      </c>
      <c r="G35" s="6030"/>
      <c r="H35" s="6030"/>
      <c r="I35" s="6031"/>
      <c r="J35" s="745"/>
      <c r="K35" s="476">
        <v>440</v>
      </c>
      <c r="L35" s="6032" t="s">
        <v>1692</v>
      </c>
      <c r="M35" s="6033"/>
      <c r="N35" s="6029" t="str">
        <f>IF(K24=0,"",VLOOKUP(K24,'Tablas psiquica'!$D$7:$R$145,15,FALSE))</f>
        <v/>
      </c>
      <c r="O35" s="6030"/>
      <c r="P35" s="6030"/>
      <c r="Q35" s="6031"/>
      <c r="R35" s="1223"/>
      <c r="S35" s="476">
        <v>440</v>
      </c>
      <c r="T35" s="6032" t="s">
        <v>1692</v>
      </c>
      <c r="U35" s="6033"/>
      <c r="V35" s="6029" t="str">
        <f>IF(S24=0,"",VLOOKUP(S24,'Tablas psiquica'!$D$7:$R$145,15,FALSE))</f>
        <v/>
      </c>
      <c r="W35" s="6030"/>
      <c r="X35" s="6030"/>
      <c r="Y35" s="6031"/>
      <c r="Z35" s="450"/>
      <c r="AA35" s="444"/>
      <c r="AB35" s="444"/>
      <c r="AC35" s="1223"/>
      <c r="AD35" s="476">
        <v>440</v>
      </c>
      <c r="AE35" s="6032" t="s">
        <v>1692</v>
      </c>
      <c r="AF35" s="6033"/>
      <c r="AG35" s="6029" t="str">
        <f>IF(AD24=0,"",VLOOKUP(AD24,'Tablas psiquica'!$D$7:$R$145,15,FALSE))</f>
        <v/>
      </c>
      <c r="AH35" s="6030"/>
      <c r="AI35" s="6030"/>
      <c r="AJ35" s="6031"/>
      <c r="AK35" s="745"/>
      <c r="AL35" s="476">
        <v>440</v>
      </c>
      <c r="AM35" s="6032" t="s">
        <v>1692</v>
      </c>
      <c r="AN35" s="6033"/>
      <c r="AO35" s="6029" t="str">
        <f>IF(AL24=0,"",VLOOKUP(AL24,'Tablas psiquica'!$D$7:$R$145,15,FALSE))</f>
        <v/>
      </c>
      <c r="AP35" s="6030"/>
      <c r="AQ35" s="6030"/>
      <c r="AR35" s="6031"/>
      <c r="AS35" s="1223"/>
      <c r="AT35" s="476">
        <v>440</v>
      </c>
      <c r="AU35" s="6032" t="s">
        <v>1692</v>
      </c>
      <c r="AV35" s="6033"/>
      <c r="AW35" s="6029" t="str">
        <f>IF(AT24=0,"",VLOOKUP(AT24,'Tablas psiquica'!$D$7:$R$145,15,FALSE))</f>
        <v/>
      </c>
      <c r="AX35" s="6030"/>
      <c r="AY35" s="6030"/>
      <c r="AZ35" s="6031"/>
      <c r="BA35" s="450"/>
      <c r="BB35" s="444"/>
      <c r="BC35" s="444"/>
      <c r="BD35" s="1223"/>
      <c r="BE35" s="476">
        <v>440</v>
      </c>
      <c r="BF35" s="6032" t="s">
        <v>1692</v>
      </c>
      <c r="BG35" s="6033"/>
      <c r="BH35" s="6029" t="str">
        <f>IF(BE24=0,"",VLOOKUP(BE24,'Tablas psiquica'!$D$7:$R$145,15,FALSE))</f>
        <v/>
      </c>
      <c r="BI35" s="6030"/>
      <c r="BJ35" s="6030"/>
      <c r="BK35" s="6031"/>
      <c r="BL35" s="745"/>
      <c r="BM35" s="476">
        <v>440</v>
      </c>
      <c r="BN35" s="6032" t="s">
        <v>1692</v>
      </c>
      <c r="BO35" s="6033"/>
      <c r="BP35" s="6029" t="str">
        <f>IF(BM24=0,"",VLOOKUP(BM24,'Tablas psiquica'!$D$7:$R$145,15,FALSE))</f>
        <v/>
      </c>
      <c r="BQ35" s="6030"/>
      <c r="BR35" s="6030"/>
      <c r="BS35" s="6031"/>
      <c r="BT35" s="1223"/>
      <c r="BU35" s="476">
        <v>440</v>
      </c>
      <c r="BV35" s="6032" t="s">
        <v>1692</v>
      </c>
      <c r="BW35" s="6033"/>
      <c r="BX35" s="6029" t="str">
        <f>IF(BU24=0,"",VLOOKUP(BU24,'Tablas psiquica'!$D$7:$R$145,15,FALSE))</f>
        <v/>
      </c>
      <c r="BY35" s="6030"/>
      <c r="BZ35" s="6030"/>
      <c r="CA35" s="6031"/>
      <c r="CB35" s="450"/>
      <c r="CC35" s="444"/>
      <c r="CD35" s="444"/>
      <c r="CE35" s="1223"/>
      <c r="CF35" s="476">
        <v>440</v>
      </c>
      <c r="CG35" s="6032" t="s">
        <v>1692</v>
      </c>
      <c r="CH35" s="6033"/>
      <c r="CI35" s="6029" t="str">
        <f>IF(CF24=0,"",VLOOKUP(CF24,'Tablas psiquica'!$D$7:$R$145,15,FALSE))</f>
        <v/>
      </c>
      <c r="CJ35" s="6030"/>
      <c r="CK35" s="6030"/>
      <c r="CL35" s="6031"/>
      <c r="CM35" s="745"/>
      <c r="CN35" s="476">
        <v>440</v>
      </c>
      <c r="CO35" s="6032" t="s">
        <v>1692</v>
      </c>
      <c r="CP35" s="6033"/>
      <c r="CQ35" s="6029" t="str">
        <f>IF(CN24=0,"",VLOOKUP(CN24,'Tablas psiquica'!$D$7:$R$145,15,FALSE))</f>
        <v/>
      </c>
      <c r="CR35" s="6030"/>
      <c r="CS35" s="6030"/>
      <c r="CT35" s="6031"/>
      <c r="CU35" s="1223"/>
      <c r="CV35" s="476">
        <v>440</v>
      </c>
      <c r="CW35" s="6032" t="s">
        <v>1692</v>
      </c>
      <c r="CX35" s="6033"/>
      <c r="CY35" s="6029" t="str">
        <f>IF(CV24=0,"",VLOOKUP(CV24,'Tablas psiquica'!$D$7:$R$145,15,FALSE))</f>
        <v/>
      </c>
      <c r="CZ35" s="6030"/>
      <c r="DA35" s="6030"/>
      <c r="DB35" s="6031"/>
      <c r="DC35" s="450"/>
      <c r="DD35" s="444"/>
    </row>
    <row r="36" spans="1:108" ht="12" customHeight="1" thickBot="1" x14ac:dyDescent="0.25">
      <c r="A36" s="444"/>
      <c r="B36" s="1223"/>
      <c r="C36" s="6026" t="s">
        <v>6396</v>
      </c>
      <c r="D36" s="6027"/>
      <c r="E36" s="477" t="str">
        <f>IF(C24=0,"",VLOOKUP(C24,'Tablas psiquica'!$D$7:$R$145,4,FALSE))</f>
        <v/>
      </c>
      <c r="F36" s="6028" t="s">
        <v>6391</v>
      </c>
      <c r="G36" s="6028"/>
      <c r="H36" s="4769" t="str">
        <f>IF(C24=0,"",VLOOKUP(C24,'Tablas psiquica'!$D$7:$R$145,5,FALSE))</f>
        <v/>
      </c>
      <c r="I36" s="4770"/>
      <c r="J36" s="745"/>
      <c r="K36" s="6026" t="s">
        <v>6396</v>
      </c>
      <c r="L36" s="6027"/>
      <c r="M36" s="477" t="str">
        <f>IF(K24=0,"",VLOOKUP(K24,'Tablas psiquica'!$D$7:$R$145,4,FALSE))</f>
        <v/>
      </c>
      <c r="N36" s="6028" t="s">
        <v>6391</v>
      </c>
      <c r="O36" s="6028"/>
      <c r="P36" s="4769" t="str">
        <f>IF(K24=0,"",VLOOKUP(K24,'Tablas psiquica'!$D$7:$R$145,5,FALSE))</f>
        <v/>
      </c>
      <c r="Q36" s="4770"/>
      <c r="R36" s="1223"/>
      <c r="S36" s="6026" t="s">
        <v>6396</v>
      </c>
      <c r="T36" s="6027"/>
      <c r="U36" s="477" t="str">
        <f>IF(S24=0,"",VLOOKUP(S24,'Tablas psiquica'!$D$7:$R$145,4,FALSE))</f>
        <v/>
      </c>
      <c r="V36" s="6028" t="s">
        <v>6391</v>
      </c>
      <c r="W36" s="6028"/>
      <c r="X36" s="4769" t="str">
        <f>IF(S24=0,"",VLOOKUP(S24,'Tablas psiquica'!$D$7:$R$145,5,FALSE))</f>
        <v/>
      </c>
      <c r="Y36" s="4770"/>
      <c r="Z36" s="450"/>
      <c r="AA36" s="444"/>
      <c r="AB36" s="444"/>
      <c r="AC36" s="1223"/>
      <c r="AD36" s="6026" t="s">
        <v>6396</v>
      </c>
      <c r="AE36" s="6027"/>
      <c r="AF36" s="477" t="str">
        <f>IF(AD24=0,"",VLOOKUP(AD24,'Tablas psiquica'!$D$7:$R$145,4,FALSE))</f>
        <v/>
      </c>
      <c r="AG36" s="6028" t="s">
        <v>6391</v>
      </c>
      <c r="AH36" s="6028"/>
      <c r="AI36" s="4769" t="str">
        <f>IF(AD24=0,"",VLOOKUP(AD24,'Tablas psiquica'!$D$7:$R$145,5,FALSE))</f>
        <v/>
      </c>
      <c r="AJ36" s="4770"/>
      <c r="AK36" s="745"/>
      <c r="AL36" s="6026" t="s">
        <v>6396</v>
      </c>
      <c r="AM36" s="6027"/>
      <c r="AN36" s="477" t="str">
        <f>IF(AL24=0,"",VLOOKUP(AL24,'Tablas psiquica'!$D$7:$R$145,4,FALSE))</f>
        <v/>
      </c>
      <c r="AO36" s="6028" t="s">
        <v>6391</v>
      </c>
      <c r="AP36" s="6028"/>
      <c r="AQ36" s="4769" t="str">
        <f>IF(AL24=0,"",VLOOKUP(AL24,'Tablas psiquica'!$D$7:$R$145,5,FALSE))</f>
        <v/>
      </c>
      <c r="AR36" s="4770"/>
      <c r="AS36" s="1223"/>
      <c r="AT36" s="6026" t="s">
        <v>6396</v>
      </c>
      <c r="AU36" s="6027"/>
      <c r="AV36" s="477" t="str">
        <f>IF(AT24=0,"",VLOOKUP(AT24,'Tablas psiquica'!$D$7:$R$145,4,FALSE))</f>
        <v/>
      </c>
      <c r="AW36" s="6028" t="s">
        <v>6391</v>
      </c>
      <c r="AX36" s="6028"/>
      <c r="AY36" s="4769" t="str">
        <f>IF(AT24=0,"",VLOOKUP(AT24,'Tablas psiquica'!$D$7:$R$145,5,FALSE))</f>
        <v/>
      </c>
      <c r="AZ36" s="4770"/>
      <c r="BA36" s="450"/>
      <c r="BB36" s="444"/>
      <c r="BC36" s="444"/>
      <c r="BD36" s="1223"/>
      <c r="BE36" s="6026" t="s">
        <v>6396</v>
      </c>
      <c r="BF36" s="6027"/>
      <c r="BG36" s="477" t="str">
        <f>IF(BE24=0,"",VLOOKUP(BE24,'Tablas psiquica'!$D$7:$R$145,4,FALSE))</f>
        <v/>
      </c>
      <c r="BH36" s="6028" t="s">
        <v>6391</v>
      </c>
      <c r="BI36" s="6028"/>
      <c r="BJ36" s="4769" t="str">
        <f>IF(BE24=0,"",VLOOKUP(BE24,'Tablas psiquica'!$D$7:$R$145,5,FALSE))</f>
        <v/>
      </c>
      <c r="BK36" s="4770"/>
      <c r="BL36" s="745"/>
      <c r="BM36" s="6026" t="s">
        <v>6396</v>
      </c>
      <c r="BN36" s="6027"/>
      <c r="BO36" s="477" t="str">
        <f>IF(BM24=0,"",VLOOKUP(BM24,'Tablas psiquica'!$D$7:$R$145,4,FALSE))</f>
        <v/>
      </c>
      <c r="BP36" s="6028" t="s">
        <v>6391</v>
      </c>
      <c r="BQ36" s="6028"/>
      <c r="BR36" s="4769" t="str">
        <f>IF(BM24=0,"",VLOOKUP(BM24,'Tablas psiquica'!$D$7:$R$145,5,FALSE))</f>
        <v/>
      </c>
      <c r="BS36" s="4770"/>
      <c r="BT36" s="1223"/>
      <c r="BU36" s="6026" t="s">
        <v>6396</v>
      </c>
      <c r="BV36" s="6027"/>
      <c r="BW36" s="477" t="str">
        <f>IF(BU24=0,"",VLOOKUP(BU24,'Tablas psiquica'!$D$7:$R$145,4,FALSE))</f>
        <v/>
      </c>
      <c r="BX36" s="6028" t="s">
        <v>6391</v>
      </c>
      <c r="BY36" s="6028"/>
      <c r="BZ36" s="4769" t="str">
        <f>IF(BU24=0,"",VLOOKUP(BU24,'Tablas psiquica'!$D$7:$R$145,5,FALSE))</f>
        <v/>
      </c>
      <c r="CA36" s="4770"/>
      <c r="CB36" s="450"/>
      <c r="CC36" s="444"/>
      <c r="CD36" s="444"/>
      <c r="CE36" s="1223"/>
      <c r="CF36" s="6026" t="s">
        <v>6396</v>
      </c>
      <c r="CG36" s="6027"/>
      <c r="CH36" s="477" t="str">
        <f>IF(CF24=0,"",VLOOKUP(CF24,'Tablas psiquica'!$D$7:$R$145,4,FALSE))</f>
        <v/>
      </c>
      <c r="CI36" s="6028" t="s">
        <v>6391</v>
      </c>
      <c r="CJ36" s="6028"/>
      <c r="CK36" s="4769" t="str">
        <f>IF(CF24=0,"",VLOOKUP(CF24,'Tablas psiquica'!$D$7:$R$145,5,FALSE))</f>
        <v/>
      </c>
      <c r="CL36" s="4770"/>
      <c r="CM36" s="745"/>
      <c r="CN36" s="6026" t="s">
        <v>6396</v>
      </c>
      <c r="CO36" s="6027"/>
      <c r="CP36" s="477" t="str">
        <f>IF(CN24=0,"",VLOOKUP(CN24,'Tablas psiquica'!$D$7:$R$145,4,FALSE))</f>
        <v/>
      </c>
      <c r="CQ36" s="6028" t="s">
        <v>6391</v>
      </c>
      <c r="CR36" s="6028"/>
      <c r="CS36" s="4769" t="str">
        <f>IF(CN24=0,"",VLOOKUP(CN24,'Tablas psiquica'!$D$7:$R$145,5,FALSE))</f>
        <v/>
      </c>
      <c r="CT36" s="4770"/>
      <c r="CU36" s="1223"/>
      <c r="CV36" s="6026" t="s">
        <v>6396</v>
      </c>
      <c r="CW36" s="6027"/>
      <c r="CX36" s="477" t="str">
        <f>IF(CV24=0,"",VLOOKUP(CV24,'Tablas psiquica'!$D$7:$R$145,4,FALSE))</f>
        <v/>
      </c>
      <c r="CY36" s="6028" t="s">
        <v>6391</v>
      </c>
      <c r="CZ36" s="6028"/>
      <c r="DA36" s="4769" t="str">
        <f>IF(CV24=0,"",VLOOKUP(CV24,'Tablas psiquica'!$D$7:$R$145,5,FALSE))</f>
        <v/>
      </c>
      <c r="DB36" s="4770"/>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6044">
        <f>IFERROR(INDEX('Tablas psiquica'!$U$115:$AH$129,B38,Y$7),0)</f>
        <v>0</v>
      </c>
      <c r="D38" s="6045"/>
      <c r="E38" s="6045"/>
      <c r="F38" s="6045"/>
      <c r="G38" s="6045"/>
      <c r="H38" s="6045"/>
      <c r="I38" s="475" t="s">
        <v>1411</v>
      </c>
      <c r="J38" s="745">
        <v>8</v>
      </c>
      <c r="K38" s="6044">
        <f>IFERROR(INDEX('Tablas psiquica'!$U$115:$AH$129,J38,Y$7),0)</f>
        <v>0</v>
      </c>
      <c r="L38" s="6045"/>
      <c r="M38" s="6045"/>
      <c r="N38" s="6045"/>
      <c r="O38" s="6045"/>
      <c r="P38" s="6045"/>
      <c r="Q38" s="475" t="s">
        <v>1411</v>
      </c>
      <c r="R38" s="1223">
        <v>9</v>
      </c>
      <c r="S38" s="6044">
        <f>IFERROR(INDEX('Tablas psiquica'!$U$115:$AH$129,R38,Y$7),0)</f>
        <v>0</v>
      </c>
      <c r="T38" s="6045"/>
      <c r="U38" s="6045"/>
      <c r="V38" s="6045"/>
      <c r="W38" s="6045"/>
      <c r="X38" s="6045"/>
      <c r="Y38" s="475" t="s">
        <v>1411</v>
      </c>
      <c r="Z38" s="450"/>
      <c r="AA38" s="444"/>
      <c r="AB38" s="444"/>
      <c r="AC38" s="1223">
        <v>7</v>
      </c>
      <c r="AD38" s="6044">
        <f>IFERROR(INDEX('Tablas psiquica'!$U$115:$AH$129,AC38,AZ$7),0)</f>
        <v>0</v>
      </c>
      <c r="AE38" s="6045"/>
      <c r="AF38" s="6045"/>
      <c r="AG38" s="6045"/>
      <c r="AH38" s="6045"/>
      <c r="AI38" s="6045"/>
      <c r="AJ38" s="475" t="s">
        <v>1411</v>
      </c>
      <c r="AK38" s="745">
        <v>8</v>
      </c>
      <c r="AL38" s="6044">
        <f>IFERROR(INDEX('Tablas psiquica'!$U$115:$AH$129,AK38,AZ$7),0)</f>
        <v>0</v>
      </c>
      <c r="AM38" s="6045"/>
      <c r="AN38" s="6045"/>
      <c r="AO38" s="6045"/>
      <c r="AP38" s="6045"/>
      <c r="AQ38" s="6045"/>
      <c r="AR38" s="475" t="s">
        <v>1411</v>
      </c>
      <c r="AS38" s="1223">
        <v>9</v>
      </c>
      <c r="AT38" s="6044">
        <f>IFERROR(INDEX('Tablas psiquica'!$U$115:$AH$129,AS38,AZ$7),0)</f>
        <v>0</v>
      </c>
      <c r="AU38" s="6045"/>
      <c r="AV38" s="6045"/>
      <c r="AW38" s="6045"/>
      <c r="AX38" s="6045"/>
      <c r="AY38" s="6045"/>
      <c r="AZ38" s="475" t="s">
        <v>1411</v>
      </c>
      <c r="BA38" s="450"/>
      <c r="BB38" s="444"/>
      <c r="BC38" s="444"/>
      <c r="BD38" s="1223">
        <v>7</v>
      </c>
      <c r="BE38" s="6044">
        <f>IFERROR(INDEX('Tablas psiquica'!$U$115:$AH$129,BD38,CA$7),0)</f>
        <v>0</v>
      </c>
      <c r="BF38" s="6045"/>
      <c r="BG38" s="6045"/>
      <c r="BH38" s="6045"/>
      <c r="BI38" s="6045"/>
      <c r="BJ38" s="6045"/>
      <c r="BK38" s="475" t="s">
        <v>1411</v>
      </c>
      <c r="BL38" s="745">
        <v>8</v>
      </c>
      <c r="BM38" s="6044">
        <f>IFERROR(INDEX('Tablas psiquica'!$U$115:$AH$129,BL38,CA$7),0)</f>
        <v>0</v>
      </c>
      <c r="BN38" s="6045"/>
      <c r="BO38" s="6045"/>
      <c r="BP38" s="6045"/>
      <c r="BQ38" s="6045"/>
      <c r="BR38" s="6045"/>
      <c r="BS38" s="475" t="s">
        <v>1411</v>
      </c>
      <c r="BT38" s="1223">
        <v>9</v>
      </c>
      <c r="BU38" s="6044">
        <f>IFERROR(INDEX('Tablas psiquica'!$U$115:$AH$129,BT38,CA$7),0)</f>
        <v>0</v>
      </c>
      <c r="BV38" s="6045"/>
      <c r="BW38" s="6045"/>
      <c r="BX38" s="6045"/>
      <c r="BY38" s="6045"/>
      <c r="BZ38" s="6045"/>
      <c r="CA38" s="475" t="s">
        <v>1411</v>
      </c>
      <c r="CB38" s="450"/>
      <c r="CC38" s="444"/>
      <c r="CD38" s="444"/>
      <c r="CE38" s="1223">
        <v>7</v>
      </c>
      <c r="CF38" s="6044">
        <f>IFERROR(INDEX('Tablas psiquica'!$U$115:$AH$129,CE38,DB$7),0)</f>
        <v>0</v>
      </c>
      <c r="CG38" s="6045"/>
      <c r="CH38" s="6045"/>
      <c r="CI38" s="6045"/>
      <c r="CJ38" s="6045"/>
      <c r="CK38" s="6045"/>
      <c r="CL38" s="475" t="s">
        <v>1411</v>
      </c>
      <c r="CM38" s="745">
        <v>8</v>
      </c>
      <c r="CN38" s="6044">
        <f>IFERROR(INDEX('Tablas psiquica'!$U$115:$AH$129,CM38,DB$7),0)</f>
        <v>0</v>
      </c>
      <c r="CO38" s="6045"/>
      <c r="CP38" s="6045"/>
      <c r="CQ38" s="6045"/>
      <c r="CR38" s="6045"/>
      <c r="CS38" s="6045"/>
      <c r="CT38" s="475" t="s">
        <v>1411</v>
      </c>
      <c r="CU38" s="1223">
        <v>9</v>
      </c>
      <c r="CV38" s="6044">
        <f>IFERROR(INDEX('Tablas psiquica'!$U$115:$AH$129,CU38,DB$7),0)</f>
        <v>0</v>
      </c>
      <c r="CW38" s="6045"/>
      <c r="CX38" s="6045"/>
      <c r="CY38" s="6045"/>
      <c r="CZ38" s="6045"/>
      <c r="DA38" s="6045"/>
      <c r="DB38" s="475" t="s">
        <v>1411</v>
      </c>
      <c r="DC38" s="450"/>
      <c r="DD38" s="444"/>
    </row>
    <row r="39" spans="1:108" ht="12" customHeight="1" x14ac:dyDescent="0.2">
      <c r="A39" s="444"/>
      <c r="B39" s="1223"/>
      <c r="C39" s="6039" t="str">
        <f>IF(C38=0,"",VLOOKUP(C38,'Tablas psiquica'!$D$7:$R$145,2,FALSE))</f>
        <v/>
      </c>
      <c r="D39" s="6040"/>
      <c r="E39" s="6040"/>
      <c r="F39" s="6041"/>
      <c r="G39" s="6042" t="str">
        <f>IF(C38=0,"",IF(INDEX('Tablas psiquica'!$U$114:$AH$114,1,$Y$7)=0,"No Accesible",IF(ISNA(VLOOKUP(C38,Psíquicos!$AS$17:$AS$43,1,0)),"Accesible CV","Aprendido")))</f>
        <v/>
      </c>
      <c r="H39" s="6043"/>
      <c r="I39" s="1890" t="str">
        <f>IF(C38=0,"",VLOOKUP(C38,'Tablas psiquica'!$D$7:$R$145,3,FALSE))</f>
        <v/>
      </c>
      <c r="J39" s="1008"/>
      <c r="K39" s="6039" t="str">
        <f>IF(K38=0,"",VLOOKUP(K38,'Tablas psiquica'!$D$7:$R$145,2,FALSE))</f>
        <v/>
      </c>
      <c r="L39" s="6040"/>
      <c r="M39" s="6040"/>
      <c r="N39" s="6041"/>
      <c r="O39" s="6042" t="str">
        <f>IF(K38=0,"",IF(INDEX('Tablas psiquica'!$U$114:$AH$114,1,$Y$7)=0,"No Accesible",IF(ISNA(VLOOKUP(K38,Psíquicos!$AS$17:$AS$43,1,0)),"Accesible CV","Aprendido")))</f>
        <v/>
      </c>
      <c r="P39" s="6043"/>
      <c r="Q39" s="1890" t="str">
        <f>IF(K38=0,"",VLOOKUP(K38,'Tablas psiquica'!$D$7:$R$145,3,FALSE))</f>
        <v/>
      </c>
      <c r="R39" s="1223"/>
      <c r="S39" s="6039" t="str">
        <f>IF(S38=0,"",VLOOKUP(S38,'Tablas psiquica'!$D$7:$R$145,2,FALSE))</f>
        <v/>
      </c>
      <c r="T39" s="6040"/>
      <c r="U39" s="6040"/>
      <c r="V39" s="6041"/>
      <c r="W39" s="6042" t="str">
        <f>IF(S38=0,"",IF(INDEX('Tablas psiquica'!$U$114:$AH$114,1,$Y$7)=0,"No Accesible",IF(ISNA(VLOOKUP(S38,Psíquicos!$AS$17:$AS$43,1,0)),"Accesible CV","Aprendido")))</f>
        <v/>
      </c>
      <c r="X39" s="6043"/>
      <c r="Y39" s="1890" t="str">
        <f>IF(S38=0,"",VLOOKUP(S38,'Tablas psiquica'!$D$7:$R$145,3,FALSE))</f>
        <v/>
      </c>
      <c r="Z39" s="450"/>
      <c r="AA39" s="444"/>
      <c r="AB39" s="444"/>
      <c r="AC39" s="1223"/>
      <c r="AD39" s="6039" t="str">
        <f>IF(AD38=0,"",VLOOKUP(AD38,'Tablas psiquica'!$D$7:$R$145,2,FALSE))</f>
        <v/>
      </c>
      <c r="AE39" s="6040"/>
      <c r="AF39" s="6040"/>
      <c r="AG39" s="6041"/>
      <c r="AH39" s="6042" t="str">
        <f>IF(AD38=0,"",IF(INDEX('Tablas psiquica'!$U$114:$AH$114,1,$AZ$7)=0,"No Accesible",IF(ISNA(VLOOKUP(AD38,Psíquicos!$AS$17:$AS$43,1,0)),"Accesible CV","Aprendido")))</f>
        <v/>
      </c>
      <c r="AI39" s="6043"/>
      <c r="AJ39" s="1890" t="str">
        <f>IF(AD38=0,"",VLOOKUP(AD38,'Tablas psiquica'!$D$7:$R$145,3,FALSE))</f>
        <v/>
      </c>
      <c r="AK39" s="1008"/>
      <c r="AL39" s="6039" t="str">
        <f>IF(AL38=0,"",VLOOKUP(AL38,'Tablas psiquica'!$D$7:$R$145,2,FALSE))</f>
        <v/>
      </c>
      <c r="AM39" s="6040"/>
      <c r="AN39" s="6040"/>
      <c r="AO39" s="6041"/>
      <c r="AP39" s="6042" t="str">
        <f>IF(AL38=0,"",IF(INDEX('Tablas psiquica'!$U$114:$AH$114,1,$AZ$7)=0,"No Accesible",IF(ISNA(VLOOKUP(AL38,Psíquicos!$AS$17:$AS$43,1,0)),"Accesible CV","Aprendido")))</f>
        <v/>
      </c>
      <c r="AQ39" s="6043"/>
      <c r="AR39" s="1890" t="str">
        <f>IF(AL38=0,"",VLOOKUP(AL38,'Tablas psiquica'!$D$7:$R$145,3,FALSE))</f>
        <v/>
      </c>
      <c r="AS39" s="1223"/>
      <c r="AT39" s="6039" t="str">
        <f>IF(AT38=0,"",VLOOKUP(AT38,'Tablas psiquica'!$D$7:$R$145,2,FALSE))</f>
        <v/>
      </c>
      <c r="AU39" s="6040"/>
      <c r="AV39" s="6040"/>
      <c r="AW39" s="6041"/>
      <c r="AX39" s="6042" t="str">
        <f>IF(AT38=0,"",IF(INDEX('Tablas psiquica'!$U$114:$AH$114,1,$AZ$7)=0,"No Accesible",IF(ISNA(VLOOKUP(AT38,Psíquicos!$AS$17:$AS$43,1,0)),"Accesible CV","Aprendido")))</f>
        <v/>
      </c>
      <c r="AY39" s="6043"/>
      <c r="AZ39" s="1890" t="str">
        <f>IF(AT38=0,"",VLOOKUP(AT38,'Tablas psiquica'!$D$7:$R$145,3,FALSE))</f>
        <v/>
      </c>
      <c r="BA39" s="450"/>
      <c r="BB39" s="444"/>
      <c r="BC39" s="444"/>
      <c r="BD39" s="1223"/>
      <c r="BE39" s="6039" t="str">
        <f>IF(BE38=0,"",VLOOKUP(BE38,'Tablas psiquica'!$D$7:$R$145,2,FALSE))</f>
        <v/>
      </c>
      <c r="BF39" s="6040"/>
      <c r="BG39" s="6040"/>
      <c r="BH39" s="6041"/>
      <c r="BI39" s="6042" t="str">
        <f>IF(BE38=0,"",IF(INDEX('Tablas psiquica'!$U$114:$AH$114,1,$CA$7)=0,"No Accesible",IF(ISNA(VLOOKUP(BE38,Psíquicos!$AS$17:$AS$43,1,0)),"Accesible CV","Aprendido")))</f>
        <v/>
      </c>
      <c r="BJ39" s="6043"/>
      <c r="BK39" s="1890" t="str">
        <f>IF(BE38=0,"",VLOOKUP(BE38,'Tablas psiquica'!$D$7:$R$145,3,FALSE))</f>
        <v/>
      </c>
      <c r="BL39" s="1008"/>
      <c r="BM39" s="6039" t="str">
        <f>IF(BM38=0,"",VLOOKUP(BM38,'Tablas psiquica'!$D$7:$R$145,2,FALSE))</f>
        <v/>
      </c>
      <c r="BN39" s="6040"/>
      <c r="BO39" s="6040"/>
      <c r="BP39" s="6041"/>
      <c r="BQ39" s="6042" t="str">
        <f>IF(BM38=0,"",IF(INDEX('Tablas psiquica'!$U$114:$AH$114,1,$CA$7)=0,"No Accesible",IF(ISNA(VLOOKUP(BM38,Psíquicos!$AS$17:$AS$43,1,0)),"Accesible CV","Aprendido")))</f>
        <v/>
      </c>
      <c r="BR39" s="6043"/>
      <c r="BS39" s="1890" t="str">
        <f>IF(BM38=0,"",VLOOKUP(BM38,'Tablas psiquica'!$D$7:$R$145,3,FALSE))</f>
        <v/>
      </c>
      <c r="BT39" s="1223"/>
      <c r="BU39" s="6039" t="str">
        <f>IF(BU38=0,"",VLOOKUP(BU38,'Tablas psiquica'!$D$7:$R$145,2,FALSE))</f>
        <v/>
      </c>
      <c r="BV39" s="6040"/>
      <c r="BW39" s="6040"/>
      <c r="BX39" s="6041"/>
      <c r="BY39" s="6042" t="str">
        <f>IF(BU38=0,"",IF(INDEX('Tablas psiquica'!$U$114:$AH$114,1,$CA$7)=0,"No Accesible",IF(ISNA(VLOOKUP(BU38,Psíquicos!$AS$17:$AS$43,1,0)),"Accesible CV","Aprendido")))</f>
        <v/>
      </c>
      <c r="BZ39" s="6043"/>
      <c r="CA39" s="1890" t="str">
        <f>IF(BU38=0,"",VLOOKUP(BU38,'Tablas psiquica'!$D$7:$R$145,3,FALSE))</f>
        <v/>
      </c>
      <c r="CB39" s="450"/>
      <c r="CC39" s="444"/>
      <c r="CD39" s="444"/>
      <c r="CE39" s="1223"/>
      <c r="CF39" s="6039" t="str">
        <f>IF(CF38=0,"",VLOOKUP(CF38,'Tablas psiquica'!$D$7:$R$145,2,FALSE))</f>
        <v/>
      </c>
      <c r="CG39" s="6040"/>
      <c r="CH39" s="6040"/>
      <c r="CI39" s="6041"/>
      <c r="CJ39" s="6042" t="str">
        <f>IF(CF38=0,"",IF(INDEX('Tablas psiquica'!$U$114:$AH$114,1,$DB$7)=0,"No Accesible",IF(ISNA(VLOOKUP(CF38,Psíquicos!$AS$17:$AS$43,1,0)),"Accesible CV","Aprendido")))</f>
        <v/>
      </c>
      <c r="CK39" s="6043"/>
      <c r="CL39" s="1890" t="str">
        <f>IF(CF38=0,"",VLOOKUP(CF38,'Tablas psiquica'!$D$7:$R$145,3,FALSE))</f>
        <v/>
      </c>
      <c r="CM39" s="1008"/>
      <c r="CN39" s="6039" t="str">
        <f>IF(CN38=0,"",VLOOKUP(CN38,'Tablas psiquica'!$D$7:$R$145,2,FALSE))</f>
        <v/>
      </c>
      <c r="CO39" s="6040"/>
      <c r="CP39" s="6040"/>
      <c r="CQ39" s="6041"/>
      <c r="CR39" s="6042" t="str">
        <f>IF(CN38=0,"",IF(INDEX('Tablas psiquica'!$U$114:$AH$114,1,$DB$7)=0,"No Accesible",IF(ISNA(VLOOKUP(CN38,Psíquicos!$AS$17:$AS$43,1,0)),"Accesible CV","Aprendido")))</f>
        <v/>
      </c>
      <c r="CS39" s="6043"/>
      <c r="CT39" s="1890" t="str">
        <f>IF(CN38=0,"",VLOOKUP(CN38,'Tablas psiquica'!$D$7:$R$145,3,FALSE))</f>
        <v/>
      </c>
      <c r="CU39" s="1223"/>
      <c r="CV39" s="6039" t="str">
        <f>IF(CV38=0,"",VLOOKUP(CV38,'Tablas psiquica'!$D$7:$R$145,2,FALSE))</f>
        <v/>
      </c>
      <c r="CW39" s="6040"/>
      <c r="CX39" s="6040"/>
      <c r="CY39" s="6041"/>
      <c r="CZ39" s="6042" t="str">
        <f>IF(CV38=0,"",IF(INDEX('Tablas psiquica'!$U$114:$AH$114,1,$DB$7)=0,"No Accesible",IF(ISNA(VLOOKUP(CV38,Psíquicos!$AS$17:$AS$43,1,0)),"Accesible CV","Aprendido")))</f>
        <v/>
      </c>
      <c r="DA39" s="6043"/>
      <c r="DB39" s="1890" t="str">
        <f>IF(CV38=0,"",VLOOKUP(CV38,'Tablas psiquica'!$D$7:$R$145,3,FALSE))</f>
        <v/>
      </c>
      <c r="DC39" s="450"/>
      <c r="DD39" s="444"/>
    </row>
    <row r="40" spans="1:108" ht="12" customHeight="1" x14ac:dyDescent="0.2">
      <c r="A40" s="444"/>
      <c r="B40" s="1223"/>
      <c r="C40" s="1851">
        <v>20</v>
      </c>
      <c r="D40" s="6034" t="s">
        <v>1732</v>
      </c>
      <c r="E40" s="5982"/>
      <c r="F40" s="6035" t="str">
        <f>IF(C38=0,"",VLOOKUP(C38,'Tablas psiquica'!$D$7:$R$145,6,FALSE))</f>
        <v/>
      </c>
      <c r="G40" s="5664"/>
      <c r="H40" s="5664"/>
      <c r="I40" s="5701"/>
      <c r="J40" s="745"/>
      <c r="K40" s="1851">
        <v>20</v>
      </c>
      <c r="L40" s="6034" t="s">
        <v>1732</v>
      </c>
      <c r="M40" s="5982"/>
      <c r="N40" s="6035" t="str">
        <f>IF(K38=0,"",VLOOKUP(K38,'Tablas psiquica'!$D$7:$R$145,6,FALSE))</f>
        <v/>
      </c>
      <c r="O40" s="5664"/>
      <c r="P40" s="5664"/>
      <c r="Q40" s="5701"/>
      <c r="R40" s="1223"/>
      <c r="S40" s="1851">
        <v>20</v>
      </c>
      <c r="T40" s="6034" t="s">
        <v>1732</v>
      </c>
      <c r="U40" s="5982"/>
      <c r="V40" s="6035" t="str">
        <f>IF(S38=0,"",VLOOKUP(S38,'Tablas psiquica'!$D$7:$R$145,6,FALSE))</f>
        <v/>
      </c>
      <c r="W40" s="5664"/>
      <c r="X40" s="5664"/>
      <c r="Y40" s="5701"/>
      <c r="Z40" s="450"/>
      <c r="AA40" s="444"/>
      <c r="AB40" s="444"/>
      <c r="AC40" s="1223"/>
      <c r="AD40" s="1851">
        <v>20</v>
      </c>
      <c r="AE40" s="6034" t="s">
        <v>1732</v>
      </c>
      <c r="AF40" s="5982"/>
      <c r="AG40" s="6035" t="str">
        <f>IF(AD38=0,"",VLOOKUP(AD38,'Tablas psiquica'!$D$7:$R$145,6,FALSE))</f>
        <v/>
      </c>
      <c r="AH40" s="5664"/>
      <c r="AI40" s="5664"/>
      <c r="AJ40" s="5701"/>
      <c r="AK40" s="745"/>
      <c r="AL40" s="1851">
        <v>20</v>
      </c>
      <c r="AM40" s="6034" t="s">
        <v>1732</v>
      </c>
      <c r="AN40" s="5982"/>
      <c r="AO40" s="6035" t="str">
        <f>IF(AL38=0,"",VLOOKUP(AL38,'Tablas psiquica'!$D$7:$R$145,6,FALSE))</f>
        <v/>
      </c>
      <c r="AP40" s="5664"/>
      <c r="AQ40" s="5664"/>
      <c r="AR40" s="5701"/>
      <c r="AS40" s="1223"/>
      <c r="AT40" s="1851">
        <v>20</v>
      </c>
      <c r="AU40" s="6034" t="s">
        <v>1732</v>
      </c>
      <c r="AV40" s="5982"/>
      <c r="AW40" s="6035" t="str">
        <f>IF(AT38=0,"",VLOOKUP(AT38,'Tablas psiquica'!$D$7:$R$145,6,FALSE))</f>
        <v/>
      </c>
      <c r="AX40" s="5664"/>
      <c r="AY40" s="5664"/>
      <c r="AZ40" s="5701"/>
      <c r="BA40" s="450"/>
      <c r="BB40" s="444"/>
      <c r="BC40" s="444"/>
      <c r="BD40" s="1223"/>
      <c r="BE40" s="1851">
        <v>20</v>
      </c>
      <c r="BF40" s="6034" t="s">
        <v>1732</v>
      </c>
      <c r="BG40" s="5982"/>
      <c r="BH40" s="6035" t="str">
        <f>IF(BE38=0,"",VLOOKUP(BE38,'Tablas psiquica'!$D$7:$R$145,6,FALSE))</f>
        <v/>
      </c>
      <c r="BI40" s="5664"/>
      <c r="BJ40" s="5664"/>
      <c r="BK40" s="5701"/>
      <c r="BL40" s="745"/>
      <c r="BM40" s="1851">
        <v>20</v>
      </c>
      <c r="BN40" s="6034" t="s">
        <v>1732</v>
      </c>
      <c r="BO40" s="5982"/>
      <c r="BP40" s="6035" t="str">
        <f>IF(BM38=0,"",VLOOKUP(BM38,'Tablas psiquica'!$D$7:$R$145,6,FALSE))</f>
        <v/>
      </c>
      <c r="BQ40" s="5664"/>
      <c r="BR40" s="5664"/>
      <c r="BS40" s="5701"/>
      <c r="BT40" s="1223"/>
      <c r="BU40" s="1851">
        <v>20</v>
      </c>
      <c r="BV40" s="6034" t="s">
        <v>1732</v>
      </c>
      <c r="BW40" s="5982"/>
      <c r="BX40" s="6035" t="str">
        <f>IF(BU38=0,"",VLOOKUP(BU38,'Tablas psiquica'!$D$7:$R$145,6,FALSE))</f>
        <v/>
      </c>
      <c r="BY40" s="5664"/>
      <c r="BZ40" s="5664"/>
      <c r="CA40" s="5701"/>
      <c r="CB40" s="450"/>
      <c r="CC40" s="444"/>
      <c r="CD40" s="444"/>
      <c r="CE40" s="1223"/>
      <c r="CF40" s="1851">
        <v>20</v>
      </c>
      <c r="CG40" s="6034" t="s">
        <v>1732</v>
      </c>
      <c r="CH40" s="5982"/>
      <c r="CI40" s="6035" t="str">
        <f>IF(CF38=0,"",VLOOKUP(CF38,'Tablas psiquica'!$D$7:$R$145,6,FALSE))</f>
        <v/>
      </c>
      <c r="CJ40" s="5664"/>
      <c r="CK40" s="5664"/>
      <c r="CL40" s="5701"/>
      <c r="CM40" s="745"/>
      <c r="CN40" s="1851">
        <v>20</v>
      </c>
      <c r="CO40" s="6034" t="s">
        <v>1732</v>
      </c>
      <c r="CP40" s="5982"/>
      <c r="CQ40" s="6035" t="str">
        <f>IF(CN38=0,"",VLOOKUP(CN38,'Tablas psiquica'!$D$7:$R$145,6,FALSE))</f>
        <v/>
      </c>
      <c r="CR40" s="5664"/>
      <c r="CS40" s="5664"/>
      <c r="CT40" s="5701"/>
      <c r="CU40" s="1223"/>
      <c r="CV40" s="1851">
        <v>20</v>
      </c>
      <c r="CW40" s="6034" t="s">
        <v>1732</v>
      </c>
      <c r="CX40" s="5982"/>
      <c r="CY40" s="6035" t="str">
        <f>IF(CV38=0,"",VLOOKUP(CV38,'Tablas psiquica'!$D$7:$R$145,6,FALSE))</f>
        <v/>
      </c>
      <c r="CZ40" s="5664"/>
      <c r="DA40" s="5664"/>
      <c r="DB40" s="5701"/>
      <c r="DC40" s="450"/>
      <c r="DD40" s="444"/>
    </row>
    <row r="41" spans="1:108" ht="12" customHeight="1" x14ac:dyDescent="0.2">
      <c r="A41" s="444"/>
      <c r="B41" s="1223"/>
      <c r="C41" s="1850">
        <v>40</v>
      </c>
      <c r="D41" s="6036" t="s">
        <v>1734</v>
      </c>
      <c r="E41" s="5977"/>
      <c r="F41" s="6037" t="str">
        <f>IF(C38=0,"",VLOOKUP(C38,'Tablas psiquica'!$D$7:$R$145,7,FALSE))</f>
        <v/>
      </c>
      <c r="G41" s="5911"/>
      <c r="H41" s="5911"/>
      <c r="I41" s="6038"/>
      <c r="J41" s="745"/>
      <c r="K41" s="1850">
        <v>40</v>
      </c>
      <c r="L41" s="6036" t="s">
        <v>1734</v>
      </c>
      <c r="M41" s="5977"/>
      <c r="N41" s="6037" t="str">
        <f>IF(K38=0,"",VLOOKUP(K38,'Tablas psiquica'!$D$7:$R$145,7,FALSE))</f>
        <v/>
      </c>
      <c r="O41" s="5911"/>
      <c r="P41" s="5911"/>
      <c r="Q41" s="6038"/>
      <c r="R41" s="1223"/>
      <c r="S41" s="1850">
        <v>40</v>
      </c>
      <c r="T41" s="6036" t="s">
        <v>1734</v>
      </c>
      <c r="U41" s="5977"/>
      <c r="V41" s="6037" t="str">
        <f>IF(S38=0,"",VLOOKUP(S38,'Tablas psiquica'!$D$7:$R$145,7,FALSE))</f>
        <v/>
      </c>
      <c r="W41" s="5911"/>
      <c r="X41" s="5911"/>
      <c r="Y41" s="6038"/>
      <c r="Z41" s="450"/>
      <c r="AA41" s="444"/>
      <c r="AB41" s="444"/>
      <c r="AC41" s="1223"/>
      <c r="AD41" s="1850">
        <v>40</v>
      </c>
      <c r="AE41" s="6036" t="s">
        <v>1734</v>
      </c>
      <c r="AF41" s="5977"/>
      <c r="AG41" s="6037" t="str">
        <f>IF(AD38=0,"",VLOOKUP(AD38,'Tablas psiquica'!$D$7:$R$145,7,FALSE))</f>
        <v/>
      </c>
      <c r="AH41" s="5911"/>
      <c r="AI41" s="5911"/>
      <c r="AJ41" s="6038"/>
      <c r="AK41" s="745"/>
      <c r="AL41" s="1850">
        <v>40</v>
      </c>
      <c r="AM41" s="6036" t="s">
        <v>1734</v>
      </c>
      <c r="AN41" s="5977"/>
      <c r="AO41" s="6037" t="str">
        <f>IF(AL38=0,"",VLOOKUP(AL38,'Tablas psiquica'!$D$7:$R$145,7,FALSE))</f>
        <v/>
      </c>
      <c r="AP41" s="5911"/>
      <c r="AQ41" s="5911"/>
      <c r="AR41" s="6038"/>
      <c r="AS41" s="1223"/>
      <c r="AT41" s="1850">
        <v>40</v>
      </c>
      <c r="AU41" s="6036" t="s">
        <v>1734</v>
      </c>
      <c r="AV41" s="5977"/>
      <c r="AW41" s="6037" t="str">
        <f>IF(AT38=0,"",VLOOKUP(AT38,'Tablas psiquica'!$D$7:$R$145,7,FALSE))</f>
        <v/>
      </c>
      <c r="AX41" s="5911"/>
      <c r="AY41" s="5911"/>
      <c r="AZ41" s="6038"/>
      <c r="BA41" s="450"/>
      <c r="BB41" s="444"/>
      <c r="BC41" s="444"/>
      <c r="BD41" s="1223"/>
      <c r="BE41" s="1850">
        <v>40</v>
      </c>
      <c r="BF41" s="6036" t="s">
        <v>1734</v>
      </c>
      <c r="BG41" s="5977"/>
      <c r="BH41" s="6037" t="str">
        <f>IF(BE38=0,"",VLOOKUP(BE38,'Tablas psiquica'!$D$7:$R$145,7,FALSE))</f>
        <v/>
      </c>
      <c r="BI41" s="5911"/>
      <c r="BJ41" s="5911"/>
      <c r="BK41" s="6038"/>
      <c r="BL41" s="745"/>
      <c r="BM41" s="1850">
        <v>40</v>
      </c>
      <c r="BN41" s="6036" t="s">
        <v>1734</v>
      </c>
      <c r="BO41" s="5977"/>
      <c r="BP41" s="6037" t="str">
        <f>IF(BM38=0,"",VLOOKUP(BM38,'Tablas psiquica'!$D$7:$R$145,7,FALSE))</f>
        <v/>
      </c>
      <c r="BQ41" s="5911"/>
      <c r="BR41" s="5911"/>
      <c r="BS41" s="6038"/>
      <c r="BT41" s="1223"/>
      <c r="BU41" s="1850">
        <v>40</v>
      </c>
      <c r="BV41" s="6036" t="s">
        <v>1734</v>
      </c>
      <c r="BW41" s="5977"/>
      <c r="BX41" s="6037" t="str">
        <f>IF(BU38=0,"",VLOOKUP(BU38,'Tablas psiquica'!$D$7:$R$145,7,FALSE))</f>
        <v/>
      </c>
      <c r="BY41" s="5911"/>
      <c r="BZ41" s="5911"/>
      <c r="CA41" s="6038"/>
      <c r="CB41" s="450"/>
      <c r="CC41" s="444"/>
      <c r="CD41" s="444"/>
      <c r="CE41" s="1223"/>
      <c r="CF41" s="1850">
        <v>40</v>
      </c>
      <c r="CG41" s="6036" t="s">
        <v>1734</v>
      </c>
      <c r="CH41" s="5977"/>
      <c r="CI41" s="6037" t="str">
        <f>IF(CF38=0,"",VLOOKUP(CF38,'Tablas psiquica'!$D$7:$R$145,7,FALSE))</f>
        <v/>
      </c>
      <c r="CJ41" s="5911"/>
      <c r="CK41" s="5911"/>
      <c r="CL41" s="6038"/>
      <c r="CM41" s="745"/>
      <c r="CN41" s="1850">
        <v>40</v>
      </c>
      <c r="CO41" s="6036" t="s">
        <v>1734</v>
      </c>
      <c r="CP41" s="5977"/>
      <c r="CQ41" s="6037" t="str">
        <f>IF(CN38=0,"",VLOOKUP(CN38,'Tablas psiquica'!$D$7:$R$145,7,FALSE))</f>
        <v/>
      </c>
      <c r="CR41" s="5911"/>
      <c r="CS41" s="5911"/>
      <c r="CT41" s="6038"/>
      <c r="CU41" s="1223"/>
      <c r="CV41" s="1850">
        <v>40</v>
      </c>
      <c r="CW41" s="6036" t="s">
        <v>1734</v>
      </c>
      <c r="CX41" s="5977"/>
      <c r="CY41" s="6037" t="str">
        <f>IF(CV38=0,"",VLOOKUP(CV38,'Tablas psiquica'!$D$7:$R$145,7,FALSE))</f>
        <v/>
      </c>
      <c r="CZ41" s="5911"/>
      <c r="DA41" s="5911"/>
      <c r="DB41" s="6038"/>
      <c r="DC41" s="450"/>
      <c r="DD41" s="444"/>
    </row>
    <row r="42" spans="1:108" ht="12" customHeight="1" x14ac:dyDescent="0.2">
      <c r="A42" s="444"/>
      <c r="B42" s="1223"/>
      <c r="C42" s="1851">
        <v>80</v>
      </c>
      <c r="D42" s="6034" t="s">
        <v>1737</v>
      </c>
      <c r="E42" s="5982"/>
      <c r="F42" s="6035" t="str">
        <f>IF(C38=0,"",VLOOKUP(C38,'Tablas psiquica'!$D$7:$R$145,8,FALSE))</f>
        <v/>
      </c>
      <c r="G42" s="5664"/>
      <c r="H42" s="5664"/>
      <c r="I42" s="5701"/>
      <c r="J42" s="745"/>
      <c r="K42" s="1851">
        <v>80</v>
      </c>
      <c r="L42" s="6034" t="s">
        <v>1737</v>
      </c>
      <c r="M42" s="5982"/>
      <c r="N42" s="6035" t="str">
        <f>IF(K38=0,"",VLOOKUP(K38,'Tablas psiquica'!$D$7:$R$145,8,FALSE))</f>
        <v/>
      </c>
      <c r="O42" s="5664"/>
      <c r="P42" s="5664"/>
      <c r="Q42" s="5701"/>
      <c r="R42" s="1223"/>
      <c r="S42" s="1851">
        <v>80</v>
      </c>
      <c r="T42" s="6034" t="s">
        <v>1737</v>
      </c>
      <c r="U42" s="5982"/>
      <c r="V42" s="6035" t="str">
        <f>IF(S38=0,"",VLOOKUP(S38,'Tablas psiquica'!$D$7:$R$145,8,FALSE))</f>
        <v/>
      </c>
      <c r="W42" s="5664"/>
      <c r="X42" s="5664"/>
      <c r="Y42" s="5701"/>
      <c r="Z42" s="450"/>
      <c r="AA42" s="444"/>
      <c r="AB42" s="444"/>
      <c r="AC42" s="1223"/>
      <c r="AD42" s="1851">
        <v>80</v>
      </c>
      <c r="AE42" s="6034" t="s">
        <v>1737</v>
      </c>
      <c r="AF42" s="5982"/>
      <c r="AG42" s="6035" t="str">
        <f>IF(AD38=0,"",VLOOKUP(AD38,'Tablas psiquica'!$D$7:$R$145,8,FALSE))</f>
        <v/>
      </c>
      <c r="AH42" s="5664"/>
      <c r="AI42" s="5664"/>
      <c r="AJ42" s="5701"/>
      <c r="AK42" s="745"/>
      <c r="AL42" s="1851">
        <v>80</v>
      </c>
      <c r="AM42" s="6034" t="s">
        <v>1737</v>
      </c>
      <c r="AN42" s="5982"/>
      <c r="AO42" s="6035" t="str">
        <f>IF(AL38=0,"",VLOOKUP(AL38,'Tablas psiquica'!$D$7:$R$145,8,FALSE))</f>
        <v/>
      </c>
      <c r="AP42" s="5664"/>
      <c r="AQ42" s="5664"/>
      <c r="AR42" s="5701"/>
      <c r="AS42" s="1223"/>
      <c r="AT42" s="1851">
        <v>80</v>
      </c>
      <c r="AU42" s="6034" t="s">
        <v>1737</v>
      </c>
      <c r="AV42" s="5982"/>
      <c r="AW42" s="6035" t="str">
        <f>IF(AT38=0,"",VLOOKUP(AT38,'Tablas psiquica'!$D$7:$R$145,8,FALSE))</f>
        <v/>
      </c>
      <c r="AX42" s="5664"/>
      <c r="AY42" s="5664"/>
      <c r="AZ42" s="5701"/>
      <c r="BA42" s="450"/>
      <c r="BB42" s="444"/>
      <c r="BC42" s="444"/>
      <c r="BD42" s="1223"/>
      <c r="BE42" s="1851">
        <v>80</v>
      </c>
      <c r="BF42" s="6034" t="s">
        <v>1737</v>
      </c>
      <c r="BG42" s="5982"/>
      <c r="BH42" s="6035" t="str">
        <f>IF(BE38=0,"",VLOOKUP(BE38,'Tablas psiquica'!$D$7:$R$145,8,FALSE))</f>
        <v/>
      </c>
      <c r="BI42" s="5664"/>
      <c r="BJ42" s="5664"/>
      <c r="BK42" s="5701"/>
      <c r="BL42" s="745"/>
      <c r="BM42" s="1851">
        <v>80</v>
      </c>
      <c r="BN42" s="6034" t="s">
        <v>1737</v>
      </c>
      <c r="BO42" s="5982"/>
      <c r="BP42" s="6035" t="str">
        <f>IF(BM38=0,"",VLOOKUP(BM38,'Tablas psiquica'!$D$7:$R$145,8,FALSE))</f>
        <v/>
      </c>
      <c r="BQ42" s="5664"/>
      <c r="BR42" s="5664"/>
      <c r="BS42" s="5701"/>
      <c r="BT42" s="1223"/>
      <c r="BU42" s="1851">
        <v>80</v>
      </c>
      <c r="BV42" s="6034" t="s">
        <v>1737</v>
      </c>
      <c r="BW42" s="5982"/>
      <c r="BX42" s="6035" t="str">
        <f>IF(BU38=0,"",VLOOKUP(BU38,'Tablas psiquica'!$D$7:$R$145,8,FALSE))</f>
        <v/>
      </c>
      <c r="BY42" s="5664"/>
      <c r="BZ42" s="5664"/>
      <c r="CA42" s="5701"/>
      <c r="CB42" s="450"/>
      <c r="CC42" s="444"/>
      <c r="CD42" s="444"/>
      <c r="CE42" s="1223"/>
      <c r="CF42" s="1851">
        <v>80</v>
      </c>
      <c r="CG42" s="6034" t="s">
        <v>1737</v>
      </c>
      <c r="CH42" s="5982"/>
      <c r="CI42" s="6035" t="str">
        <f>IF(CF38=0,"",VLOOKUP(CF38,'Tablas psiquica'!$D$7:$R$145,8,FALSE))</f>
        <v/>
      </c>
      <c r="CJ42" s="5664"/>
      <c r="CK42" s="5664"/>
      <c r="CL42" s="5701"/>
      <c r="CM42" s="745"/>
      <c r="CN42" s="1851">
        <v>80</v>
      </c>
      <c r="CO42" s="6034" t="s">
        <v>1737</v>
      </c>
      <c r="CP42" s="5982"/>
      <c r="CQ42" s="6035" t="str">
        <f>IF(CN38=0,"",VLOOKUP(CN38,'Tablas psiquica'!$D$7:$R$145,8,FALSE))</f>
        <v/>
      </c>
      <c r="CR42" s="5664"/>
      <c r="CS42" s="5664"/>
      <c r="CT42" s="5701"/>
      <c r="CU42" s="1223"/>
      <c r="CV42" s="1851">
        <v>80</v>
      </c>
      <c r="CW42" s="6034" t="s">
        <v>1737</v>
      </c>
      <c r="CX42" s="5982"/>
      <c r="CY42" s="6035" t="str">
        <f>IF(CV38=0,"",VLOOKUP(CV38,'Tablas psiquica'!$D$7:$R$145,8,FALSE))</f>
        <v/>
      </c>
      <c r="CZ42" s="5664"/>
      <c r="DA42" s="5664"/>
      <c r="DB42" s="5701"/>
      <c r="DC42" s="450"/>
      <c r="DD42" s="444"/>
    </row>
    <row r="43" spans="1:108" ht="12" customHeight="1" x14ac:dyDescent="0.2">
      <c r="A43" s="444"/>
      <c r="B43" s="1223"/>
      <c r="C43" s="1850">
        <v>120</v>
      </c>
      <c r="D43" s="6036" t="s">
        <v>1740</v>
      </c>
      <c r="E43" s="5977"/>
      <c r="F43" s="6037" t="str">
        <f>IF(C38=0,"",VLOOKUP(C38,'Tablas psiquica'!$D$7:$R$145,9,FALSE))</f>
        <v/>
      </c>
      <c r="G43" s="5911"/>
      <c r="H43" s="5911"/>
      <c r="I43" s="6038"/>
      <c r="J43" s="745"/>
      <c r="K43" s="1850">
        <v>120</v>
      </c>
      <c r="L43" s="6036" t="s">
        <v>1740</v>
      </c>
      <c r="M43" s="5977"/>
      <c r="N43" s="6037" t="str">
        <f>IF(K38=0,"",VLOOKUP(K38,'Tablas psiquica'!$D$7:$R$145,9,FALSE))</f>
        <v/>
      </c>
      <c r="O43" s="5911"/>
      <c r="P43" s="5911"/>
      <c r="Q43" s="6038"/>
      <c r="R43" s="1223"/>
      <c r="S43" s="1850">
        <v>120</v>
      </c>
      <c r="T43" s="6036" t="s">
        <v>1740</v>
      </c>
      <c r="U43" s="5977"/>
      <c r="V43" s="6037" t="str">
        <f>IF(S38=0,"",VLOOKUP(S38,'Tablas psiquica'!$D$7:$R$145,9,FALSE))</f>
        <v/>
      </c>
      <c r="W43" s="5911"/>
      <c r="X43" s="5911"/>
      <c r="Y43" s="6038"/>
      <c r="Z43" s="450"/>
      <c r="AA43" s="444"/>
      <c r="AB43" s="444"/>
      <c r="AC43" s="1223"/>
      <c r="AD43" s="1850">
        <v>120</v>
      </c>
      <c r="AE43" s="6036" t="s">
        <v>1740</v>
      </c>
      <c r="AF43" s="5977"/>
      <c r="AG43" s="6037" t="str">
        <f>IF(AD38=0,"",VLOOKUP(AD38,'Tablas psiquica'!$D$7:$R$145,9,FALSE))</f>
        <v/>
      </c>
      <c r="AH43" s="5911"/>
      <c r="AI43" s="5911"/>
      <c r="AJ43" s="6038"/>
      <c r="AK43" s="745"/>
      <c r="AL43" s="1850">
        <v>120</v>
      </c>
      <c r="AM43" s="6036" t="s">
        <v>1740</v>
      </c>
      <c r="AN43" s="5977"/>
      <c r="AO43" s="6037" t="str">
        <f>IF(AL38=0,"",VLOOKUP(AL38,'Tablas psiquica'!$D$7:$R$145,9,FALSE))</f>
        <v/>
      </c>
      <c r="AP43" s="5911"/>
      <c r="AQ43" s="5911"/>
      <c r="AR43" s="6038"/>
      <c r="AS43" s="1223"/>
      <c r="AT43" s="1850">
        <v>120</v>
      </c>
      <c r="AU43" s="6036" t="s">
        <v>1740</v>
      </c>
      <c r="AV43" s="5977"/>
      <c r="AW43" s="6037" t="str">
        <f>IF(AT38=0,"",VLOOKUP(AT38,'Tablas psiquica'!$D$7:$R$145,9,FALSE))</f>
        <v/>
      </c>
      <c r="AX43" s="5911"/>
      <c r="AY43" s="5911"/>
      <c r="AZ43" s="6038"/>
      <c r="BA43" s="450"/>
      <c r="BB43" s="444"/>
      <c r="BC43" s="444"/>
      <c r="BD43" s="1223"/>
      <c r="BE43" s="1850">
        <v>120</v>
      </c>
      <c r="BF43" s="6036" t="s">
        <v>1740</v>
      </c>
      <c r="BG43" s="5977"/>
      <c r="BH43" s="6037" t="str">
        <f>IF(BE38=0,"",VLOOKUP(BE38,'Tablas psiquica'!$D$7:$R$145,9,FALSE))</f>
        <v/>
      </c>
      <c r="BI43" s="5911"/>
      <c r="BJ43" s="5911"/>
      <c r="BK43" s="6038"/>
      <c r="BL43" s="745"/>
      <c r="BM43" s="1850">
        <v>120</v>
      </c>
      <c r="BN43" s="6036" t="s">
        <v>1740</v>
      </c>
      <c r="BO43" s="5977"/>
      <c r="BP43" s="6037" t="str">
        <f>IF(BM38=0,"",VLOOKUP(BM38,'Tablas psiquica'!$D$7:$R$145,9,FALSE))</f>
        <v/>
      </c>
      <c r="BQ43" s="5911"/>
      <c r="BR43" s="5911"/>
      <c r="BS43" s="6038"/>
      <c r="BT43" s="1223"/>
      <c r="BU43" s="1850">
        <v>120</v>
      </c>
      <c r="BV43" s="6036" t="s">
        <v>1740</v>
      </c>
      <c r="BW43" s="5977"/>
      <c r="BX43" s="6037" t="str">
        <f>IF(BU38=0,"",VLOOKUP(BU38,'Tablas psiquica'!$D$7:$R$145,9,FALSE))</f>
        <v/>
      </c>
      <c r="BY43" s="5911"/>
      <c r="BZ43" s="5911"/>
      <c r="CA43" s="6038"/>
      <c r="CB43" s="450"/>
      <c r="CC43" s="444"/>
      <c r="CD43" s="444"/>
      <c r="CE43" s="1223"/>
      <c r="CF43" s="1850">
        <v>120</v>
      </c>
      <c r="CG43" s="6036" t="s">
        <v>1740</v>
      </c>
      <c r="CH43" s="5977"/>
      <c r="CI43" s="6037" t="str">
        <f>IF(CF38=0,"",VLOOKUP(CF38,'Tablas psiquica'!$D$7:$R$145,9,FALSE))</f>
        <v/>
      </c>
      <c r="CJ43" s="5911"/>
      <c r="CK43" s="5911"/>
      <c r="CL43" s="6038"/>
      <c r="CM43" s="745"/>
      <c r="CN43" s="1850">
        <v>120</v>
      </c>
      <c r="CO43" s="6036" t="s">
        <v>1740</v>
      </c>
      <c r="CP43" s="5977"/>
      <c r="CQ43" s="6037" t="str">
        <f>IF(CN38=0,"",VLOOKUP(CN38,'Tablas psiquica'!$D$7:$R$145,9,FALSE))</f>
        <v/>
      </c>
      <c r="CR43" s="5911"/>
      <c r="CS43" s="5911"/>
      <c r="CT43" s="6038"/>
      <c r="CU43" s="1223"/>
      <c r="CV43" s="1850">
        <v>120</v>
      </c>
      <c r="CW43" s="6036" t="s">
        <v>1740</v>
      </c>
      <c r="CX43" s="5977"/>
      <c r="CY43" s="6037" t="str">
        <f>IF(CV38=0,"",VLOOKUP(CV38,'Tablas psiquica'!$D$7:$R$145,9,FALSE))</f>
        <v/>
      </c>
      <c r="CZ43" s="5911"/>
      <c r="DA43" s="5911"/>
      <c r="DB43" s="6038"/>
      <c r="DC43" s="450"/>
      <c r="DD43" s="444"/>
    </row>
    <row r="44" spans="1:108" ht="12" customHeight="1" x14ac:dyDescent="0.2">
      <c r="A44" s="444"/>
      <c r="B44" s="1223"/>
      <c r="C44" s="1851">
        <v>140</v>
      </c>
      <c r="D44" s="6034" t="s">
        <v>6394</v>
      </c>
      <c r="E44" s="5982"/>
      <c r="F44" s="6035" t="str">
        <f>IF(C38=0,"",VLOOKUP(C38,'Tablas psiquica'!$D$7:$R$145,10,FALSE))</f>
        <v/>
      </c>
      <c r="G44" s="5664"/>
      <c r="H44" s="5664"/>
      <c r="I44" s="5701"/>
      <c r="J44" s="745"/>
      <c r="K44" s="1851">
        <v>140</v>
      </c>
      <c r="L44" s="6034" t="s">
        <v>6394</v>
      </c>
      <c r="M44" s="5982"/>
      <c r="N44" s="6035" t="str">
        <f>IF(K38=0,"",VLOOKUP(K38,'Tablas psiquica'!$D$7:$R$145,10,FALSE))</f>
        <v/>
      </c>
      <c r="O44" s="5664"/>
      <c r="P44" s="5664"/>
      <c r="Q44" s="5701"/>
      <c r="R44" s="1223"/>
      <c r="S44" s="1851">
        <v>140</v>
      </c>
      <c r="T44" s="6034" t="s">
        <v>6394</v>
      </c>
      <c r="U44" s="5982"/>
      <c r="V44" s="6035" t="str">
        <f>IF(S38=0,"",VLOOKUP(S38,'Tablas psiquica'!$D$7:$R$145,10,FALSE))</f>
        <v/>
      </c>
      <c r="W44" s="5664"/>
      <c r="X44" s="5664"/>
      <c r="Y44" s="5701"/>
      <c r="Z44" s="450"/>
      <c r="AA44" s="444"/>
      <c r="AB44" s="444"/>
      <c r="AC44" s="1223"/>
      <c r="AD44" s="1851">
        <v>140</v>
      </c>
      <c r="AE44" s="6034" t="s">
        <v>6394</v>
      </c>
      <c r="AF44" s="5982"/>
      <c r="AG44" s="6035" t="str">
        <f>IF(AD38=0,"",VLOOKUP(AD38,'Tablas psiquica'!$D$7:$R$145,10,FALSE))</f>
        <v/>
      </c>
      <c r="AH44" s="5664"/>
      <c r="AI44" s="5664"/>
      <c r="AJ44" s="5701"/>
      <c r="AK44" s="745"/>
      <c r="AL44" s="1851">
        <v>140</v>
      </c>
      <c r="AM44" s="6034" t="s">
        <v>6394</v>
      </c>
      <c r="AN44" s="5982"/>
      <c r="AO44" s="6035" t="str">
        <f>IF(AL38=0,"",VLOOKUP(AL38,'Tablas psiquica'!$D$7:$R$145,10,FALSE))</f>
        <v/>
      </c>
      <c r="AP44" s="5664"/>
      <c r="AQ44" s="5664"/>
      <c r="AR44" s="5701"/>
      <c r="AS44" s="1223"/>
      <c r="AT44" s="1851">
        <v>140</v>
      </c>
      <c r="AU44" s="6034" t="s">
        <v>6394</v>
      </c>
      <c r="AV44" s="5982"/>
      <c r="AW44" s="6035" t="str">
        <f>IF(AT38=0,"",VLOOKUP(AT38,'Tablas psiquica'!$D$7:$R$145,10,FALSE))</f>
        <v/>
      </c>
      <c r="AX44" s="5664"/>
      <c r="AY44" s="5664"/>
      <c r="AZ44" s="5701"/>
      <c r="BA44" s="450"/>
      <c r="BB44" s="444"/>
      <c r="BC44" s="444"/>
      <c r="BD44" s="1223"/>
      <c r="BE44" s="1851">
        <v>140</v>
      </c>
      <c r="BF44" s="6034" t="s">
        <v>6394</v>
      </c>
      <c r="BG44" s="5982"/>
      <c r="BH44" s="6035" t="str">
        <f>IF(BE38=0,"",VLOOKUP(BE38,'Tablas psiquica'!$D$7:$R$145,10,FALSE))</f>
        <v/>
      </c>
      <c r="BI44" s="5664"/>
      <c r="BJ44" s="5664"/>
      <c r="BK44" s="5701"/>
      <c r="BL44" s="745"/>
      <c r="BM44" s="1851">
        <v>140</v>
      </c>
      <c r="BN44" s="6034" t="s">
        <v>6394</v>
      </c>
      <c r="BO44" s="5982"/>
      <c r="BP44" s="6035" t="str">
        <f>IF(BM38=0,"",VLOOKUP(BM38,'Tablas psiquica'!$D$7:$R$145,10,FALSE))</f>
        <v/>
      </c>
      <c r="BQ44" s="5664"/>
      <c r="BR44" s="5664"/>
      <c r="BS44" s="5701"/>
      <c r="BT44" s="1223"/>
      <c r="BU44" s="1851">
        <v>140</v>
      </c>
      <c r="BV44" s="6034" t="s">
        <v>6394</v>
      </c>
      <c r="BW44" s="5982"/>
      <c r="BX44" s="6035" t="str">
        <f>IF(BU38=0,"",VLOOKUP(BU38,'Tablas psiquica'!$D$7:$R$145,10,FALSE))</f>
        <v/>
      </c>
      <c r="BY44" s="5664"/>
      <c r="BZ44" s="5664"/>
      <c r="CA44" s="5701"/>
      <c r="CB44" s="450"/>
      <c r="CC44" s="444"/>
      <c r="CD44" s="444"/>
      <c r="CE44" s="1223"/>
      <c r="CF44" s="1851">
        <v>140</v>
      </c>
      <c r="CG44" s="6034" t="s">
        <v>6394</v>
      </c>
      <c r="CH44" s="5982"/>
      <c r="CI44" s="6035" t="str">
        <f>IF(CF38=0,"",VLOOKUP(CF38,'Tablas psiquica'!$D$7:$R$145,10,FALSE))</f>
        <v/>
      </c>
      <c r="CJ44" s="5664"/>
      <c r="CK44" s="5664"/>
      <c r="CL44" s="5701"/>
      <c r="CM44" s="745"/>
      <c r="CN44" s="1851">
        <v>140</v>
      </c>
      <c r="CO44" s="6034" t="s">
        <v>6394</v>
      </c>
      <c r="CP44" s="5982"/>
      <c r="CQ44" s="6035" t="str">
        <f>IF(CN38=0,"",VLOOKUP(CN38,'Tablas psiquica'!$D$7:$R$145,10,FALSE))</f>
        <v/>
      </c>
      <c r="CR44" s="5664"/>
      <c r="CS44" s="5664"/>
      <c r="CT44" s="5701"/>
      <c r="CU44" s="1223"/>
      <c r="CV44" s="1851">
        <v>140</v>
      </c>
      <c r="CW44" s="6034" t="s">
        <v>6394</v>
      </c>
      <c r="CX44" s="5982"/>
      <c r="CY44" s="6035" t="str">
        <f>IF(CV38=0,"",VLOOKUP(CV38,'Tablas psiquica'!$D$7:$R$145,10,FALSE))</f>
        <v/>
      </c>
      <c r="CZ44" s="5664"/>
      <c r="DA44" s="5664"/>
      <c r="DB44" s="5701"/>
      <c r="DC44" s="450"/>
      <c r="DD44" s="444"/>
    </row>
    <row r="45" spans="1:108" ht="12" customHeight="1" x14ac:dyDescent="0.2">
      <c r="A45" s="444"/>
      <c r="B45" s="1223"/>
      <c r="C45" s="1850">
        <v>180</v>
      </c>
      <c r="D45" s="6036" t="s">
        <v>1744</v>
      </c>
      <c r="E45" s="5977"/>
      <c r="F45" s="6037" t="str">
        <f>IF(C38=0,"",VLOOKUP(C38,'Tablas psiquica'!$D$7:$R$145,11,FALSE))</f>
        <v/>
      </c>
      <c r="G45" s="5911"/>
      <c r="H45" s="5911"/>
      <c r="I45" s="6038"/>
      <c r="J45" s="745"/>
      <c r="K45" s="1850">
        <v>180</v>
      </c>
      <c r="L45" s="6036" t="s">
        <v>1744</v>
      </c>
      <c r="M45" s="5977"/>
      <c r="N45" s="6037" t="str">
        <f>IF(K38=0,"",VLOOKUP(K38,'Tablas psiquica'!$D$7:$R$145,11,FALSE))</f>
        <v/>
      </c>
      <c r="O45" s="5911"/>
      <c r="P45" s="5911"/>
      <c r="Q45" s="6038"/>
      <c r="R45" s="1223"/>
      <c r="S45" s="1850">
        <v>180</v>
      </c>
      <c r="T45" s="6036" t="s">
        <v>1744</v>
      </c>
      <c r="U45" s="5977"/>
      <c r="V45" s="6037" t="str">
        <f>IF(S38=0,"",VLOOKUP(S38,'Tablas psiquica'!$D$7:$R$145,11,FALSE))</f>
        <v/>
      </c>
      <c r="W45" s="5911"/>
      <c r="X45" s="5911"/>
      <c r="Y45" s="6038"/>
      <c r="Z45" s="450"/>
      <c r="AA45" s="444"/>
      <c r="AB45" s="444"/>
      <c r="AC45" s="1223"/>
      <c r="AD45" s="1850">
        <v>180</v>
      </c>
      <c r="AE45" s="6036" t="s">
        <v>1744</v>
      </c>
      <c r="AF45" s="5977"/>
      <c r="AG45" s="6037" t="str">
        <f>IF(AD38=0,"",VLOOKUP(AD38,'Tablas psiquica'!$D$7:$R$145,11,FALSE))</f>
        <v/>
      </c>
      <c r="AH45" s="5911"/>
      <c r="AI45" s="5911"/>
      <c r="AJ45" s="6038"/>
      <c r="AK45" s="745"/>
      <c r="AL45" s="1850">
        <v>180</v>
      </c>
      <c r="AM45" s="6036" t="s">
        <v>1744</v>
      </c>
      <c r="AN45" s="5977"/>
      <c r="AO45" s="6037" t="str">
        <f>IF(AL38=0,"",VLOOKUP(AL38,'Tablas psiquica'!$D$7:$R$145,11,FALSE))</f>
        <v/>
      </c>
      <c r="AP45" s="5911"/>
      <c r="AQ45" s="5911"/>
      <c r="AR45" s="6038"/>
      <c r="AS45" s="1223"/>
      <c r="AT45" s="1850">
        <v>180</v>
      </c>
      <c r="AU45" s="6036" t="s">
        <v>1744</v>
      </c>
      <c r="AV45" s="5977"/>
      <c r="AW45" s="6037" t="str">
        <f>IF(AT38=0,"",VLOOKUP(AT38,'Tablas psiquica'!$D$7:$R$145,11,FALSE))</f>
        <v/>
      </c>
      <c r="AX45" s="5911"/>
      <c r="AY45" s="5911"/>
      <c r="AZ45" s="6038"/>
      <c r="BA45" s="450"/>
      <c r="BB45" s="444"/>
      <c r="BC45" s="444"/>
      <c r="BD45" s="1223"/>
      <c r="BE45" s="1850">
        <v>180</v>
      </c>
      <c r="BF45" s="6036" t="s">
        <v>1744</v>
      </c>
      <c r="BG45" s="5977"/>
      <c r="BH45" s="6037" t="str">
        <f>IF(BE38=0,"",VLOOKUP(BE38,'Tablas psiquica'!$D$7:$R$145,11,FALSE))</f>
        <v/>
      </c>
      <c r="BI45" s="5911"/>
      <c r="BJ45" s="5911"/>
      <c r="BK45" s="6038"/>
      <c r="BL45" s="745"/>
      <c r="BM45" s="1850">
        <v>180</v>
      </c>
      <c r="BN45" s="6036" t="s">
        <v>1744</v>
      </c>
      <c r="BO45" s="5977"/>
      <c r="BP45" s="6037" t="str">
        <f>IF(BM38=0,"",VLOOKUP(BM38,'Tablas psiquica'!$D$7:$R$145,11,FALSE))</f>
        <v/>
      </c>
      <c r="BQ45" s="5911"/>
      <c r="BR45" s="5911"/>
      <c r="BS45" s="6038"/>
      <c r="BT45" s="1223"/>
      <c r="BU45" s="1850">
        <v>180</v>
      </c>
      <c r="BV45" s="6036" t="s">
        <v>1744</v>
      </c>
      <c r="BW45" s="5977"/>
      <c r="BX45" s="6037" t="str">
        <f>IF(BU38=0,"",VLOOKUP(BU38,'Tablas psiquica'!$D$7:$R$145,11,FALSE))</f>
        <v/>
      </c>
      <c r="BY45" s="5911"/>
      <c r="BZ45" s="5911"/>
      <c r="CA45" s="6038"/>
      <c r="CB45" s="450"/>
      <c r="CC45" s="444"/>
      <c r="CD45" s="444"/>
      <c r="CE45" s="1223"/>
      <c r="CF45" s="1850">
        <v>180</v>
      </c>
      <c r="CG45" s="6036" t="s">
        <v>1744</v>
      </c>
      <c r="CH45" s="5977"/>
      <c r="CI45" s="6037" t="str">
        <f>IF(CF38=0,"",VLOOKUP(CF38,'Tablas psiquica'!$D$7:$R$145,11,FALSE))</f>
        <v/>
      </c>
      <c r="CJ45" s="5911"/>
      <c r="CK45" s="5911"/>
      <c r="CL45" s="6038"/>
      <c r="CM45" s="745"/>
      <c r="CN45" s="1850">
        <v>180</v>
      </c>
      <c r="CO45" s="6036" t="s">
        <v>1744</v>
      </c>
      <c r="CP45" s="5977"/>
      <c r="CQ45" s="6037" t="str">
        <f>IF(CN38=0,"",VLOOKUP(CN38,'Tablas psiquica'!$D$7:$R$145,11,FALSE))</f>
        <v/>
      </c>
      <c r="CR45" s="5911"/>
      <c r="CS45" s="5911"/>
      <c r="CT45" s="6038"/>
      <c r="CU45" s="1223"/>
      <c r="CV45" s="1850">
        <v>180</v>
      </c>
      <c r="CW45" s="6036" t="s">
        <v>1744</v>
      </c>
      <c r="CX45" s="5977"/>
      <c r="CY45" s="6037" t="str">
        <f>IF(CV38=0,"",VLOOKUP(CV38,'Tablas psiquica'!$D$7:$R$145,11,FALSE))</f>
        <v/>
      </c>
      <c r="CZ45" s="5911"/>
      <c r="DA45" s="5911"/>
      <c r="DB45" s="6038"/>
      <c r="DC45" s="450"/>
      <c r="DD45" s="444"/>
    </row>
    <row r="46" spans="1:108" ht="12" customHeight="1" x14ac:dyDescent="0.2">
      <c r="A46" s="444"/>
      <c r="B46" s="1223"/>
      <c r="C46" s="1851">
        <v>240</v>
      </c>
      <c r="D46" s="6034" t="s">
        <v>6395</v>
      </c>
      <c r="E46" s="5982"/>
      <c r="F46" s="6035" t="str">
        <f>IF(C38=0,"",VLOOKUP(C38,'Tablas psiquica'!$D$7:$R$145,12,FALSE))</f>
        <v/>
      </c>
      <c r="G46" s="5664"/>
      <c r="H46" s="5664"/>
      <c r="I46" s="5701"/>
      <c r="J46" s="745"/>
      <c r="K46" s="1851">
        <v>240</v>
      </c>
      <c r="L46" s="6034" t="s">
        <v>6395</v>
      </c>
      <c r="M46" s="5982"/>
      <c r="N46" s="6035" t="str">
        <f>IF(K38=0,"",VLOOKUP(K38,'Tablas psiquica'!$D$7:$R$145,12,FALSE))</f>
        <v/>
      </c>
      <c r="O46" s="5664"/>
      <c r="P46" s="5664"/>
      <c r="Q46" s="5701"/>
      <c r="R46" s="1223"/>
      <c r="S46" s="1851">
        <v>240</v>
      </c>
      <c r="T46" s="6034" t="s">
        <v>6395</v>
      </c>
      <c r="U46" s="5982"/>
      <c r="V46" s="6035" t="str">
        <f>IF(S38=0,"",VLOOKUP(S38,'Tablas psiquica'!$D$7:$R$145,12,FALSE))</f>
        <v/>
      </c>
      <c r="W46" s="5664"/>
      <c r="X46" s="5664"/>
      <c r="Y46" s="5701"/>
      <c r="Z46" s="450"/>
      <c r="AA46" s="444"/>
      <c r="AB46" s="444"/>
      <c r="AC46" s="1223"/>
      <c r="AD46" s="1851">
        <v>240</v>
      </c>
      <c r="AE46" s="6034" t="s">
        <v>6395</v>
      </c>
      <c r="AF46" s="5982"/>
      <c r="AG46" s="6035" t="str">
        <f>IF(AD38=0,"",VLOOKUP(AD38,'Tablas psiquica'!$D$7:$R$145,12,FALSE))</f>
        <v/>
      </c>
      <c r="AH46" s="5664"/>
      <c r="AI46" s="5664"/>
      <c r="AJ46" s="5701"/>
      <c r="AK46" s="745"/>
      <c r="AL46" s="1851">
        <v>240</v>
      </c>
      <c r="AM46" s="6034" t="s">
        <v>6395</v>
      </c>
      <c r="AN46" s="5982"/>
      <c r="AO46" s="6035" t="str">
        <f>IF(AL38=0,"",VLOOKUP(AL38,'Tablas psiquica'!$D$7:$R$145,12,FALSE))</f>
        <v/>
      </c>
      <c r="AP46" s="5664"/>
      <c r="AQ46" s="5664"/>
      <c r="AR46" s="5701"/>
      <c r="AS46" s="1223"/>
      <c r="AT46" s="1851">
        <v>240</v>
      </c>
      <c r="AU46" s="6034" t="s">
        <v>6395</v>
      </c>
      <c r="AV46" s="5982"/>
      <c r="AW46" s="6035" t="str">
        <f>IF(AT38=0,"",VLOOKUP(AT38,'Tablas psiquica'!$D$7:$R$145,12,FALSE))</f>
        <v/>
      </c>
      <c r="AX46" s="5664"/>
      <c r="AY46" s="5664"/>
      <c r="AZ46" s="5701"/>
      <c r="BA46" s="450"/>
      <c r="BB46" s="444"/>
      <c r="BC46" s="444"/>
      <c r="BD46" s="1223"/>
      <c r="BE46" s="1851">
        <v>240</v>
      </c>
      <c r="BF46" s="6034" t="s">
        <v>6395</v>
      </c>
      <c r="BG46" s="5982"/>
      <c r="BH46" s="6035" t="str">
        <f>IF(BE38=0,"",VLOOKUP(BE38,'Tablas psiquica'!$D$7:$R$145,12,FALSE))</f>
        <v/>
      </c>
      <c r="BI46" s="5664"/>
      <c r="BJ46" s="5664"/>
      <c r="BK46" s="5701"/>
      <c r="BL46" s="745"/>
      <c r="BM46" s="1851">
        <v>240</v>
      </c>
      <c r="BN46" s="6034" t="s">
        <v>6395</v>
      </c>
      <c r="BO46" s="5982"/>
      <c r="BP46" s="6035" t="str">
        <f>IF(BM38=0,"",VLOOKUP(BM38,'Tablas psiquica'!$D$7:$R$145,12,FALSE))</f>
        <v/>
      </c>
      <c r="BQ46" s="5664"/>
      <c r="BR46" s="5664"/>
      <c r="BS46" s="5701"/>
      <c r="BT46" s="1223"/>
      <c r="BU46" s="1851">
        <v>240</v>
      </c>
      <c r="BV46" s="6034" t="s">
        <v>6395</v>
      </c>
      <c r="BW46" s="5982"/>
      <c r="BX46" s="6035" t="str">
        <f>IF(BU38=0,"",VLOOKUP(BU38,'Tablas psiquica'!$D$7:$R$145,12,FALSE))</f>
        <v/>
      </c>
      <c r="BY46" s="5664"/>
      <c r="BZ46" s="5664"/>
      <c r="CA46" s="5701"/>
      <c r="CB46" s="450"/>
      <c r="CC46" s="444"/>
      <c r="CD46" s="444"/>
      <c r="CE46" s="1223"/>
      <c r="CF46" s="1851">
        <v>240</v>
      </c>
      <c r="CG46" s="6034" t="s">
        <v>6395</v>
      </c>
      <c r="CH46" s="5982"/>
      <c r="CI46" s="6035" t="str">
        <f>IF(CF38=0,"",VLOOKUP(CF38,'Tablas psiquica'!$D$7:$R$145,12,FALSE))</f>
        <v/>
      </c>
      <c r="CJ46" s="5664"/>
      <c r="CK46" s="5664"/>
      <c r="CL46" s="5701"/>
      <c r="CM46" s="745"/>
      <c r="CN46" s="1851">
        <v>240</v>
      </c>
      <c r="CO46" s="6034" t="s">
        <v>6395</v>
      </c>
      <c r="CP46" s="5982"/>
      <c r="CQ46" s="6035" t="str">
        <f>IF(CN38=0,"",VLOOKUP(CN38,'Tablas psiquica'!$D$7:$R$145,12,FALSE))</f>
        <v/>
      </c>
      <c r="CR46" s="5664"/>
      <c r="CS46" s="5664"/>
      <c r="CT46" s="5701"/>
      <c r="CU46" s="1223"/>
      <c r="CV46" s="1851">
        <v>240</v>
      </c>
      <c r="CW46" s="6034" t="s">
        <v>6395</v>
      </c>
      <c r="CX46" s="5982"/>
      <c r="CY46" s="6035" t="str">
        <f>IF(CV38=0,"",VLOOKUP(CV38,'Tablas psiquica'!$D$7:$R$145,12,FALSE))</f>
        <v/>
      </c>
      <c r="CZ46" s="5664"/>
      <c r="DA46" s="5664"/>
      <c r="DB46" s="5701"/>
      <c r="DC46" s="450"/>
      <c r="DD46" s="444"/>
    </row>
    <row r="47" spans="1:108" ht="12" customHeight="1" x14ac:dyDescent="0.2">
      <c r="A47" s="444"/>
      <c r="B47" s="1223"/>
      <c r="C47" s="1850">
        <v>280</v>
      </c>
      <c r="D47" s="6036" t="s">
        <v>1747</v>
      </c>
      <c r="E47" s="5977"/>
      <c r="F47" s="6037" t="str">
        <f>IF(C38=0,"",VLOOKUP(C38,'Tablas psiquica'!$D$7:$R$145,13,FALSE))</f>
        <v/>
      </c>
      <c r="G47" s="5911"/>
      <c r="H47" s="5911"/>
      <c r="I47" s="6038"/>
      <c r="J47" s="745"/>
      <c r="K47" s="1850">
        <v>280</v>
      </c>
      <c r="L47" s="6036" t="s">
        <v>1747</v>
      </c>
      <c r="M47" s="5977"/>
      <c r="N47" s="6037" t="str">
        <f>IF(K38=0,"",VLOOKUP(K38,'Tablas psiquica'!$D$7:$R$145,13,FALSE))</f>
        <v/>
      </c>
      <c r="O47" s="5911"/>
      <c r="P47" s="5911"/>
      <c r="Q47" s="6038"/>
      <c r="R47" s="1223"/>
      <c r="S47" s="1850">
        <v>280</v>
      </c>
      <c r="T47" s="6036" t="s">
        <v>1747</v>
      </c>
      <c r="U47" s="5977"/>
      <c r="V47" s="6037" t="str">
        <f>IF(S38=0,"",VLOOKUP(S38,'Tablas psiquica'!$D$7:$R$145,13,FALSE))</f>
        <v/>
      </c>
      <c r="W47" s="5911"/>
      <c r="X47" s="5911"/>
      <c r="Y47" s="6038"/>
      <c r="Z47" s="450"/>
      <c r="AA47" s="444"/>
      <c r="AB47" s="444"/>
      <c r="AC47" s="1223"/>
      <c r="AD47" s="1850">
        <v>280</v>
      </c>
      <c r="AE47" s="6036" t="s">
        <v>1747</v>
      </c>
      <c r="AF47" s="5977"/>
      <c r="AG47" s="6037" t="str">
        <f>IF(AD38=0,"",VLOOKUP(AD38,'Tablas psiquica'!$D$7:$R$145,13,FALSE))</f>
        <v/>
      </c>
      <c r="AH47" s="5911"/>
      <c r="AI47" s="5911"/>
      <c r="AJ47" s="6038"/>
      <c r="AK47" s="745"/>
      <c r="AL47" s="1850">
        <v>280</v>
      </c>
      <c r="AM47" s="6036" t="s">
        <v>1747</v>
      </c>
      <c r="AN47" s="5977"/>
      <c r="AO47" s="6037" t="str">
        <f>IF(AL38=0,"",VLOOKUP(AL38,'Tablas psiquica'!$D$7:$R$145,13,FALSE))</f>
        <v/>
      </c>
      <c r="AP47" s="5911"/>
      <c r="AQ47" s="5911"/>
      <c r="AR47" s="6038"/>
      <c r="AS47" s="1223"/>
      <c r="AT47" s="1850">
        <v>280</v>
      </c>
      <c r="AU47" s="6036" t="s">
        <v>1747</v>
      </c>
      <c r="AV47" s="5977"/>
      <c r="AW47" s="6037" t="str">
        <f>IF(AT38=0,"",VLOOKUP(AT38,'Tablas psiquica'!$D$7:$R$145,13,FALSE))</f>
        <v/>
      </c>
      <c r="AX47" s="5911"/>
      <c r="AY47" s="5911"/>
      <c r="AZ47" s="6038"/>
      <c r="BA47" s="450"/>
      <c r="BB47" s="444"/>
      <c r="BC47" s="444"/>
      <c r="BD47" s="1223"/>
      <c r="BE47" s="1850">
        <v>280</v>
      </c>
      <c r="BF47" s="6036" t="s">
        <v>1747</v>
      </c>
      <c r="BG47" s="5977"/>
      <c r="BH47" s="6037" t="str">
        <f>IF(BE38=0,"",VLOOKUP(BE38,'Tablas psiquica'!$D$7:$R$145,13,FALSE))</f>
        <v/>
      </c>
      <c r="BI47" s="5911"/>
      <c r="BJ47" s="5911"/>
      <c r="BK47" s="6038"/>
      <c r="BL47" s="745"/>
      <c r="BM47" s="1850">
        <v>280</v>
      </c>
      <c r="BN47" s="6036" t="s">
        <v>1747</v>
      </c>
      <c r="BO47" s="5977"/>
      <c r="BP47" s="6037" t="str">
        <f>IF(BM38=0,"",VLOOKUP(BM38,'Tablas psiquica'!$D$7:$R$145,13,FALSE))</f>
        <v/>
      </c>
      <c r="BQ47" s="5911"/>
      <c r="BR47" s="5911"/>
      <c r="BS47" s="6038"/>
      <c r="BT47" s="1223"/>
      <c r="BU47" s="1850">
        <v>280</v>
      </c>
      <c r="BV47" s="6036" t="s">
        <v>1747</v>
      </c>
      <c r="BW47" s="5977"/>
      <c r="BX47" s="6037" t="str">
        <f>IF(BU38=0,"",VLOOKUP(BU38,'Tablas psiquica'!$D$7:$R$145,13,FALSE))</f>
        <v/>
      </c>
      <c r="BY47" s="5911"/>
      <c r="BZ47" s="5911"/>
      <c r="CA47" s="6038"/>
      <c r="CB47" s="450"/>
      <c r="CC47" s="444"/>
      <c r="CD47" s="444"/>
      <c r="CE47" s="1223"/>
      <c r="CF47" s="1850">
        <v>280</v>
      </c>
      <c r="CG47" s="6036" t="s">
        <v>1747</v>
      </c>
      <c r="CH47" s="5977"/>
      <c r="CI47" s="6037" t="str">
        <f>IF(CF38=0,"",VLOOKUP(CF38,'Tablas psiquica'!$D$7:$R$145,13,FALSE))</f>
        <v/>
      </c>
      <c r="CJ47" s="5911"/>
      <c r="CK47" s="5911"/>
      <c r="CL47" s="6038"/>
      <c r="CM47" s="745"/>
      <c r="CN47" s="1850">
        <v>280</v>
      </c>
      <c r="CO47" s="6036" t="s">
        <v>1747</v>
      </c>
      <c r="CP47" s="5977"/>
      <c r="CQ47" s="6037" t="str">
        <f>IF(CN38=0,"",VLOOKUP(CN38,'Tablas psiquica'!$D$7:$R$145,13,FALSE))</f>
        <v/>
      </c>
      <c r="CR47" s="5911"/>
      <c r="CS47" s="5911"/>
      <c r="CT47" s="6038"/>
      <c r="CU47" s="1223"/>
      <c r="CV47" s="1850">
        <v>280</v>
      </c>
      <c r="CW47" s="6036" t="s">
        <v>1747</v>
      </c>
      <c r="CX47" s="5977"/>
      <c r="CY47" s="6037" t="str">
        <f>IF(CV38=0,"",VLOOKUP(CV38,'Tablas psiquica'!$D$7:$R$145,13,FALSE))</f>
        <v/>
      </c>
      <c r="CZ47" s="5911"/>
      <c r="DA47" s="5911"/>
      <c r="DB47" s="6038"/>
      <c r="DC47" s="450"/>
      <c r="DD47" s="444"/>
    </row>
    <row r="48" spans="1:108" ht="12" customHeight="1" x14ac:dyDescent="0.2">
      <c r="A48" s="444"/>
      <c r="B48" s="1223"/>
      <c r="C48" s="1851">
        <v>320</v>
      </c>
      <c r="D48" s="6034" t="s">
        <v>1749</v>
      </c>
      <c r="E48" s="5982"/>
      <c r="F48" s="6035" t="str">
        <f>IF(C38=0,"",VLOOKUP(C38,'Tablas psiquica'!$D$7:$R$145,14,FALSE))</f>
        <v/>
      </c>
      <c r="G48" s="5664"/>
      <c r="H48" s="5664"/>
      <c r="I48" s="5701"/>
      <c r="J48" s="745"/>
      <c r="K48" s="1851">
        <v>320</v>
      </c>
      <c r="L48" s="6034" t="s">
        <v>1749</v>
      </c>
      <c r="M48" s="5982"/>
      <c r="N48" s="6035" t="str">
        <f>IF(K38=0,"",VLOOKUP(K38,'Tablas psiquica'!$D$7:$R$145,14,FALSE))</f>
        <v/>
      </c>
      <c r="O48" s="5664"/>
      <c r="P48" s="5664"/>
      <c r="Q48" s="5701"/>
      <c r="R48" s="1223"/>
      <c r="S48" s="1851">
        <v>320</v>
      </c>
      <c r="T48" s="6034" t="s">
        <v>1749</v>
      </c>
      <c r="U48" s="5982"/>
      <c r="V48" s="6035" t="str">
        <f>IF(S38=0,"",VLOOKUP(S38,'Tablas psiquica'!$D$7:$R$145,14,FALSE))</f>
        <v/>
      </c>
      <c r="W48" s="5664"/>
      <c r="X48" s="5664"/>
      <c r="Y48" s="5701"/>
      <c r="Z48" s="450"/>
      <c r="AA48" s="444"/>
      <c r="AB48" s="444"/>
      <c r="AC48" s="1223"/>
      <c r="AD48" s="1851">
        <v>320</v>
      </c>
      <c r="AE48" s="6034" t="s">
        <v>1749</v>
      </c>
      <c r="AF48" s="5982"/>
      <c r="AG48" s="6035" t="str">
        <f>IF(AD38=0,"",VLOOKUP(AD38,'Tablas psiquica'!$D$7:$R$145,14,FALSE))</f>
        <v/>
      </c>
      <c r="AH48" s="5664"/>
      <c r="AI48" s="5664"/>
      <c r="AJ48" s="5701"/>
      <c r="AK48" s="745"/>
      <c r="AL48" s="1851">
        <v>320</v>
      </c>
      <c r="AM48" s="6034" t="s">
        <v>1749</v>
      </c>
      <c r="AN48" s="5982"/>
      <c r="AO48" s="6035" t="str">
        <f>IF(AL38=0,"",VLOOKUP(AL38,'Tablas psiquica'!$D$7:$R$145,14,FALSE))</f>
        <v/>
      </c>
      <c r="AP48" s="5664"/>
      <c r="AQ48" s="5664"/>
      <c r="AR48" s="5701"/>
      <c r="AS48" s="1223"/>
      <c r="AT48" s="1851">
        <v>320</v>
      </c>
      <c r="AU48" s="6034" t="s">
        <v>1749</v>
      </c>
      <c r="AV48" s="5982"/>
      <c r="AW48" s="6035" t="str">
        <f>IF(AT38=0,"",VLOOKUP(AT38,'Tablas psiquica'!$D$7:$R$145,14,FALSE))</f>
        <v/>
      </c>
      <c r="AX48" s="5664"/>
      <c r="AY48" s="5664"/>
      <c r="AZ48" s="5701"/>
      <c r="BA48" s="450"/>
      <c r="BB48" s="444"/>
      <c r="BC48" s="444"/>
      <c r="BD48" s="1223"/>
      <c r="BE48" s="1851">
        <v>320</v>
      </c>
      <c r="BF48" s="6034" t="s">
        <v>1749</v>
      </c>
      <c r="BG48" s="5982"/>
      <c r="BH48" s="6035" t="str">
        <f>IF(BE38=0,"",VLOOKUP(BE38,'Tablas psiquica'!$D$7:$R$145,14,FALSE))</f>
        <v/>
      </c>
      <c r="BI48" s="5664"/>
      <c r="BJ48" s="5664"/>
      <c r="BK48" s="5701"/>
      <c r="BL48" s="745"/>
      <c r="BM48" s="1851">
        <v>320</v>
      </c>
      <c r="BN48" s="6034" t="s">
        <v>1749</v>
      </c>
      <c r="BO48" s="5982"/>
      <c r="BP48" s="6035" t="str">
        <f>IF(BM38=0,"",VLOOKUP(BM38,'Tablas psiquica'!$D$7:$R$145,14,FALSE))</f>
        <v/>
      </c>
      <c r="BQ48" s="5664"/>
      <c r="BR48" s="5664"/>
      <c r="BS48" s="5701"/>
      <c r="BT48" s="1223"/>
      <c r="BU48" s="1851">
        <v>320</v>
      </c>
      <c r="BV48" s="6034" t="s">
        <v>1749</v>
      </c>
      <c r="BW48" s="5982"/>
      <c r="BX48" s="6035" t="str">
        <f>IF(BU38=0,"",VLOOKUP(BU38,'Tablas psiquica'!$D$7:$R$145,14,FALSE))</f>
        <v/>
      </c>
      <c r="BY48" s="5664"/>
      <c r="BZ48" s="5664"/>
      <c r="CA48" s="5701"/>
      <c r="CB48" s="450"/>
      <c r="CC48" s="444"/>
      <c r="CD48" s="444"/>
      <c r="CE48" s="1223"/>
      <c r="CF48" s="1851">
        <v>320</v>
      </c>
      <c r="CG48" s="6034" t="s">
        <v>1749</v>
      </c>
      <c r="CH48" s="5982"/>
      <c r="CI48" s="6035" t="str">
        <f>IF(CF38=0,"",VLOOKUP(CF38,'Tablas psiquica'!$D$7:$R$145,14,FALSE))</f>
        <v/>
      </c>
      <c r="CJ48" s="5664"/>
      <c r="CK48" s="5664"/>
      <c r="CL48" s="5701"/>
      <c r="CM48" s="745"/>
      <c r="CN48" s="1851">
        <v>320</v>
      </c>
      <c r="CO48" s="6034" t="s">
        <v>1749</v>
      </c>
      <c r="CP48" s="5982"/>
      <c r="CQ48" s="6035" t="str">
        <f>IF(CN38=0,"",VLOOKUP(CN38,'Tablas psiquica'!$D$7:$R$145,14,FALSE))</f>
        <v/>
      </c>
      <c r="CR48" s="5664"/>
      <c r="CS48" s="5664"/>
      <c r="CT48" s="5701"/>
      <c r="CU48" s="1223"/>
      <c r="CV48" s="1851">
        <v>320</v>
      </c>
      <c r="CW48" s="6034" t="s">
        <v>1749</v>
      </c>
      <c r="CX48" s="5982"/>
      <c r="CY48" s="6035" t="str">
        <f>IF(CV38=0,"",VLOOKUP(CV38,'Tablas psiquica'!$D$7:$R$145,14,FALSE))</f>
        <v/>
      </c>
      <c r="CZ48" s="5664"/>
      <c r="DA48" s="5664"/>
      <c r="DB48" s="5701"/>
      <c r="DC48" s="450"/>
      <c r="DD48" s="444"/>
    </row>
    <row r="49" spans="1:108" ht="12" customHeight="1" x14ac:dyDescent="0.2">
      <c r="A49" s="444"/>
      <c r="B49" s="1223"/>
      <c r="C49" s="476">
        <v>440</v>
      </c>
      <c r="D49" s="6032" t="s">
        <v>1692</v>
      </c>
      <c r="E49" s="6033"/>
      <c r="F49" s="6029" t="str">
        <f>IF(C38=0,"",VLOOKUP(C38,'Tablas psiquica'!$D$7:$R$145,15,FALSE))</f>
        <v/>
      </c>
      <c r="G49" s="6030"/>
      <c r="H49" s="6030"/>
      <c r="I49" s="6031"/>
      <c r="J49" s="745"/>
      <c r="K49" s="476">
        <v>440</v>
      </c>
      <c r="L49" s="6032" t="s">
        <v>1692</v>
      </c>
      <c r="M49" s="6033"/>
      <c r="N49" s="6029" t="str">
        <f>IF(K38=0,"",VLOOKUP(K38,'Tablas psiquica'!$D$7:$R$145,15,FALSE))</f>
        <v/>
      </c>
      <c r="O49" s="6030"/>
      <c r="P49" s="6030"/>
      <c r="Q49" s="6031"/>
      <c r="R49" s="1223"/>
      <c r="S49" s="476">
        <v>440</v>
      </c>
      <c r="T49" s="6032" t="s">
        <v>1692</v>
      </c>
      <c r="U49" s="6033"/>
      <c r="V49" s="6029" t="str">
        <f>IF(S38=0,"",VLOOKUP(S38,'Tablas psiquica'!$D$7:$R$145,15,FALSE))</f>
        <v/>
      </c>
      <c r="W49" s="6030"/>
      <c r="X49" s="6030"/>
      <c r="Y49" s="6031"/>
      <c r="Z49" s="450"/>
      <c r="AA49" s="444"/>
      <c r="AB49" s="444"/>
      <c r="AC49" s="1223"/>
      <c r="AD49" s="476">
        <v>440</v>
      </c>
      <c r="AE49" s="6032" t="s">
        <v>1692</v>
      </c>
      <c r="AF49" s="6033"/>
      <c r="AG49" s="6029" t="str">
        <f>IF(AD38=0,"",VLOOKUP(AD38,'Tablas psiquica'!$D$7:$R$145,15,FALSE))</f>
        <v/>
      </c>
      <c r="AH49" s="6030"/>
      <c r="AI49" s="6030"/>
      <c r="AJ49" s="6031"/>
      <c r="AK49" s="745"/>
      <c r="AL49" s="476">
        <v>440</v>
      </c>
      <c r="AM49" s="6032" t="s">
        <v>1692</v>
      </c>
      <c r="AN49" s="6033"/>
      <c r="AO49" s="6029" t="str">
        <f>IF(AL38=0,"",VLOOKUP(AL38,'Tablas psiquica'!$D$7:$R$145,15,FALSE))</f>
        <v/>
      </c>
      <c r="AP49" s="6030"/>
      <c r="AQ49" s="6030"/>
      <c r="AR49" s="6031"/>
      <c r="AS49" s="1223"/>
      <c r="AT49" s="476">
        <v>440</v>
      </c>
      <c r="AU49" s="6032" t="s">
        <v>1692</v>
      </c>
      <c r="AV49" s="6033"/>
      <c r="AW49" s="6029" t="str">
        <f>IF(AT38=0,"",VLOOKUP(AT38,'Tablas psiquica'!$D$7:$R$145,15,FALSE))</f>
        <v/>
      </c>
      <c r="AX49" s="6030"/>
      <c r="AY49" s="6030"/>
      <c r="AZ49" s="6031"/>
      <c r="BA49" s="450"/>
      <c r="BB49" s="444"/>
      <c r="BC49" s="444"/>
      <c r="BD49" s="1223"/>
      <c r="BE49" s="476">
        <v>440</v>
      </c>
      <c r="BF49" s="6032" t="s">
        <v>1692</v>
      </c>
      <c r="BG49" s="6033"/>
      <c r="BH49" s="6029" t="str">
        <f>IF(BE38=0,"",VLOOKUP(BE38,'Tablas psiquica'!$D$7:$R$145,15,FALSE))</f>
        <v/>
      </c>
      <c r="BI49" s="6030"/>
      <c r="BJ49" s="6030"/>
      <c r="BK49" s="6031"/>
      <c r="BL49" s="745"/>
      <c r="BM49" s="476">
        <v>440</v>
      </c>
      <c r="BN49" s="6032" t="s">
        <v>1692</v>
      </c>
      <c r="BO49" s="6033"/>
      <c r="BP49" s="6029" t="str">
        <f>IF(BM38=0,"",VLOOKUP(BM38,'Tablas psiquica'!$D$7:$R$145,15,FALSE))</f>
        <v/>
      </c>
      <c r="BQ49" s="6030"/>
      <c r="BR49" s="6030"/>
      <c r="BS49" s="6031"/>
      <c r="BT49" s="1223"/>
      <c r="BU49" s="476">
        <v>440</v>
      </c>
      <c r="BV49" s="6032" t="s">
        <v>1692</v>
      </c>
      <c r="BW49" s="6033"/>
      <c r="BX49" s="6029" t="str">
        <f>IF(BU38=0,"",VLOOKUP(BU38,'Tablas psiquica'!$D$7:$R$145,15,FALSE))</f>
        <v/>
      </c>
      <c r="BY49" s="6030"/>
      <c r="BZ49" s="6030"/>
      <c r="CA49" s="6031"/>
      <c r="CB49" s="450"/>
      <c r="CC49" s="444"/>
      <c r="CD49" s="444"/>
      <c r="CE49" s="1223"/>
      <c r="CF49" s="476">
        <v>440</v>
      </c>
      <c r="CG49" s="6032" t="s">
        <v>1692</v>
      </c>
      <c r="CH49" s="6033"/>
      <c r="CI49" s="6029" t="str">
        <f>IF(CF38=0,"",VLOOKUP(CF38,'Tablas psiquica'!$D$7:$R$145,15,FALSE))</f>
        <v/>
      </c>
      <c r="CJ49" s="6030"/>
      <c r="CK49" s="6030"/>
      <c r="CL49" s="6031"/>
      <c r="CM49" s="745"/>
      <c r="CN49" s="476">
        <v>440</v>
      </c>
      <c r="CO49" s="6032" t="s">
        <v>1692</v>
      </c>
      <c r="CP49" s="6033"/>
      <c r="CQ49" s="6029" t="str">
        <f>IF(CN38=0,"",VLOOKUP(CN38,'Tablas psiquica'!$D$7:$R$145,15,FALSE))</f>
        <v/>
      </c>
      <c r="CR49" s="6030"/>
      <c r="CS49" s="6030"/>
      <c r="CT49" s="6031"/>
      <c r="CU49" s="1223"/>
      <c r="CV49" s="476">
        <v>440</v>
      </c>
      <c r="CW49" s="6032" t="s">
        <v>1692</v>
      </c>
      <c r="CX49" s="6033"/>
      <c r="CY49" s="6029" t="str">
        <f>IF(CV38=0,"",VLOOKUP(CV38,'Tablas psiquica'!$D$7:$R$145,15,FALSE))</f>
        <v/>
      </c>
      <c r="CZ49" s="6030"/>
      <c r="DA49" s="6030"/>
      <c r="DB49" s="6031"/>
      <c r="DC49" s="450"/>
      <c r="DD49" s="444"/>
    </row>
    <row r="50" spans="1:108" ht="12" customHeight="1" thickBot="1" x14ac:dyDescent="0.25">
      <c r="A50" s="444"/>
      <c r="B50" s="1223"/>
      <c r="C50" s="6026" t="s">
        <v>6396</v>
      </c>
      <c r="D50" s="6027"/>
      <c r="E50" s="477" t="str">
        <f>IF(C38=0,"",VLOOKUP(C38,'Tablas psiquica'!$D$7:$R$145,4,FALSE))</f>
        <v/>
      </c>
      <c r="F50" s="6028" t="s">
        <v>6391</v>
      </c>
      <c r="G50" s="6028"/>
      <c r="H50" s="4769" t="str">
        <f>IF(C38=0,"",VLOOKUP(C38,'Tablas psiquica'!$D$7:$R$145,5,FALSE))</f>
        <v/>
      </c>
      <c r="I50" s="4770"/>
      <c r="J50" s="745"/>
      <c r="K50" s="6026" t="s">
        <v>6396</v>
      </c>
      <c r="L50" s="6027"/>
      <c r="M50" s="477" t="str">
        <f>IF(K38=0,"",VLOOKUP(K38,'Tablas psiquica'!$D$7:$R$145,4,FALSE))</f>
        <v/>
      </c>
      <c r="N50" s="6028" t="s">
        <v>6391</v>
      </c>
      <c r="O50" s="6028"/>
      <c r="P50" s="4769" t="str">
        <f>IF(K38=0,"",VLOOKUP(K38,'Tablas psiquica'!$D$7:$R$145,5,FALSE))</f>
        <v/>
      </c>
      <c r="Q50" s="4770"/>
      <c r="R50" s="1223"/>
      <c r="S50" s="6026" t="s">
        <v>6396</v>
      </c>
      <c r="T50" s="6027"/>
      <c r="U50" s="477" t="str">
        <f>IF(S38=0,"",VLOOKUP(S38,'Tablas psiquica'!$D$7:$R$145,4,FALSE))</f>
        <v/>
      </c>
      <c r="V50" s="6028" t="s">
        <v>6391</v>
      </c>
      <c r="W50" s="6028"/>
      <c r="X50" s="4769" t="str">
        <f>IF(S38=0,"",VLOOKUP(S38,'Tablas psiquica'!$D$7:$R$145,5,FALSE))</f>
        <v/>
      </c>
      <c r="Y50" s="4770"/>
      <c r="Z50" s="450"/>
      <c r="AA50" s="444"/>
      <c r="AB50" s="444"/>
      <c r="AC50" s="1223"/>
      <c r="AD50" s="6026" t="s">
        <v>6396</v>
      </c>
      <c r="AE50" s="6027"/>
      <c r="AF50" s="477" t="str">
        <f>IF(AD38=0,"",VLOOKUP(AD38,'Tablas psiquica'!$D$7:$R$145,4,FALSE))</f>
        <v/>
      </c>
      <c r="AG50" s="6028" t="s">
        <v>6391</v>
      </c>
      <c r="AH50" s="6028"/>
      <c r="AI50" s="4769" t="str">
        <f>IF(AD38=0,"",VLOOKUP(AD38,'Tablas psiquica'!$D$7:$R$145,5,FALSE))</f>
        <v/>
      </c>
      <c r="AJ50" s="4770"/>
      <c r="AK50" s="745"/>
      <c r="AL50" s="6026" t="s">
        <v>6396</v>
      </c>
      <c r="AM50" s="6027"/>
      <c r="AN50" s="477" t="str">
        <f>IF(AL38=0,"",VLOOKUP(AL38,'Tablas psiquica'!$D$7:$R$145,4,FALSE))</f>
        <v/>
      </c>
      <c r="AO50" s="6028" t="s">
        <v>6391</v>
      </c>
      <c r="AP50" s="6028"/>
      <c r="AQ50" s="4769" t="str">
        <f>IF(AL38=0,"",VLOOKUP(AL38,'Tablas psiquica'!$D$7:$R$145,5,FALSE))</f>
        <v/>
      </c>
      <c r="AR50" s="4770"/>
      <c r="AS50" s="1223"/>
      <c r="AT50" s="6026" t="s">
        <v>6396</v>
      </c>
      <c r="AU50" s="6027"/>
      <c r="AV50" s="477" t="str">
        <f>IF(AT38=0,"",VLOOKUP(AT38,'Tablas psiquica'!$D$7:$R$145,4,FALSE))</f>
        <v/>
      </c>
      <c r="AW50" s="6028" t="s">
        <v>6391</v>
      </c>
      <c r="AX50" s="6028"/>
      <c r="AY50" s="4769" t="str">
        <f>IF(AT38=0,"",VLOOKUP(AT38,'Tablas psiquica'!$D$7:$R$145,5,FALSE))</f>
        <v/>
      </c>
      <c r="AZ50" s="4770"/>
      <c r="BA50" s="450"/>
      <c r="BB50" s="444"/>
      <c r="BC50" s="444"/>
      <c r="BD50" s="1223"/>
      <c r="BE50" s="6026" t="s">
        <v>6396</v>
      </c>
      <c r="BF50" s="6027"/>
      <c r="BG50" s="477" t="str">
        <f>IF(BE38=0,"",VLOOKUP(BE38,'Tablas psiquica'!$D$7:$R$145,4,FALSE))</f>
        <v/>
      </c>
      <c r="BH50" s="6028" t="s">
        <v>6391</v>
      </c>
      <c r="BI50" s="6028"/>
      <c r="BJ50" s="4769" t="str">
        <f>IF(BE38=0,"",VLOOKUP(BE38,'Tablas psiquica'!$D$7:$R$145,5,FALSE))</f>
        <v/>
      </c>
      <c r="BK50" s="4770"/>
      <c r="BL50" s="745"/>
      <c r="BM50" s="6026" t="s">
        <v>6396</v>
      </c>
      <c r="BN50" s="6027"/>
      <c r="BO50" s="477" t="str">
        <f>IF(BM38=0,"",VLOOKUP(BM38,'Tablas psiquica'!$D$7:$R$145,4,FALSE))</f>
        <v/>
      </c>
      <c r="BP50" s="6028" t="s">
        <v>6391</v>
      </c>
      <c r="BQ50" s="6028"/>
      <c r="BR50" s="4769" t="str">
        <f>IF(BM38=0,"",VLOOKUP(BM38,'Tablas psiquica'!$D$7:$R$145,5,FALSE))</f>
        <v/>
      </c>
      <c r="BS50" s="4770"/>
      <c r="BT50" s="1223"/>
      <c r="BU50" s="6026" t="s">
        <v>6396</v>
      </c>
      <c r="BV50" s="6027"/>
      <c r="BW50" s="477" t="str">
        <f>IF(BU38=0,"",VLOOKUP(BU38,'Tablas psiquica'!$D$7:$R$145,4,FALSE))</f>
        <v/>
      </c>
      <c r="BX50" s="6028" t="s">
        <v>6391</v>
      </c>
      <c r="BY50" s="6028"/>
      <c r="BZ50" s="4769" t="str">
        <f>IF(BU38=0,"",VLOOKUP(BU38,'Tablas psiquica'!$D$7:$R$145,5,FALSE))</f>
        <v/>
      </c>
      <c r="CA50" s="4770"/>
      <c r="CB50" s="450"/>
      <c r="CC50" s="444"/>
      <c r="CD50" s="444"/>
      <c r="CE50" s="1223"/>
      <c r="CF50" s="6026" t="s">
        <v>6396</v>
      </c>
      <c r="CG50" s="6027"/>
      <c r="CH50" s="477" t="str">
        <f>IF(CF38=0,"",VLOOKUP(CF38,'Tablas psiquica'!$D$7:$R$145,4,FALSE))</f>
        <v/>
      </c>
      <c r="CI50" s="6028" t="s">
        <v>6391</v>
      </c>
      <c r="CJ50" s="6028"/>
      <c r="CK50" s="4769" t="str">
        <f>IF(CF38=0,"",VLOOKUP(CF38,'Tablas psiquica'!$D$7:$R$145,5,FALSE))</f>
        <v/>
      </c>
      <c r="CL50" s="4770"/>
      <c r="CM50" s="745"/>
      <c r="CN50" s="6026" t="s">
        <v>6396</v>
      </c>
      <c r="CO50" s="6027"/>
      <c r="CP50" s="477" t="str">
        <f>IF(CN38=0,"",VLOOKUP(CN38,'Tablas psiquica'!$D$7:$R$145,4,FALSE))</f>
        <v/>
      </c>
      <c r="CQ50" s="6028" t="s">
        <v>6391</v>
      </c>
      <c r="CR50" s="6028"/>
      <c r="CS50" s="4769" t="str">
        <f>IF(CN38=0,"",VLOOKUP(CN38,'Tablas psiquica'!$D$7:$R$145,5,FALSE))</f>
        <v/>
      </c>
      <c r="CT50" s="4770"/>
      <c r="CU50" s="1223"/>
      <c r="CV50" s="6026" t="s">
        <v>6396</v>
      </c>
      <c r="CW50" s="6027"/>
      <c r="CX50" s="477" t="str">
        <f>IF(CV38=0,"",VLOOKUP(CV38,'Tablas psiquica'!$D$7:$R$145,4,FALSE))</f>
        <v/>
      </c>
      <c r="CY50" s="6028" t="s">
        <v>6391</v>
      </c>
      <c r="CZ50" s="6028"/>
      <c r="DA50" s="4769" t="str">
        <f>IF(CV38=0,"",VLOOKUP(CV38,'Tablas psiquica'!$D$7:$R$145,5,FALSE))</f>
        <v/>
      </c>
      <c r="DB50" s="4770"/>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6044">
        <f>IFERROR(INDEX('Tablas psiquica'!$U$115:$AH$129,B52,Y$7),0)</f>
        <v>0</v>
      </c>
      <c r="D52" s="6045"/>
      <c r="E52" s="6045"/>
      <c r="F52" s="6045"/>
      <c r="G52" s="6045"/>
      <c r="H52" s="6045"/>
      <c r="I52" s="475" t="s">
        <v>1411</v>
      </c>
      <c r="J52" s="745">
        <v>11</v>
      </c>
      <c r="K52" s="6044">
        <f>IFERROR(INDEX('Tablas psiquica'!$U$115:$AH$129,J52,Y$7),0)</f>
        <v>0</v>
      </c>
      <c r="L52" s="6045"/>
      <c r="M52" s="6045"/>
      <c r="N52" s="6045"/>
      <c r="O52" s="6045"/>
      <c r="P52" s="6045"/>
      <c r="Q52" s="475" t="s">
        <v>1411</v>
      </c>
      <c r="R52" s="1223">
        <v>12</v>
      </c>
      <c r="S52" s="6044">
        <f>IFERROR(INDEX('Tablas psiquica'!$U$115:$AH$129,R52,Y$7),0)</f>
        <v>0</v>
      </c>
      <c r="T52" s="6045"/>
      <c r="U52" s="6045"/>
      <c r="V52" s="6045"/>
      <c r="W52" s="6045"/>
      <c r="X52" s="6045"/>
      <c r="Y52" s="475" t="s">
        <v>1411</v>
      </c>
      <c r="Z52" s="450"/>
      <c r="AA52" s="444"/>
      <c r="AB52" s="444"/>
      <c r="AC52" s="1223">
        <v>10</v>
      </c>
      <c r="AD52" s="6044">
        <f>IFERROR(INDEX('Tablas psiquica'!$U$115:$AH$129,AC52,AZ$7),0)</f>
        <v>0</v>
      </c>
      <c r="AE52" s="6045"/>
      <c r="AF52" s="6045"/>
      <c r="AG52" s="6045"/>
      <c r="AH52" s="6045"/>
      <c r="AI52" s="6045"/>
      <c r="AJ52" s="475" t="s">
        <v>1411</v>
      </c>
      <c r="AK52" s="745">
        <v>11</v>
      </c>
      <c r="AL52" s="6044">
        <f>IFERROR(INDEX('Tablas psiquica'!$U$115:$AH$129,AK52,AZ$7),0)</f>
        <v>0</v>
      </c>
      <c r="AM52" s="6045"/>
      <c r="AN52" s="6045"/>
      <c r="AO52" s="6045"/>
      <c r="AP52" s="6045"/>
      <c r="AQ52" s="6045"/>
      <c r="AR52" s="475" t="s">
        <v>1411</v>
      </c>
      <c r="AS52" s="1223">
        <v>12</v>
      </c>
      <c r="AT52" s="6044">
        <f>IFERROR(INDEX('Tablas psiquica'!$U$115:$AH$129,AS52,AZ$7),0)</f>
        <v>0</v>
      </c>
      <c r="AU52" s="6045"/>
      <c r="AV52" s="6045"/>
      <c r="AW52" s="6045"/>
      <c r="AX52" s="6045"/>
      <c r="AY52" s="6045"/>
      <c r="AZ52" s="475" t="s">
        <v>1411</v>
      </c>
      <c r="BA52" s="450"/>
      <c r="BB52" s="444"/>
      <c r="BC52" s="444"/>
      <c r="BD52" s="1223">
        <v>10</v>
      </c>
      <c r="BE52" s="6044">
        <f>IFERROR(INDEX('Tablas psiquica'!$U$115:$AH$129,BD52,CA$7),0)</f>
        <v>0</v>
      </c>
      <c r="BF52" s="6045"/>
      <c r="BG52" s="6045"/>
      <c r="BH52" s="6045"/>
      <c r="BI52" s="6045"/>
      <c r="BJ52" s="6045"/>
      <c r="BK52" s="475" t="s">
        <v>1411</v>
      </c>
      <c r="BL52" s="745">
        <v>11</v>
      </c>
      <c r="BM52" s="6044">
        <f>IFERROR(INDEX('Tablas psiquica'!$U$115:$AH$129,BL52,CA$7),0)</f>
        <v>0</v>
      </c>
      <c r="BN52" s="6045"/>
      <c r="BO52" s="6045"/>
      <c r="BP52" s="6045"/>
      <c r="BQ52" s="6045"/>
      <c r="BR52" s="6045"/>
      <c r="BS52" s="475" t="s">
        <v>1411</v>
      </c>
      <c r="BT52" s="1223">
        <v>12</v>
      </c>
      <c r="BU52" s="6044">
        <f>IFERROR(INDEX('Tablas psiquica'!$U$115:$AH$129,BT52,CA$7),0)</f>
        <v>0</v>
      </c>
      <c r="BV52" s="6045"/>
      <c r="BW52" s="6045"/>
      <c r="BX52" s="6045"/>
      <c r="BY52" s="6045"/>
      <c r="BZ52" s="6045"/>
      <c r="CA52" s="475" t="s">
        <v>1411</v>
      </c>
      <c r="CB52" s="450"/>
      <c r="CC52" s="444"/>
      <c r="CD52" s="444"/>
      <c r="CE52" s="1223">
        <v>10</v>
      </c>
      <c r="CF52" s="6044">
        <f>IFERROR(INDEX('Tablas psiquica'!$U$115:$AH$129,CE52,DB$7),0)</f>
        <v>0</v>
      </c>
      <c r="CG52" s="6045"/>
      <c r="CH52" s="6045"/>
      <c r="CI52" s="6045"/>
      <c r="CJ52" s="6045"/>
      <c r="CK52" s="6045"/>
      <c r="CL52" s="475" t="s">
        <v>1411</v>
      </c>
      <c r="CM52" s="745">
        <v>11</v>
      </c>
      <c r="CN52" s="6044">
        <f>IFERROR(INDEX('Tablas psiquica'!$U$115:$AH$129,CM52,DB$7),0)</f>
        <v>0</v>
      </c>
      <c r="CO52" s="6045"/>
      <c r="CP52" s="6045"/>
      <c r="CQ52" s="6045"/>
      <c r="CR52" s="6045"/>
      <c r="CS52" s="6045"/>
      <c r="CT52" s="475" t="s">
        <v>1411</v>
      </c>
      <c r="CU52" s="1223">
        <v>12</v>
      </c>
      <c r="CV52" s="6044">
        <f>IFERROR(INDEX('Tablas psiquica'!$U$115:$AH$129,CU52,DB$7),0)</f>
        <v>0</v>
      </c>
      <c r="CW52" s="6045"/>
      <c r="CX52" s="6045"/>
      <c r="CY52" s="6045"/>
      <c r="CZ52" s="6045"/>
      <c r="DA52" s="6045"/>
      <c r="DB52" s="475" t="s">
        <v>1411</v>
      </c>
      <c r="DC52" s="450"/>
      <c r="DD52" s="444"/>
    </row>
    <row r="53" spans="1:108" ht="12" customHeight="1" x14ac:dyDescent="0.2">
      <c r="A53" s="444"/>
      <c r="B53" s="1223"/>
      <c r="C53" s="6039" t="str">
        <f>IF(C52=0,"",VLOOKUP(C52,'Tablas psiquica'!$D$7:$R$145,2,FALSE))</f>
        <v/>
      </c>
      <c r="D53" s="6040"/>
      <c r="E53" s="6040"/>
      <c r="F53" s="6041"/>
      <c r="G53" s="6042" t="str">
        <f>IF(C52=0,"",IF(INDEX('Tablas psiquica'!$U$114:$AH$114,1,$Y$7)=0,"No Accesible",IF(ISNA(VLOOKUP(C52,Psíquicos!$AS$17:$AS$43,1,0)),"Accesible CV","Aprendido")))</f>
        <v/>
      </c>
      <c r="H53" s="6043"/>
      <c r="I53" s="1890" t="str">
        <f>IF(C52=0,"",VLOOKUP(C52,'Tablas psiquica'!$D$7:$R$145,3,FALSE))</f>
        <v/>
      </c>
      <c r="J53" s="745"/>
      <c r="K53" s="6039" t="str">
        <f>IF(K52=0,"",VLOOKUP(K52,'Tablas psiquica'!$D$7:$R$145,2,FALSE))</f>
        <v/>
      </c>
      <c r="L53" s="6040"/>
      <c r="M53" s="6040"/>
      <c r="N53" s="6041"/>
      <c r="O53" s="6042" t="str">
        <f>IF(K52=0,"",IF(INDEX('Tablas psiquica'!$U$114:$AH$114,1,$Y$7)=0,"No Accesible",IF(ISNA(VLOOKUP(K52,Psíquicos!$AS$17:$AS$43,1,0)),"Accesible CV","Aprendido")))</f>
        <v/>
      </c>
      <c r="P53" s="6043"/>
      <c r="Q53" s="1890" t="str">
        <f>IF(K52=0,"",VLOOKUP(K52,'Tablas psiquica'!$D$7:$R$145,3,FALSE))</f>
        <v/>
      </c>
      <c r="R53" s="1223"/>
      <c r="S53" s="6039" t="str">
        <f>IF(S52=0,"",VLOOKUP(S52,'Tablas psiquica'!$D$7:$R$145,2,FALSE))</f>
        <v/>
      </c>
      <c r="T53" s="6040"/>
      <c r="U53" s="6040"/>
      <c r="V53" s="6041"/>
      <c r="W53" s="6042" t="str">
        <f>IF(S52=0,"",IF(INDEX('Tablas psiquica'!$U$114:$AH$114,1,$Y$7)=0,"No Accesible",IF(ISNA(VLOOKUP(S52,Psíquicos!$AS$17:$AS$43,1,0)),"Accesible CV","Aprendido")))</f>
        <v/>
      </c>
      <c r="X53" s="6043"/>
      <c r="Y53" s="1890" t="str">
        <f>IF(S52=0,"",VLOOKUP(S52,'Tablas psiquica'!$D$7:$R$145,3,FALSE))</f>
        <v/>
      </c>
      <c r="Z53" s="450"/>
      <c r="AA53" s="444"/>
      <c r="AB53" s="444"/>
      <c r="AC53" s="1223"/>
      <c r="AD53" s="6039" t="str">
        <f>IF(AD52=0,"",VLOOKUP(AD52,'Tablas psiquica'!$D$7:$R$145,2,FALSE))</f>
        <v/>
      </c>
      <c r="AE53" s="6040"/>
      <c r="AF53" s="6040"/>
      <c r="AG53" s="6041"/>
      <c r="AH53" s="6042" t="str">
        <f>IF(AD52=0,"",IF(INDEX('Tablas psiquica'!$U$114:$AH$114,1,$AZ$7)=0,"No Accesible",IF(ISNA(VLOOKUP(AD52,Psíquicos!$AS$17:$AS$43,1,0)),"Accesible CV","Aprendido")))</f>
        <v/>
      </c>
      <c r="AI53" s="6043"/>
      <c r="AJ53" s="1890" t="str">
        <f>IF(AD52=0,"",VLOOKUP(AD52,'Tablas psiquica'!$D$7:$R$145,3,FALSE))</f>
        <v/>
      </c>
      <c r="AK53" s="745"/>
      <c r="AL53" s="6039" t="str">
        <f>IF(AL52=0,"",VLOOKUP(AL52,'Tablas psiquica'!$D$7:$R$145,2,FALSE))</f>
        <v/>
      </c>
      <c r="AM53" s="6040"/>
      <c r="AN53" s="6040"/>
      <c r="AO53" s="6041"/>
      <c r="AP53" s="6042" t="str">
        <f>IF(AL52=0,"",IF(INDEX('Tablas psiquica'!$U$114:$AH$114,1,$AZ$7)=0,"No Accesible",IF(ISNA(VLOOKUP(AL52,Psíquicos!$AS$17:$AS$43,1,0)),"Accesible CV","Aprendido")))</f>
        <v/>
      </c>
      <c r="AQ53" s="6043"/>
      <c r="AR53" s="1890" t="str">
        <f>IF(AL52=0,"",VLOOKUP(AL52,'Tablas psiquica'!$D$7:$R$145,3,FALSE))</f>
        <v/>
      </c>
      <c r="AS53" s="1223"/>
      <c r="AT53" s="6039" t="str">
        <f>IF(AT52=0,"",VLOOKUP(AT52,'Tablas psiquica'!$D$7:$R$145,2,FALSE))</f>
        <v/>
      </c>
      <c r="AU53" s="6040"/>
      <c r="AV53" s="6040"/>
      <c r="AW53" s="6041"/>
      <c r="AX53" s="6042" t="str">
        <f>IF(AT52=0,"",IF(INDEX('Tablas psiquica'!$U$114:$AH$114,1,$AZ$7)=0,"No Accesible",IF(ISNA(VLOOKUP(AT52,Psíquicos!$AS$17:$AS$43,1,0)),"Accesible CV","Aprendido")))</f>
        <v/>
      </c>
      <c r="AY53" s="6043"/>
      <c r="AZ53" s="1890" t="str">
        <f>IF(AT52=0,"",VLOOKUP(AT52,'Tablas psiquica'!$D$7:$R$145,3,FALSE))</f>
        <v/>
      </c>
      <c r="BA53" s="450"/>
      <c r="BB53" s="444"/>
      <c r="BC53" s="444"/>
      <c r="BD53" s="1223"/>
      <c r="BE53" s="6039" t="str">
        <f>IF(BE52=0,"",VLOOKUP(BE52,'Tablas psiquica'!$D$7:$R$145,2,FALSE))</f>
        <v/>
      </c>
      <c r="BF53" s="6040"/>
      <c r="BG53" s="6040"/>
      <c r="BH53" s="6041"/>
      <c r="BI53" s="6042" t="str">
        <f>IF(BE52=0,"",IF(INDEX('Tablas psiquica'!$U$114:$AH$114,1,$CA$7)=0,"No Accesible",IF(ISNA(VLOOKUP(BE52,Psíquicos!$AS$17:$AS$43,1,0)),"Accesible CV","Aprendido")))</f>
        <v/>
      </c>
      <c r="BJ53" s="6043"/>
      <c r="BK53" s="1890" t="str">
        <f>IF(BE52=0,"",VLOOKUP(BE52,'Tablas psiquica'!$D$7:$R$145,3,FALSE))</f>
        <v/>
      </c>
      <c r="BL53" s="745"/>
      <c r="BM53" s="6039" t="str">
        <f>IF(BM52=0,"",VLOOKUP(BM52,'Tablas psiquica'!$D$7:$R$145,2,FALSE))</f>
        <v/>
      </c>
      <c r="BN53" s="6040"/>
      <c r="BO53" s="6040"/>
      <c r="BP53" s="6041"/>
      <c r="BQ53" s="6042" t="str">
        <f>IF(BM52=0,"",IF(INDEX('Tablas psiquica'!$U$114:$AH$114,1,$CA$7)=0,"No Accesible",IF(ISNA(VLOOKUP(BM52,Psíquicos!$AS$17:$AS$43,1,0)),"Accesible CV","Aprendido")))</f>
        <v/>
      </c>
      <c r="BR53" s="6043"/>
      <c r="BS53" s="1890" t="str">
        <f>IF(BM52=0,"",VLOOKUP(BM52,'Tablas psiquica'!$D$7:$R$145,3,FALSE))</f>
        <v/>
      </c>
      <c r="BT53" s="1223"/>
      <c r="BU53" s="6039" t="str">
        <f>IF(BU52=0,"",VLOOKUP(BU52,'Tablas psiquica'!$D$7:$R$145,2,FALSE))</f>
        <v/>
      </c>
      <c r="BV53" s="6040"/>
      <c r="BW53" s="6040"/>
      <c r="BX53" s="6041"/>
      <c r="BY53" s="6042" t="str">
        <f>IF(BU52=0,"",IF(INDEX('Tablas psiquica'!$U$114:$AH$114,1,$CA$7)=0,"No Accesible",IF(ISNA(VLOOKUP(BU52,Psíquicos!$AS$17:$AS$43,1,0)),"Accesible CV","Aprendido")))</f>
        <v/>
      </c>
      <c r="BZ53" s="6043"/>
      <c r="CA53" s="1890" t="str">
        <f>IF(BU52=0,"",VLOOKUP(BU52,'Tablas psiquica'!$D$7:$R$145,3,FALSE))</f>
        <v/>
      </c>
      <c r="CB53" s="450"/>
      <c r="CC53" s="444"/>
      <c r="CD53" s="444"/>
      <c r="CE53" s="1223"/>
      <c r="CF53" s="6039" t="str">
        <f>IF(CF52=0,"",VLOOKUP(CF52,'Tablas psiquica'!$D$7:$R$145,2,FALSE))</f>
        <v/>
      </c>
      <c r="CG53" s="6040"/>
      <c r="CH53" s="6040"/>
      <c r="CI53" s="6041"/>
      <c r="CJ53" s="6042" t="str">
        <f>IF(CF52=0,"",IF(INDEX('Tablas psiquica'!$U$114:$AH$114,1,$DB$7)=0,"No Accesible",IF(ISNA(VLOOKUP(CF52,Psíquicos!$AS$17:$AS$43,1,0)),"Accesible CV","Aprendido")))</f>
        <v/>
      </c>
      <c r="CK53" s="6043"/>
      <c r="CL53" s="1890" t="str">
        <f>IF(CF52=0,"",VLOOKUP(CF52,'Tablas psiquica'!$D$7:$R$145,3,FALSE))</f>
        <v/>
      </c>
      <c r="CM53" s="745"/>
      <c r="CN53" s="6039" t="str">
        <f>IF(CN52=0,"",VLOOKUP(CN52,'Tablas psiquica'!$D$7:$R$145,2,FALSE))</f>
        <v/>
      </c>
      <c r="CO53" s="6040"/>
      <c r="CP53" s="6040"/>
      <c r="CQ53" s="6041"/>
      <c r="CR53" s="6042" t="str">
        <f>IF(CN52=0,"",IF(INDEX('Tablas psiquica'!$U$114:$AH$114,1,$DB$7)=0,"No Accesible",IF(ISNA(VLOOKUP(CN52,Psíquicos!$AS$17:$AS$43,1,0)),"Accesible CV","Aprendido")))</f>
        <v/>
      </c>
      <c r="CS53" s="6043"/>
      <c r="CT53" s="1890" t="str">
        <f>IF(CN52=0,"",VLOOKUP(CN52,'Tablas psiquica'!$D$7:$R$145,3,FALSE))</f>
        <v/>
      </c>
      <c r="CU53" s="1223"/>
      <c r="CV53" s="6039" t="str">
        <f>IF(CV52=0,"",VLOOKUP(CV52,'Tablas psiquica'!$D$7:$R$145,2,FALSE))</f>
        <v/>
      </c>
      <c r="CW53" s="6040"/>
      <c r="CX53" s="6040"/>
      <c r="CY53" s="6041"/>
      <c r="CZ53" s="6042" t="str">
        <f>IF(CV52=0,"",IF(INDEX('Tablas psiquica'!$U$114:$AH$114,1,$DB$7)=0,"No Accesible",IF(ISNA(VLOOKUP(CV52,Psíquicos!$AS$17:$AS$43,1,0)),"Accesible CV","Aprendido")))</f>
        <v/>
      </c>
      <c r="DA53" s="6043"/>
      <c r="DB53" s="1890" t="str">
        <f>IF(CV52=0,"",VLOOKUP(CV52,'Tablas psiquica'!$D$7:$R$145,3,FALSE))</f>
        <v/>
      </c>
      <c r="DC53" s="450"/>
      <c r="DD53" s="444"/>
    </row>
    <row r="54" spans="1:108" ht="12" customHeight="1" x14ac:dyDescent="0.2">
      <c r="A54" s="444"/>
      <c r="B54" s="1223"/>
      <c r="C54" s="1851">
        <v>20</v>
      </c>
      <c r="D54" s="6034" t="s">
        <v>1732</v>
      </c>
      <c r="E54" s="5982"/>
      <c r="F54" s="6035" t="str">
        <f>IF(C52=0,"",VLOOKUP(C52,'Tablas psiquica'!$D$7:$R$145,6,FALSE))</f>
        <v/>
      </c>
      <c r="G54" s="5664"/>
      <c r="H54" s="5664"/>
      <c r="I54" s="5701"/>
      <c r="J54" s="745"/>
      <c r="K54" s="1851">
        <v>20</v>
      </c>
      <c r="L54" s="6034" t="s">
        <v>1732</v>
      </c>
      <c r="M54" s="5982"/>
      <c r="N54" s="6035" t="str">
        <f>IF(K52=0,"",VLOOKUP(K52,'Tablas psiquica'!$D$7:$R$145,6,FALSE))</f>
        <v/>
      </c>
      <c r="O54" s="5664"/>
      <c r="P54" s="5664"/>
      <c r="Q54" s="5701"/>
      <c r="R54" s="1223"/>
      <c r="S54" s="1851">
        <v>20</v>
      </c>
      <c r="T54" s="6034" t="s">
        <v>1732</v>
      </c>
      <c r="U54" s="5982"/>
      <c r="V54" s="6035" t="str">
        <f>IF(S52=0,"",VLOOKUP(S52,'Tablas psiquica'!$D$7:$R$145,6,FALSE))</f>
        <v/>
      </c>
      <c r="W54" s="5664"/>
      <c r="X54" s="5664"/>
      <c r="Y54" s="5701"/>
      <c r="Z54" s="450"/>
      <c r="AA54" s="444"/>
      <c r="AB54" s="444"/>
      <c r="AC54" s="1223"/>
      <c r="AD54" s="1851">
        <v>20</v>
      </c>
      <c r="AE54" s="6034" t="s">
        <v>1732</v>
      </c>
      <c r="AF54" s="5982"/>
      <c r="AG54" s="6035" t="str">
        <f>IF(AD52=0,"",VLOOKUP(AD52,'Tablas psiquica'!$D$7:$R$145,6,FALSE))</f>
        <v/>
      </c>
      <c r="AH54" s="5664"/>
      <c r="AI54" s="5664"/>
      <c r="AJ54" s="5701"/>
      <c r="AK54" s="745"/>
      <c r="AL54" s="1851">
        <v>20</v>
      </c>
      <c r="AM54" s="6034" t="s">
        <v>1732</v>
      </c>
      <c r="AN54" s="5982"/>
      <c r="AO54" s="6035" t="str">
        <f>IF(AL52=0,"",VLOOKUP(AL52,'Tablas psiquica'!$D$7:$R$145,6,FALSE))</f>
        <v/>
      </c>
      <c r="AP54" s="5664"/>
      <c r="AQ54" s="5664"/>
      <c r="AR54" s="5701"/>
      <c r="AS54" s="1223"/>
      <c r="AT54" s="1851">
        <v>20</v>
      </c>
      <c r="AU54" s="6034" t="s">
        <v>1732</v>
      </c>
      <c r="AV54" s="5982"/>
      <c r="AW54" s="6035" t="str">
        <f>IF(AT52=0,"",VLOOKUP(AT52,'Tablas psiquica'!$D$7:$R$145,6,FALSE))</f>
        <v/>
      </c>
      <c r="AX54" s="5664"/>
      <c r="AY54" s="5664"/>
      <c r="AZ54" s="5701"/>
      <c r="BA54" s="450"/>
      <c r="BB54" s="444"/>
      <c r="BC54" s="444"/>
      <c r="BD54" s="1223"/>
      <c r="BE54" s="1851">
        <v>20</v>
      </c>
      <c r="BF54" s="6034" t="s">
        <v>1732</v>
      </c>
      <c r="BG54" s="5982"/>
      <c r="BH54" s="6035" t="str">
        <f>IF(BE52=0,"",VLOOKUP(BE52,'Tablas psiquica'!$D$7:$R$145,6,FALSE))</f>
        <v/>
      </c>
      <c r="BI54" s="5664"/>
      <c r="BJ54" s="5664"/>
      <c r="BK54" s="5701"/>
      <c r="BL54" s="745"/>
      <c r="BM54" s="1851">
        <v>20</v>
      </c>
      <c r="BN54" s="6034" t="s">
        <v>1732</v>
      </c>
      <c r="BO54" s="5982"/>
      <c r="BP54" s="6035" t="str">
        <f>IF(BM52=0,"",VLOOKUP(BM52,'Tablas psiquica'!$D$7:$R$145,6,FALSE))</f>
        <v/>
      </c>
      <c r="BQ54" s="5664"/>
      <c r="BR54" s="5664"/>
      <c r="BS54" s="5701"/>
      <c r="BT54" s="1223"/>
      <c r="BU54" s="1851">
        <v>20</v>
      </c>
      <c r="BV54" s="6034" t="s">
        <v>1732</v>
      </c>
      <c r="BW54" s="5982"/>
      <c r="BX54" s="6035" t="str">
        <f>IF(BU52=0,"",VLOOKUP(BU52,'Tablas psiquica'!$D$7:$R$145,6,FALSE))</f>
        <v/>
      </c>
      <c r="BY54" s="5664"/>
      <c r="BZ54" s="5664"/>
      <c r="CA54" s="5701"/>
      <c r="CB54" s="450"/>
      <c r="CC54" s="444"/>
      <c r="CD54" s="444"/>
      <c r="CE54" s="1223"/>
      <c r="CF54" s="1851">
        <v>20</v>
      </c>
      <c r="CG54" s="6034" t="s">
        <v>1732</v>
      </c>
      <c r="CH54" s="5982"/>
      <c r="CI54" s="6035" t="str">
        <f>IF(CF52=0,"",VLOOKUP(CF52,'Tablas psiquica'!$D$7:$R$145,6,FALSE))</f>
        <v/>
      </c>
      <c r="CJ54" s="5664"/>
      <c r="CK54" s="5664"/>
      <c r="CL54" s="5701"/>
      <c r="CM54" s="745"/>
      <c r="CN54" s="1851">
        <v>20</v>
      </c>
      <c r="CO54" s="6034" t="s">
        <v>1732</v>
      </c>
      <c r="CP54" s="5982"/>
      <c r="CQ54" s="6035" t="str">
        <f>IF(CN52=0,"",VLOOKUP(CN52,'Tablas psiquica'!$D$7:$R$145,6,FALSE))</f>
        <v/>
      </c>
      <c r="CR54" s="5664"/>
      <c r="CS54" s="5664"/>
      <c r="CT54" s="5701"/>
      <c r="CU54" s="1223"/>
      <c r="CV54" s="1851">
        <v>20</v>
      </c>
      <c r="CW54" s="6034" t="s">
        <v>1732</v>
      </c>
      <c r="CX54" s="5982"/>
      <c r="CY54" s="6035" t="str">
        <f>IF(CV52=0,"",VLOOKUP(CV52,'Tablas psiquica'!$D$7:$R$145,6,FALSE))</f>
        <v/>
      </c>
      <c r="CZ54" s="5664"/>
      <c r="DA54" s="5664"/>
      <c r="DB54" s="5701"/>
      <c r="DC54" s="450"/>
      <c r="DD54" s="444"/>
    </row>
    <row r="55" spans="1:108" ht="12" customHeight="1" x14ac:dyDescent="0.2">
      <c r="A55" s="444"/>
      <c r="B55" s="1223"/>
      <c r="C55" s="1850">
        <v>40</v>
      </c>
      <c r="D55" s="6036" t="s">
        <v>1734</v>
      </c>
      <c r="E55" s="5977"/>
      <c r="F55" s="6037" t="str">
        <f>IF(C52=0,"",VLOOKUP(C52,'Tablas psiquica'!$D$7:$R$145,7,FALSE))</f>
        <v/>
      </c>
      <c r="G55" s="5911"/>
      <c r="H55" s="5911"/>
      <c r="I55" s="6038"/>
      <c r="J55" s="745"/>
      <c r="K55" s="1850">
        <v>40</v>
      </c>
      <c r="L55" s="6036" t="s">
        <v>1734</v>
      </c>
      <c r="M55" s="5977"/>
      <c r="N55" s="6037" t="str">
        <f>IF(K52=0,"",VLOOKUP(K52,'Tablas psiquica'!$D$7:$R$145,7,FALSE))</f>
        <v/>
      </c>
      <c r="O55" s="5911"/>
      <c r="P55" s="5911"/>
      <c r="Q55" s="6038"/>
      <c r="R55" s="1223"/>
      <c r="S55" s="1850">
        <v>40</v>
      </c>
      <c r="T55" s="6036" t="s">
        <v>1734</v>
      </c>
      <c r="U55" s="5977"/>
      <c r="V55" s="6037" t="str">
        <f>IF(S52=0,"",VLOOKUP(S52,'Tablas psiquica'!$D$7:$R$145,7,FALSE))</f>
        <v/>
      </c>
      <c r="W55" s="5911"/>
      <c r="X55" s="5911"/>
      <c r="Y55" s="6038"/>
      <c r="Z55" s="450"/>
      <c r="AA55" s="444"/>
      <c r="AB55" s="444"/>
      <c r="AC55" s="1223"/>
      <c r="AD55" s="1850">
        <v>40</v>
      </c>
      <c r="AE55" s="6036" t="s">
        <v>1734</v>
      </c>
      <c r="AF55" s="5977"/>
      <c r="AG55" s="6037" t="str">
        <f>IF(AD52=0,"",VLOOKUP(AD52,'Tablas psiquica'!$D$7:$R$145,7,FALSE))</f>
        <v/>
      </c>
      <c r="AH55" s="5911"/>
      <c r="AI55" s="5911"/>
      <c r="AJ55" s="6038"/>
      <c r="AK55" s="745"/>
      <c r="AL55" s="1850">
        <v>40</v>
      </c>
      <c r="AM55" s="6036" t="s">
        <v>1734</v>
      </c>
      <c r="AN55" s="5977"/>
      <c r="AO55" s="6037" t="str">
        <f>IF(AL52=0,"",VLOOKUP(AL52,'Tablas psiquica'!$D$7:$R$145,7,FALSE))</f>
        <v/>
      </c>
      <c r="AP55" s="5911"/>
      <c r="AQ55" s="5911"/>
      <c r="AR55" s="6038"/>
      <c r="AS55" s="1223"/>
      <c r="AT55" s="1850">
        <v>40</v>
      </c>
      <c r="AU55" s="6036" t="s">
        <v>1734</v>
      </c>
      <c r="AV55" s="5977"/>
      <c r="AW55" s="6037" t="str">
        <f>IF(AT52=0,"",VLOOKUP(AT52,'Tablas psiquica'!$D$7:$R$145,7,FALSE))</f>
        <v/>
      </c>
      <c r="AX55" s="5911"/>
      <c r="AY55" s="5911"/>
      <c r="AZ55" s="6038"/>
      <c r="BA55" s="450"/>
      <c r="BB55" s="444"/>
      <c r="BC55" s="444"/>
      <c r="BD55" s="1223"/>
      <c r="BE55" s="1850">
        <v>40</v>
      </c>
      <c r="BF55" s="6036" t="s">
        <v>1734</v>
      </c>
      <c r="BG55" s="5977"/>
      <c r="BH55" s="6037" t="str">
        <f>IF(BE52=0,"",VLOOKUP(BE52,'Tablas psiquica'!$D$7:$R$145,7,FALSE))</f>
        <v/>
      </c>
      <c r="BI55" s="5911"/>
      <c r="BJ55" s="5911"/>
      <c r="BK55" s="6038"/>
      <c r="BL55" s="745"/>
      <c r="BM55" s="1850">
        <v>40</v>
      </c>
      <c r="BN55" s="6036" t="s">
        <v>1734</v>
      </c>
      <c r="BO55" s="5977"/>
      <c r="BP55" s="6037" t="str">
        <f>IF(BM52=0,"",VLOOKUP(BM52,'Tablas psiquica'!$D$7:$R$145,7,FALSE))</f>
        <v/>
      </c>
      <c r="BQ55" s="5911"/>
      <c r="BR55" s="5911"/>
      <c r="BS55" s="6038"/>
      <c r="BT55" s="1223"/>
      <c r="BU55" s="1850">
        <v>40</v>
      </c>
      <c r="BV55" s="6036" t="s">
        <v>1734</v>
      </c>
      <c r="BW55" s="5977"/>
      <c r="BX55" s="6037" t="str">
        <f>IF(BU52=0,"",VLOOKUP(BU52,'Tablas psiquica'!$D$7:$R$145,7,FALSE))</f>
        <v/>
      </c>
      <c r="BY55" s="5911"/>
      <c r="BZ55" s="5911"/>
      <c r="CA55" s="6038"/>
      <c r="CB55" s="450"/>
      <c r="CC55" s="444"/>
      <c r="CD55" s="444"/>
      <c r="CE55" s="1223"/>
      <c r="CF55" s="1850">
        <v>40</v>
      </c>
      <c r="CG55" s="6036" t="s">
        <v>1734</v>
      </c>
      <c r="CH55" s="5977"/>
      <c r="CI55" s="6037" t="str">
        <f>IF(CF52=0,"",VLOOKUP(CF52,'Tablas psiquica'!$D$7:$R$145,7,FALSE))</f>
        <v/>
      </c>
      <c r="CJ55" s="5911"/>
      <c r="CK55" s="5911"/>
      <c r="CL55" s="6038"/>
      <c r="CM55" s="745"/>
      <c r="CN55" s="1850">
        <v>40</v>
      </c>
      <c r="CO55" s="6036" t="s">
        <v>1734</v>
      </c>
      <c r="CP55" s="5977"/>
      <c r="CQ55" s="6037" t="str">
        <f>IF(CN52=0,"",VLOOKUP(CN52,'Tablas psiquica'!$D$7:$R$145,7,FALSE))</f>
        <v/>
      </c>
      <c r="CR55" s="5911"/>
      <c r="CS55" s="5911"/>
      <c r="CT55" s="6038"/>
      <c r="CU55" s="1223"/>
      <c r="CV55" s="1850">
        <v>40</v>
      </c>
      <c r="CW55" s="6036" t="s">
        <v>1734</v>
      </c>
      <c r="CX55" s="5977"/>
      <c r="CY55" s="6037" t="str">
        <f>IF(CV52=0,"",VLOOKUP(CV52,'Tablas psiquica'!$D$7:$R$145,7,FALSE))</f>
        <v/>
      </c>
      <c r="CZ55" s="5911"/>
      <c r="DA55" s="5911"/>
      <c r="DB55" s="6038"/>
      <c r="DC55" s="450"/>
      <c r="DD55" s="444"/>
    </row>
    <row r="56" spans="1:108" ht="12" customHeight="1" x14ac:dyDescent="0.2">
      <c r="A56" s="444"/>
      <c r="B56" s="1223"/>
      <c r="C56" s="1851">
        <v>80</v>
      </c>
      <c r="D56" s="6034" t="s">
        <v>1737</v>
      </c>
      <c r="E56" s="5982"/>
      <c r="F56" s="6035" t="str">
        <f>IF(C52=0,"",VLOOKUP(C52,'Tablas psiquica'!$D$7:$R$145,8,FALSE))</f>
        <v/>
      </c>
      <c r="G56" s="5664"/>
      <c r="H56" s="5664"/>
      <c r="I56" s="5701"/>
      <c r="J56" s="745"/>
      <c r="K56" s="1851">
        <v>80</v>
      </c>
      <c r="L56" s="6034" t="s">
        <v>1737</v>
      </c>
      <c r="M56" s="5982"/>
      <c r="N56" s="6035" t="str">
        <f>IF(K52=0,"",VLOOKUP(K52,'Tablas psiquica'!$D$7:$R$145,8,FALSE))</f>
        <v/>
      </c>
      <c r="O56" s="5664"/>
      <c r="P56" s="5664"/>
      <c r="Q56" s="5701"/>
      <c r="R56" s="1223"/>
      <c r="S56" s="1851">
        <v>80</v>
      </c>
      <c r="T56" s="6034" t="s">
        <v>1737</v>
      </c>
      <c r="U56" s="5982"/>
      <c r="V56" s="6035" t="str">
        <f>IF(S52=0,"",VLOOKUP(S52,'Tablas psiquica'!$D$7:$R$145,8,FALSE))</f>
        <v/>
      </c>
      <c r="W56" s="5664"/>
      <c r="X56" s="5664"/>
      <c r="Y56" s="5701"/>
      <c r="Z56" s="450"/>
      <c r="AA56" s="444"/>
      <c r="AB56" s="444"/>
      <c r="AC56" s="1223"/>
      <c r="AD56" s="1851">
        <v>80</v>
      </c>
      <c r="AE56" s="6034" t="s">
        <v>1737</v>
      </c>
      <c r="AF56" s="5982"/>
      <c r="AG56" s="6035" t="str">
        <f>IF(AD52=0,"",VLOOKUP(AD52,'Tablas psiquica'!$D$7:$R$145,8,FALSE))</f>
        <v/>
      </c>
      <c r="AH56" s="5664"/>
      <c r="AI56" s="5664"/>
      <c r="AJ56" s="5701"/>
      <c r="AK56" s="745"/>
      <c r="AL56" s="1851">
        <v>80</v>
      </c>
      <c r="AM56" s="6034" t="s">
        <v>1737</v>
      </c>
      <c r="AN56" s="5982"/>
      <c r="AO56" s="6035" t="str">
        <f>IF(AL52=0,"",VLOOKUP(AL52,'Tablas psiquica'!$D$7:$R$145,8,FALSE))</f>
        <v/>
      </c>
      <c r="AP56" s="5664"/>
      <c r="AQ56" s="5664"/>
      <c r="AR56" s="5701"/>
      <c r="AS56" s="1223"/>
      <c r="AT56" s="1851">
        <v>80</v>
      </c>
      <c r="AU56" s="6034" t="s">
        <v>1737</v>
      </c>
      <c r="AV56" s="5982"/>
      <c r="AW56" s="6035" t="str">
        <f>IF(AT52=0,"",VLOOKUP(AT52,'Tablas psiquica'!$D$7:$R$145,8,FALSE))</f>
        <v/>
      </c>
      <c r="AX56" s="5664"/>
      <c r="AY56" s="5664"/>
      <c r="AZ56" s="5701"/>
      <c r="BA56" s="450"/>
      <c r="BB56" s="444"/>
      <c r="BC56" s="444"/>
      <c r="BD56" s="1223"/>
      <c r="BE56" s="1851">
        <v>80</v>
      </c>
      <c r="BF56" s="6034" t="s">
        <v>1737</v>
      </c>
      <c r="BG56" s="5982"/>
      <c r="BH56" s="6035" t="str">
        <f>IF(BE52=0,"",VLOOKUP(BE52,'Tablas psiquica'!$D$7:$R$145,8,FALSE))</f>
        <v/>
      </c>
      <c r="BI56" s="5664"/>
      <c r="BJ56" s="5664"/>
      <c r="BK56" s="5701"/>
      <c r="BL56" s="745"/>
      <c r="BM56" s="1851">
        <v>80</v>
      </c>
      <c r="BN56" s="6034" t="s">
        <v>1737</v>
      </c>
      <c r="BO56" s="5982"/>
      <c r="BP56" s="6035" t="str">
        <f>IF(BM52=0,"",VLOOKUP(BM52,'Tablas psiquica'!$D$7:$R$145,8,FALSE))</f>
        <v/>
      </c>
      <c r="BQ56" s="5664"/>
      <c r="BR56" s="5664"/>
      <c r="BS56" s="5701"/>
      <c r="BT56" s="1223"/>
      <c r="BU56" s="1851">
        <v>80</v>
      </c>
      <c r="BV56" s="6034" t="s">
        <v>1737</v>
      </c>
      <c r="BW56" s="5982"/>
      <c r="BX56" s="6035" t="str">
        <f>IF(BU52=0,"",VLOOKUP(BU52,'Tablas psiquica'!$D$7:$R$145,8,FALSE))</f>
        <v/>
      </c>
      <c r="BY56" s="5664"/>
      <c r="BZ56" s="5664"/>
      <c r="CA56" s="5701"/>
      <c r="CB56" s="450"/>
      <c r="CC56" s="444"/>
      <c r="CD56" s="444"/>
      <c r="CE56" s="1223"/>
      <c r="CF56" s="1851">
        <v>80</v>
      </c>
      <c r="CG56" s="6034" t="s">
        <v>1737</v>
      </c>
      <c r="CH56" s="5982"/>
      <c r="CI56" s="6035" t="str">
        <f>IF(CF52=0,"",VLOOKUP(CF52,'Tablas psiquica'!$D$7:$R$145,8,FALSE))</f>
        <v/>
      </c>
      <c r="CJ56" s="5664"/>
      <c r="CK56" s="5664"/>
      <c r="CL56" s="5701"/>
      <c r="CM56" s="745"/>
      <c r="CN56" s="1851">
        <v>80</v>
      </c>
      <c r="CO56" s="6034" t="s">
        <v>1737</v>
      </c>
      <c r="CP56" s="5982"/>
      <c r="CQ56" s="6035" t="str">
        <f>IF(CN52=0,"",VLOOKUP(CN52,'Tablas psiquica'!$D$7:$R$145,8,FALSE))</f>
        <v/>
      </c>
      <c r="CR56" s="5664"/>
      <c r="CS56" s="5664"/>
      <c r="CT56" s="5701"/>
      <c r="CU56" s="1223"/>
      <c r="CV56" s="1851">
        <v>80</v>
      </c>
      <c r="CW56" s="6034" t="s">
        <v>1737</v>
      </c>
      <c r="CX56" s="5982"/>
      <c r="CY56" s="6035" t="str">
        <f>IF(CV52=0,"",VLOOKUP(CV52,'Tablas psiquica'!$D$7:$R$145,8,FALSE))</f>
        <v/>
      </c>
      <c r="CZ56" s="5664"/>
      <c r="DA56" s="5664"/>
      <c r="DB56" s="5701"/>
      <c r="DC56" s="450"/>
      <c r="DD56" s="444"/>
    </row>
    <row r="57" spans="1:108" ht="12" customHeight="1" x14ac:dyDescent="0.2">
      <c r="A57" s="444"/>
      <c r="B57" s="1223"/>
      <c r="C57" s="1850">
        <v>120</v>
      </c>
      <c r="D57" s="6036" t="s">
        <v>1740</v>
      </c>
      <c r="E57" s="5977"/>
      <c r="F57" s="6037" t="str">
        <f>IF(C52=0,"",VLOOKUP(C52,'Tablas psiquica'!$D$7:$R$145,9,FALSE))</f>
        <v/>
      </c>
      <c r="G57" s="5911"/>
      <c r="H57" s="5911"/>
      <c r="I57" s="6038"/>
      <c r="J57" s="745"/>
      <c r="K57" s="1850">
        <v>120</v>
      </c>
      <c r="L57" s="6036" t="s">
        <v>1740</v>
      </c>
      <c r="M57" s="5977"/>
      <c r="N57" s="6037" t="str">
        <f>IF(K52=0,"",VLOOKUP(K52,'Tablas psiquica'!$D$7:$R$145,9,FALSE))</f>
        <v/>
      </c>
      <c r="O57" s="5911"/>
      <c r="P57" s="5911"/>
      <c r="Q57" s="6038"/>
      <c r="R57" s="1223"/>
      <c r="S57" s="1850">
        <v>120</v>
      </c>
      <c r="T57" s="6036" t="s">
        <v>1740</v>
      </c>
      <c r="U57" s="5977"/>
      <c r="V57" s="6037" t="str">
        <f>IF(S52=0,"",VLOOKUP(S52,'Tablas psiquica'!$D$7:$R$145,9,FALSE))</f>
        <v/>
      </c>
      <c r="W57" s="5911"/>
      <c r="X57" s="5911"/>
      <c r="Y57" s="6038"/>
      <c r="Z57" s="450"/>
      <c r="AA57" s="444"/>
      <c r="AB57" s="444"/>
      <c r="AC57" s="1223"/>
      <c r="AD57" s="1850">
        <v>120</v>
      </c>
      <c r="AE57" s="6036" t="s">
        <v>1740</v>
      </c>
      <c r="AF57" s="5977"/>
      <c r="AG57" s="6037" t="str">
        <f>IF(AD52=0,"",VLOOKUP(AD52,'Tablas psiquica'!$D$7:$R$145,9,FALSE))</f>
        <v/>
      </c>
      <c r="AH57" s="5911"/>
      <c r="AI57" s="5911"/>
      <c r="AJ57" s="6038"/>
      <c r="AK57" s="745"/>
      <c r="AL57" s="1850">
        <v>120</v>
      </c>
      <c r="AM57" s="6036" t="s">
        <v>1740</v>
      </c>
      <c r="AN57" s="5977"/>
      <c r="AO57" s="6037" t="str">
        <f>IF(AL52=0,"",VLOOKUP(AL52,'Tablas psiquica'!$D$7:$R$145,9,FALSE))</f>
        <v/>
      </c>
      <c r="AP57" s="5911"/>
      <c r="AQ57" s="5911"/>
      <c r="AR57" s="6038"/>
      <c r="AS57" s="1223"/>
      <c r="AT57" s="1850">
        <v>120</v>
      </c>
      <c r="AU57" s="6036" t="s">
        <v>1740</v>
      </c>
      <c r="AV57" s="5977"/>
      <c r="AW57" s="6037" t="str">
        <f>IF(AT52=0,"",VLOOKUP(AT52,'Tablas psiquica'!$D$7:$R$145,9,FALSE))</f>
        <v/>
      </c>
      <c r="AX57" s="5911"/>
      <c r="AY57" s="5911"/>
      <c r="AZ57" s="6038"/>
      <c r="BA57" s="450"/>
      <c r="BB57" s="444"/>
      <c r="BC57" s="444"/>
      <c r="BD57" s="1223"/>
      <c r="BE57" s="1850">
        <v>120</v>
      </c>
      <c r="BF57" s="6036" t="s">
        <v>1740</v>
      </c>
      <c r="BG57" s="5977"/>
      <c r="BH57" s="6037" t="str">
        <f>IF(BE52=0,"",VLOOKUP(BE52,'Tablas psiquica'!$D$7:$R$145,9,FALSE))</f>
        <v/>
      </c>
      <c r="BI57" s="5911"/>
      <c r="BJ57" s="5911"/>
      <c r="BK57" s="6038"/>
      <c r="BL57" s="745"/>
      <c r="BM57" s="1850">
        <v>120</v>
      </c>
      <c r="BN57" s="6036" t="s">
        <v>1740</v>
      </c>
      <c r="BO57" s="5977"/>
      <c r="BP57" s="6037" t="str">
        <f>IF(BM52=0,"",VLOOKUP(BM52,'Tablas psiquica'!$D$7:$R$145,9,FALSE))</f>
        <v/>
      </c>
      <c r="BQ57" s="5911"/>
      <c r="BR57" s="5911"/>
      <c r="BS57" s="6038"/>
      <c r="BT57" s="1223"/>
      <c r="BU57" s="1850">
        <v>120</v>
      </c>
      <c r="BV57" s="6036" t="s">
        <v>1740</v>
      </c>
      <c r="BW57" s="5977"/>
      <c r="BX57" s="6037" t="str">
        <f>IF(BU52=0,"",VLOOKUP(BU52,'Tablas psiquica'!$D$7:$R$145,9,FALSE))</f>
        <v/>
      </c>
      <c r="BY57" s="5911"/>
      <c r="BZ57" s="5911"/>
      <c r="CA57" s="6038"/>
      <c r="CB57" s="450"/>
      <c r="CC57" s="444"/>
      <c r="CD57" s="444"/>
      <c r="CE57" s="1223"/>
      <c r="CF57" s="1850">
        <v>120</v>
      </c>
      <c r="CG57" s="6036" t="s">
        <v>1740</v>
      </c>
      <c r="CH57" s="5977"/>
      <c r="CI57" s="6037" t="str">
        <f>IF(CF52=0,"",VLOOKUP(CF52,'Tablas psiquica'!$D$7:$R$145,9,FALSE))</f>
        <v/>
      </c>
      <c r="CJ57" s="5911"/>
      <c r="CK57" s="5911"/>
      <c r="CL57" s="6038"/>
      <c r="CM57" s="745"/>
      <c r="CN57" s="1850">
        <v>120</v>
      </c>
      <c r="CO57" s="6036" t="s">
        <v>1740</v>
      </c>
      <c r="CP57" s="5977"/>
      <c r="CQ57" s="6037" t="str">
        <f>IF(CN52=0,"",VLOOKUP(CN52,'Tablas psiquica'!$D$7:$R$145,9,FALSE))</f>
        <v/>
      </c>
      <c r="CR57" s="5911"/>
      <c r="CS57" s="5911"/>
      <c r="CT57" s="6038"/>
      <c r="CU57" s="1223"/>
      <c r="CV57" s="1850">
        <v>120</v>
      </c>
      <c r="CW57" s="6036" t="s">
        <v>1740</v>
      </c>
      <c r="CX57" s="5977"/>
      <c r="CY57" s="6037" t="str">
        <f>IF(CV52=0,"",VLOOKUP(CV52,'Tablas psiquica'!$D$7:$R$145,9,FALSE))</f>
        <v/>
      </c>
      <c r="CZ57" s="5911"/>
      <c r="DA57" s="5911"/>
      <c r="DB57" s="6038"/>
      <c r="DC57" s="450"/>
      <c r="DD57" s="444"/>
    </row>
    <row r="58" spans="1:108" ht="12" customHeight="1" x14ac:dyDescent="0.2">
      <c r="A58" s="444"/>
      <c r="B58" s="1223"/>
      <c r="C58" s="1851">
        <v>140</v>
      </c>
      <c r="D58" s="6034" t="s">
        <v>6394</v>
      </c>
      <c r="E58" s="5982"/>
      <c r="F58" s="6035" t="str">
        <f>IF(C52=0,"",VLOOKUP(C52,'Tablas psiquica'!$D$7:$R$145,10,FALSE))</f>
        <v/>
      </c>
      <c r="G58" s="5664"/>
      <c r="H58" s="5664"/>
      <c r="I58" s="5701"/>
      <c r="J58" s="745"/>
      <c r="K58" s="1851">
        <v>140</v>
      </c>
      <c r="L58" s="6034" t="s">
        <v>6394</v>
      </c>
      <c r="M58" s="5982"/>
      <c r="N58" s="6035" t="str">
        <f>IF(K52=0,"",VLOOKUP(K52,'Tablas psiquica'!$D$7:$R$145,10,FALSE))</f>
        <v/>
      </c>
      <c r="O58" s="5664"/>
      <c r="P58" s="5664"/>
      <c r="Q58" s="5701"/>
      <c r="R58" s="1223"/>
      <c r="S58" s="1851">
        <v>140</v>
      </c>
      <c r="T58" s="6034" t="s">
        <v>6394</v>
      </c>
      <c r="U58" s="5982"/>
      <c r="V58" s="6035" t="str">
        <f>IF(S52=0,"",VLOOKUP(S52,'Tablas psiquica'!$D$7:$R$145,10,FALSE))</f>
        <v/>
      </c>
      <c r="W58" s="5664"/>
      <c r="X58" s="5664"/>
      <c r="Y58" s="5701"/>
      <c r="Z58" s="450"/>
      <c r="AA58" s="444"/>
      <c r="AB58" s="444"/>
      <c r="AC58" s="1223"/>
      <c r="AD58" s="1851">
        <v>140</v>
      </c>
      <c r="AE58" s="6034" t="s">
        <v>6394</v>
      </c>
      <c r="AF58" s="5982"/>
      <c r="AG58" s="6035" t="str">
        <f>IF(AD52=0,"",VLOOKUP(AD52,'Tablas psiquica'!$D$7:$R$145,10,FALSE))</f>
        <v/>
      </c>
      <c r="AH58" s="5664"/>
      <c r="AI58" s="5664"/>
      <c r="AJ58" s="5701"/>
      <c r="AK58" s="745"/>
      <c r="AL58" s="1851">
        <v>140</v>
      </c>
      <c r="AM58" s="6034" t="s">
        <v>6394</v>
      </c>
      <c r="AN58" s="5982"/>
      <c r="AO58" s="6035" t="str">
        <f>IF(AL52=0,"",VLOOKUP(AL52,'Tablas psiquica'!$D$7:$R$145,10,FALSE))</f>
        <v/>
      </c>
      <c r="AP58" s="5664"/>
      <c r="AQ58" s="5664"/>
      <c r="AR58" s="5701"/>
      <c r="AS58" s="1223"/>
      <c r="AT58" s="1851">
        <v>140</v>
      </c>
      <c r="AU58" s="6034" t="s">
        <v>6394</v>
      </c>
      <c r="AV58" s="5982"/>
      <c r="AW58" s="6035" t="str">
        <f>IF(AT52=0,"",VLOOKUP(AT52,'Tablas psiquica'!$D$7:$R$145,10,FALSE))</f>
        <v/>
      </c>
      <c r="AX58" s="5664"/>
      <c r="AY58" s="5664"/>
      <c r="AZ58" s="5701"/>
      <c r="BA58" s="450"/>
      <c r="BB58" s="444"/>
      <c r="BC58" s="444"/>
      <c r="BD58" s="1223"/>
      <c r="BE58" s="1851">
        <v>140</v>
      </c>
      <c r="BF58" s="6034" t="s">
        <v>6394</v>
      </c>
      <c r="BG58" s="5982"/>
      <c r="BH58" s="6035" t="str">
        <f>IF(BE52=0,"",VLOOKUP(BE52,'Tablas psiquica'!$D$7:$R$145,10,FALSE))</f>
        <v/>
      </c>
      <c r="BI58" s="5664"/>
      <c r="BJ58" s="5664"/>
      <c r="BK58" s="5701"/>
      <c r="BL58" s="745"/>
      <c r="BM58" s="1851">
        <v>140</v>
      </c>
      <c r="BN58" s="6034" t="s">
        <v>6394</v>
      </c>
      <c r="BO58" s="5982"/>
      <c r="BP58" s="6035" t="str">
        <f>IF(BM52=0,"",VLOOKUP(BM52,'Tablas psiquica'!$D$7:$R$145,10,FALSE))</f>
        <v/>
      </c>
      <c r="BQ58" s="5664"/>
      <c r="BR58" s="5664"/>
      <c r="BS58" s="5701"/>
      <c r="BT58" s="1223"/>
      <c r="BU58" s="1851">
        <v>140</v>
      </c>
      <c r="BV58" s="6034" t="s">
        <v>6394</v>
      </c>
      <c r="BW58" s="5982"/>
      <c r="BX58" s="6035" t="str">
        <f>IF(BU52=0,"",VLOOKUP(BU52,'Tablas psiquica'!$D$7:$R$145,10,FALSE))</f>
        <v/>
      </c>
      <c r="BY58" s="5664"/>
      <c r="BZ58" s="5664"/>
      <c r="CA58" s="5701"/>
      <c r="CB58" s="450"/>
      <c r="CC58" s="444"/>
      <c r="CD58" s="444"/>
      <c r="CE58" s="1223"/>
      <c r="CF58" s="1851">
        <v>140</v>
      </c>
      <c r="CG58" s="6034" t="s">
        <v>6394</v>
      </c>
      <c r="CH58" s="5982"/>
      <c r="CI58" s="6035" t="str">
        <f>IF(CF52=0,"",VLOOKUP(CF52,'Tablas psiquica'!$D$7:$R$145,10,FALSE))</f>
        <v/>
      </c>
      <c r="CJ58" s="5664"/>
      <c r="CK58" s="5664"/>
      <c r="CL58" s="5701"/>
      <c r="CM58" s="745"/>
      <c r="CN58" s="1851">
        <v>140</v>
      </c>
      <c r="CO58" s="6034" t="s">
        <v>6394</v>
      </c>
      <c r="CP58" s="5982"/>
      <c r="CQ58" s="6035" t="str">
        <f>IF(CN52=0,"",VLOOKUP(CN52,'Tablas psiquica'!$D$7:$R$145,10,FALSE))</f>
        <v/>
      </c>
      <c r="CR58" s="5664"/>
      <c r="CS58" s="5664"/>
      <c r="CT58" s="5701"/>
      <c r="CU58" s="1223"/>
      <c r="CV58" s="1851">
        <v>140</v>
      </c>
      <c r="CW58" s="6034" t="s">
        <v>6394</v>
      </c>
      <c r="CX58" s="5982"/>
      <c r="CY58" s="6035" t="str">
        <f>IF(CV52=0,"",VLOOKUP(CV52,'Tablas psiquica'!$D$7:$R$145,10,FALSE))</f>
        <v/>
      </c>
      <c r="CZ58" s="5664"/>
      <c r="DA58" s="5664"/>
      <c r="DB58" s="5701"/>
      <c r="DC58" s="450"/>
      <c r="DD58" s="444"/>
    </row>
    <row r="59" spans="1:108" ht="12" customHeight="1" x14ac:dyDescent="0.2">
      <c r="A59" s="444"/>
      <c r="B59" s="1223"/>
      <c r="C59" s="1850">
        <v>180</v>
      </c>
      <c r="D59" s="6036" t="s">
        <v>1744</v>
      </c>
      <c r="E59" s="5977"/>
      <c r="F59" s="6037" t="str">
        <f>IF(C52=0,"",VLOOKUP(C52,'Tablas psiquica'!$D$7:$R$145,11,FALSE))</f>
        <v/>
      </c>
      <c r="G59" s="5911"/>
      <c r="H59" s="5911"/>
      <c r="I59" s="6038"/>
      <c r="J59" s="745"/>
      <c r="K59" s="1850">
        <v>180</v>
      </c>
      <c r="L59" s="6036" t="s">
        <v>1744</v>
      </c>
      <c r="M59" s="5977"/>
      <c r="N59" s="6037" t="str">
        <f>IF(K52=0,"",VLOOKUP(K52,'Tablas psiquica'!$D$7:$R$145,11,FALSE))</f>
        <v/>
      </c>
      <c r="O59" s="5911"/>
      <c r="P59" s="5911"/>
      <c r="Q59" s="6038"/>
      <c r="R59" s="1223"/>
      <c r="S59" s="1850">
        <v>180</v>
      </c>
      <c r="T59" s="6036" t="s">
        <v>1744</v>
      </c>
      <c r="U59" s="5977"/>
      <c r="V59" s="6037" t="str">
        <f>IF(S52=0,"",VLOOKUP(S52,'Tablas psiquica'!$D$7:$R$145,11,FALSE))</f>
        <v/>
      </c>
      <c r="W59" s="5911"/>
      <c r="X59" s="5911"/>
      <c r="Y59" s="6038"/>
      <c r="Z59" s="450"/>
      <c r="AA59" s="444"/>
      <c r="AB59" s="444"/>
      <c r="AC59" s="1223"/>
      <c r="AD59" s="1850">
        <v>180</v>
      </c>
      <c r="AE59" s="6036" t="s">
        <v>1744</v>
      </c>
      <c r="AF59" s="5977"/>
      <c r="AG59" s="6037" t="str">
        <f>IF(AD52=0,"",VLOOKUP(AD52,'Tablas psiquica'!$D$7:$R$145,11,FALSE))</f>
        <v/>
      </c>
      <c r="AH59" s="5911"/>
      <c r="AI59" s="5911"/>
      <c r="AJ59" s="6038"/>
      <c r="AK59" s="745"/>
      <c r="AL59" s="1850">
        <v>180</v>
      </c>
      <c r="AM59" s="6036" t="s">
        <v>1744</v>
      </c>
      <c r="AN59" s="5977"/>
      <c r="AO59" s="6037" t="str">
        <f>IF(AL52=0,"",VLOOKUP(AL52,'Tablas psiquica'!$D$7:$R$145,11,FALSE))</f>
        <v/>
      </c>
      <c r="AP59" s="5911"/>
      <c r="AQ59" s="5911"/>
      <c r="AR59" s="6038"/>
      <c r="AS59" s="1223"/>
      <c r="AT59" s="1850">
        <v>180</v>
      </c>
      <c r="AU59" s="6036" t="s">
        <v>1744</v>
      </c>
      <c r="AV59" s="5977"/>
      <c r="AW59" s="6037" t="str">
        <f>IF(AT52=0,"",VLOOKUP(AT52,'Tablas psiquica'!$D$7:$R$145,11,FALSE))</f>
        <v/>
      </c>
      <c r="AX59" s="5911"/>
      <c r="AY59" s="5911"/>
      <c r="AZ59" s="6038"/>
      <c r="BA59" s="450"/>
      <c r="BB59" s="444"/>
      <c r="BC59" s="444"/>
      <c r="BD59" s="1223"/>
      <c r="BE59" s="1850">
        <v>180</v>
      </c>
      <c r="BF59" s="6036" t="s">
        <v>1744</v>
      </c>
      <c r="BG59" s="5977"/>
      <c r="BH59" s="6037" t="str">
        <f>IF(BE52=0,"",VLOOKUP(BE52,'Tablas psiquica'!$D$7:$R$145,11,FALSE))</f>
        <v/>
      </c>
      <c r="BI59" s="5911"/>
      <c r="BJ59" s="5911"/>
      <c r="BK59" s="6038"/>
      <c r="BL59" s="745"/>
      <c r="BM59" s="1850">
        <v>180</v>
      </c>
      <c r="BN59" s="6036" t="s">
        <v>1744</v>
      </c>
      <c r="BO59" s="5977"/>
      <c r="BP59" s="6037" t="str">
        <f>IF(BM52=0,"",VLOOKUP(BM52,'Tablas psiquica'!$D$7:$R$145,11,FALSE))</f>
        <v/>
      </c>
      <c r="BQ59" s="5911"/>
      <c r="BR59" s="5911"/>
      <c r="BS59" s="6038"/>
      <c r="BT59" s="1223"/>
      <c r="BU59" s="1850">
        <v>180</v>
      </c>
      <c r="BV59" s="6036" t="s">
        <v>1744</v>
      </c>
      <c r="BW59" s="5977"/>
      <c r="BX59" s="6037" t="str">
        <f>IF(BU52=0,"",VLOOKUP(BU52,'Tablas psiquica'!$D$7:$R$145,11,FALSE))</f>
        <v/>
      </c>
      <c r="BY59" s="5911"/>
      <c r="BZ59" s="5911"/>
      <c r="CA59" s="6038"/>
      <c r="CB59" s="450"/>
      <c r="CC59" s="444"/>
      <c r="CD59" s="444"/>
      <c r="CE59" s="1223"/>
      <c r="CF59" s="1850">
        <v>180</v>
      </c>
      <c r="CG59" s="6036" t="s">
        <v>1744</v>
      </c>
      <c r="CH59" s="5977"/>
      <c r="CI59" s="6037" t="str">
        <f>IF(CF52=0,"",VLOOKUP(CF52,'Tablas psiquica'!$D$7:$R$145,11,FALSE))</f>
        <v/>
      </c>
      <c r="CJ59" s="5911"/>
      <c r="CK59" s="5911"/>
      <c r="CL59" s="6038"/>
      <c r="CM59" s="745"/>
      <c r="CN59" s="1850">
        <v>180</v>
      </c>
      <c r="CO59" s="6036" t="s">
        <v>1744</v>
      </c>
      <c r="CP59" s="5977"/>
      <c r="CQ59" s="6037" t="str">
        <f>IF(CN52=0,"",VLOOKUP(CN52,'Tablas psiquica'!$D$7:$R$145,11,FALSE))</f>
        <v/>
      </c>
      <c r="CR59" s="5911"/>
      <c r="CS59" s="5911"/>
      <c r="CT59" s="6038"/>
      <c r="CU59" s="1223"/>
      <c r="CV59" s="1850">
        <v>180</v>
      </c>
      <c r="CW59" s="6036" t="s">
        <v>1744</v>
      </c>
      <c r="CX59" s="5977"/>
      <c r="CY59" s="6037" t="str">
        <f>IF(CV52=0,"",VLOOKUP(CV52,'Tablas psiquica'!$D$7:$R$145,11,FALSE))</f>
        <v/>
      </c>
      <c r="CZ59" s="5911"/>
      <c r="DA59" s="5911"/>
      <c r="DB59" s="6038"/>
      <c r="DC59" s="450"/>
      <c r="DD59" s="444"/>
    </row>
    <row r="60" spans="1:108" ht="12" customHeight="1" x14ac:dyDescent="0.2">
      <c r="A60" s="444"/>
      <c r="B60" s="1223"/>
      <c r="C60" s="1851">
        <v>240</v>
      </c>
      <c r="D60" s="6034" t="s">
        <v>6395</v>
      </c>
      <c r="E60" s="5982"/>
      <c r="F60" s="6035" t="str">
        <f>IF(C52=0,"",VLOOKUP(C52,'Tablas psiquica'!$D$7:$R$145,12,FALSE))</f>
        <v/>
      </c>
      <c r="G60" s="5664"/>
      <c r="H60" s="5664"/>
      <c r="I60" s="5701"/>
      <c r="J60" s="745"/>
      <c r="K60" s="1851">
        <v>240</v>
      </c>
      <c r="L60" s="6034" t="s">
        <v>6395</v>
      </c>
      <c r="M60" s="5982"/>
      <c r="N60" s="6035" t="str">
        <f>IF(K52=0,"",VLOOKUP(K52,'Tablas psiquica'!$D$7:$R$145,12,FALSE))</f>
        <v/>
      </c>
      <c r="O60" s="5664"/>
      <c r="P60" s="5664"/>
      <c r="Q60" s="5701"/>
      <c r="R60" s="1223"/>
      <c r="S60" s="1851">
        <v>240</v>
      </c>
      <c r="T60" s="6034" t="s">
        <v>6395</v>
      </c>
      <c r="U60" s="5982"/>
      <c r="V60" s="6035" t="str">
        <f>IF(S52=0,"",VLOOKUP(S52,'Tablas psiquica'!$D$7:$R$145,12,FALSE))</f>
        <v/>
      </c>
      <c r="W60" s="5664"/>
      <c r="X60" s="5664"/>
      <c r="Y60" s="5701"/>
      <c r="Z60" s="450"/>
      <c r="AA60" s="444"/>
      <c r="AB60" s="444"/>
      <c r="AC60" s="1223"/>
      <c r="AD60" s="1851">
        <v>240</v>
      </c>
      <c r="AE60" s="6034" t="s">
        <v>6395</v>
      </c>
      <c r="AF60" s="5982"/>
      <c r="AG60" s="6035" t="str">
        <f>IF(AD52=0,"",VLOOKUP(AD52,'Tablas psiquica'!$D$7:$R$145,12,FALSE))</f>
        <v/>
      </c>
      <c r="AH60" s="5664"/>
      <c r="AI60" s="5664"/>
      <c r="AJ60" s="5701"/>
      <c r="AK60" s="745"/>
      <c r="AL60" s="1851">
        <v>240</v>
      </c>
      <c r="AM60" s="6034" t="s">
        <v>6395</v>
      </c>
      <c r="AN60" s="5982"/>
      <c r="AO60" s="6035" t="str">
        <f>IF(AL52=0,"",VLOOKUP(AL52,'Tablas psiquica'!$D$7:$R$145,12,FALSE))</f>
        <v/>
      </c>
      <c r="AP60" s="5664"/>
      <c r="AQ60" s="5664"/>
      <c r="AR60" s="5701"/>
      <c r="AS60" s="1223"/>
      <c r="AT60" s="1851">
        <v>240</v>
      </c>
      <c r="AU60" s="6034" t="s">
        <v>6395</v>
      </c>
      <c r="AV60" s="5982"/>
      <c r="AW60" s="6035" t="str">
        <f>IF(AT52=0,"",VLOOKUP(AT52,'Tablas psiquica'!$D$7:$R$145,12,FALSE))</f>
        <v/>
      </c>
      <c r="AX60" s="5664"/>
      <c r="AY60" s="5664"/>
      <c r="AZ60" s="5701"/>
      <c r="BA60" s="450"/>
      <c r="BB60" s="444"/>
      <c r="BC60" s="444"/>
      <c r="BD60" s="1223"/>
      <c r="BE60" s="1851">
        <v>240</v>
      </c>
      <c r="BF60" s="6034" t="s">
        <v>6395</v>
      </c>
      <c r="BG60" s="5982"/>
      <c r="BH60" s="6035" t="str">
        <f>IF(BE52=0,"",VLOOKUP(BE52,'Tablas psiquica'!$D$7:$R$145,12,FALSE))</f>
        <v/>
      </c>
      <c r="BI60" s="5664"/>
      <c r="BJ60" s="5664"/>
      <c r="BK60" s="5701"/>
      <c r="BL60" s="745"/>
      <c r="BM60" s="1851">
        <v>240</v>
      </c>
      <c r="BN60" s="6034" t="s">
        <v>6395</v>
      </c>
      <c r="BO60" s="5982"/>
      <c r="BP60" s="6035" t="str">
        <f>IF(BM52=0,"",VLOOKUP(BM52,'Tablas psiquica'!$D$7:$R$145,12,FALSE))</f>
        <v/>
      </c>
      <c r="BQ60" s="5664"/>
      <c r="BR60" s="5664"/>
      <c r="BS60" s="5701"/>
      <c r="BT60" s="1223"/>
      <c r="BU60" s="1851">
        <v>240</v>
      </c>
      <c r="BV60" s="6034" t="s">
        <v>6395</v>
      </c>
      <c r="BW60" s="5982"/>
      <c r="BX60" s="6035" t="str">
        <f>IF(BU52=0,"",VLOOKUP(BU52,'Tablas psiquica'!$D$7:$R$145,12,FALSE))</f>
        <v/>
      </c>
      <c r="BY60" s="5664"/>
      <c r="BZ60" s="5664"/>
      <c r="CA60" s="5701"/>
      <c r="CB60" s="450"/>
      <c r="CC60" s="444"/>
      <c r="CD60" s="444"/>
      <c r="CE60" s="1223"/>
      <c r="CF60" s="1851">
        <v>240</v>
      </c>
      <c r="CG60" s="6034" t="s">
        <v>6395</v>
      </c>
      <c r="CH60" s="5982"/>
      <c r="CI60" s="6035" t="str">
        <f>IF(CF52=0,"",VLOOKUP(CF52,'Tablas psiquica'!$D$7:$R$145,12,FALSE))</f>
        <v/>
      </c>
      <c r="CJ60" s="5664"/>
      <c r="CK60" s="5664"/>
      <c r="CL60" s="5701"/>
      <c r="CM60" s="745"/>
      <c r="CN60" s="1851">
        <v>240</v>
      </c>
      <c r="CO60" s="6034" t="s">
        <v>6395</v>
      </c>
      <c r="CP60" s="5982"/>
      <c r="CQ60" s="6035" t="str">
        <f>IF(CN52=0,"",VLOOKUP(CN52,'Tablas psiquica'!$D$7:$R$145,12,FALSE))</f>
        <v/>
      </c>
      <c r="CR60" s="5664"/>
      <c r="CS60" s="5664"/>
      <c r="CT60" s="5701"/>
      <c r="CU60" s="1223"/>
      <c r="CV60" s="1851">
        <v>240</v>
      </c>
      <c r="CW60" s="6034" t="s">
        <v>6395</v>
      </c>
      <c r="CX60" s="5982"/>
      <c r="CY60" s="6035" t="str">
        <f>IF(CV52=0,"",VLOOKUP(CV52,'Tablas psiquica'!$D$7:$R$145,12,FALSE))</f>
        <v/>
      </c>
      <c r="CZ60" s="5664"/>
      <c r="DA60" s="5664"/>
      <c r="DB60" s="5701"/>
      <c r="DC60" s="450"/>
      <c r="DD60" s="444"/>
    </row>
    <row r="61" spans="1:108" ht="12" customHeight="1" x14ac:dyDescent="0.2">
      <c r="A61" s="444"/>
      <c r="B61" s="1223"/>
      <c r="C61" s="1850">
        <v>280</v>
      </c>
      <c r="D61" s="6036" t="s">
        <v>1747</v>
      </c>
      <c r="E61" s="5977"/>
      <c r="F61" s="6037" t="str">
        <f>IF(C52=0,"",VLOOKUP(C52,'Tablas psiquica'!$D$7:$R$145,13,FALSE))</f>
        <v/>
      </c>
      <c r="G61" s="5911"/>
      <c r="H61" s="5911"/>
      <c r="I61" s="6038"/>
      <c r="J61" s="745"/>
      <c r="K61" s="1850">
        <v>280</v>
      </c>
      <c r="L61" s="6036" t="s">
        <v>1747</v>
      </c>
      <c r="M61" s="5977"/>
      <c r="N61" s="6037" t="str">
        <f>IF(K52=0,"",VLOOKUP(K52,'Tablas psiquica'!$D$7:$R$145,13,FALSE))</f>
        <v/>
      </c>
      <c r="O61" s="5911"/>
      <c r="P61" s="5911"/>
      <c r="Q61" s="6038"/>
      <c r="R61" s="1223"/>
      <c r="S61" s="1850">
        <v>280</v>
      </c>
      <c r="T61" s="6036" t="s">
        <v>1747</v>
      </c>
      <c r="U61" s="5977"/>
      <c r="V61" s="6037" t="str">
        <f>IF(S52=0,"",VLOOKUP(S52,'Tablas psiquica'!$D$7:$R$145,13,FALSE))</f>
        <v/>
      </c>
      <c r="W61" s="5911"/>
      <c r="X61" s="5911"/>
      <c r="Y61" s="6038"/>
      <c r="Z61" s="450"/>
      <c r="AA61" s="444"/>
      <c r="AB61" s="444"/>
      <c r="AC61" s="1223"/>
      <c r="AD61" s="1850">
        <v>280</v>
      </c>
      <c r="AE61" s="6036" t="s">
        <v>1747</v>
      </c>
      <c r="AF61" s="5977"/>
      <c r="AG61" s="6037" t="str">
        <f>IF(AD52=0,"",VLOOKUP(AD52,'Tablas psiquica'!$D$7:$R$145,13,FALSE))</f>
        <v/>
      </c>
      <c r="AH61" s="5911"/>
      <c r="AI61" s="5911"/>
      <c r="AJ61" s="6038"/>
      <c r="AK61" s="745"/>
      <c r="AL61" s="1850">
        <v>280</v>
      </c>
      <c r="AM61" s="6036" t="s">
        <v>1747</v>
      </c>
      <c r="AN61" s="5977"/>
      <c r="AO61" s="6037" t="str">
        <f>IF(AL52=0,"",VLOOKUP(AL52,'Tablas psiquica'!$D$7:$R$145,13,FALSE))</f>
        <v/>
      </c>
      <c r="AP61" s="5911"/>
      <c r="AQ61" s="5911"/>
      <c r="AR61" s="6038"/>
      <c r="AS61" s="1223"/>
      <c r="AT61" s="1850">
        <v>280</v>
      </c>
      <c r="AU61" s="6036" t="s">
        <v>1747</v>
      </c>
      <c r="AV61" s="5977"/>
      <c r="AW61" s="6037" t="str">
        <f>IF(AT52=0,"",VLOOKUP(AT52,'Tablas psiquica'!$D$7:$R$145,13,FALSE))</f>
        <v/>
      </c>
      <c r="AX61" s="5911"/>
      <c r="AY61" s="5911"/>
      <c r="AZ61" s="6038"/>
      <c r="BA61" s="450"/>
      <c r="BB61" s="444"/>
      <c r="BC61" s="444"/>
      <c r="BD61" s="1223"/>
      <c r="BE61" s="1850">
        <v>280</v>
      </c>
      <c r="BF61" s="6036" t="s">
        <v>1747</v>
      </c>
      <c r="BG61" s="5977"/>
      <c r="BH61" s="6037" t="str">
        <f>IF(BE52=0,"",VLOOKUP(BE52,'Tablas psiquica'!$D$7:$R$145,13,FALSE))</f>
        <v/>
      </c>
      <c r="BI61" s="5911"/>
      <c r="BJ61" s="5911"/>
      <c r="BK61" s="6038"/>
      <c r="BL61" s="745"/>
      <c r="BM61" s="1850">
        <v>280</v>
      </c>
      <c r="BN61" s="6036" t="s">
        <v>1747</v>
      </c>
      <c r="BO61" s="5977"/>
      <c r="BP61" s="6037" t="str">
        <f>IF(BM52=0,"",VLOOKUP(BM52,'Tablas psiquica'!$D$7:$R$145,13,FALSE))</f>
        <v/>
      </c>
      <c r="BQ61" s="5911"/>
      <c r="BR61" s="5911"/>
      <c r="BS61" s="6038"/>
      <c r="BT61" s="1223"/>
      <c r="BU61" s="1850">
        <v>280</v>
      </c>
      <c r="BV61" s="6036" t="s">
        <v>1747</v>
      </c>
      <c r="BW61" s="5977"/>
      <c r="BX61" s="6037" t="str">
        <f>IF(BU52=0,"",VLOOKUP(BU52,'Tablas psiquica'!$D$7:$R$145,13,FALSE))</f>
        <v/>
      </c>
      <c r="BY61" s="5911"/>
      <c r="BZ61" s="5911"/>
      <c r="CA61" s="6038"/>
      <c r="CB61" s="450"/>
      <c r="CC61" s="444"/>
      <c r="CD61" s="444"/>
      <c r="CE61" s="1223"/>
      <c r="CF61" s="1850">
        <v>280</v>
      </c>
      <c r="CG61" s="6036" t="s">
        <v>1747</v>
      </c>
      <c r="CH61" s="5977"/>
      <c r="CI61" s="6037" t="str">
        <f>IF(CF52=0,"",VLOOKUP(CF52,'Tablas psiquica'!$D$7:$R$145,13,FALSE))</f>
        <v/>
      </c>
      <c r="CJ61" s="5911"/>
      <c r="CK61" s="5911"/>
      <c r="CL61" s="6038"/>
      <c r="CM61" s="745"/>
      <c r="CN61" s="1850">
        <v>280</v>
      </c>
      <c r="CO61" s="6036" t="s">
        <v>1747</v>
      </c>
      <c r="CP61" s="5977"/>
      <c r="CQ61" s="6037" t="str">
        <f>IF(CN52=0,"",VLOOKUP(CN52,'Tablas psiquica'!$D$7:$R$145,13,FALSE))</f>
        <v/>
      </c>
      <c r="CR61" s="5911"/>
      <c r="CS61" s="5911"/>
      <c r="CT61" s="6038"/>
      <c r="CU61" s="1223"/>
      <c r="CV61" s="1850">
        <v>280</v>
      </c>
      <c r="CW61" s="6036" t="s">
        <v>1747</v>
      </c>
      <c r="CX61" s="5977"/>
      <c r="CY61" s="6037" t="str">
        <f>IF(CV52=0,"",VLOOKUP(CV52,'Tablas psiquica'!$D$7:$R$145,13,FALSE))</f>
        <v/>
      </c>
      <c r="CZ61" s="5911"/>
      <c r="DA61" s="5911"/>
      <c r="DB61" s="6038"/>
      <c r="DC61" s="450"/>
      <c r="DD61" s="444"/>
    </row>
    <row r="62" spans="1:108" ht="12" customHeight="1" x14ac:dyDescent="0.2">
      <c r="A62" s="444"/>
      <c r="B62" s="1223"/>
      <c r="C62" s="1851">
        <v>320</v>
      </c>
      <c r="D62" s="6034" t="s">
        <v>1749</v>
      </c>
      <c r="E62" s="5982"/>
      <c r="F62" s="6035" t="str">
        <f>IF(C52=0,"",VLOOKUP(C52,'Tablas psiquica'!$D$7:$R$145,14,FALSE))</f>
        <v/>
      </c>
      <c r="G62" s="5664"/>
      <c r="H62" s="5664"/>
      <c r="I62" s="5701"/>
      <c r="J62" s="745"/>
      <c r="K62" s="1851">
        <v>320</v>
      </c>
      <c r="L62" s="6034" t="s">
        <v>1749</v>
      </c>
      <c r="M62" s="5982"/>
      <c r="N62" s="6035" t="str">
        <f>IF(K52=0,"",VLOOKUP(K52,'Tablas psiquica'!$D$7:$R$145,14,FALSE))</f>
        <v/>
      </c>
      <c r="O62" s="5664"/>
      <c r="P62" s="5664"/>
      <c r="Q62" s="5701"/>
      <c r="R62" s="1223"/>
      <c r="S62" s="1851">
        <v>320</v>
      </c>
      <c r="T62" s="6034" t="s">
        <v>1749</v>
      </c>
      <c r="U62" s="5982"/>
      <c r="V62" s="6035" t="str">
        <f>IF(S52=0,"",VLOOKUP(S52,'Tablas psiquica'!$D$7:$R$145,14,FALSE))</f>
        <v/>
      </c>
      <c r="W62" s="5664"/>
      <c r="X62" s="5664"/>
      <c r="Y62" s="5701"/>
      <c r="Z62" s="450"/>
      <c r="AA62" s="444"/>
      <c r="AB62" s="444"/>
      <c r="AC62" s="1223"/>
      <c r="AD62" s="1851">
        <v>320</v>
      </c>
      <c r="AE62" s="6034" t="s">
        <v>1749</v>
      </c>
      <c r="AF62" s="5982"/>
      <c r="AG62" s="6035" t="str">
        <f>IF(AD52=0,"",VLOOKUP(AD52,'Tablas psiquica'!$D$7:$R$145,14,FALSE))</f>
        <v/>
      </c>
      <c r="AH62" s="5664"/>
      <c r="AI62" s="5664"/>
      <c r="AJ62" s="5701"/>
      <c r="AK62" s="745"/>
      <c r="AL62" s="1851">
        <v>320</v>
      </c>
      <c r="AM62" s="6034" t="s">
        <v>1749</v>
      </c>
      <c r="AN62" s="5982"/>
      <c r="AO62" s="6035" t="str">
        <f>IF(AL52=0,"",VLOOKUP(AL52,'Tablas psiquica'!$D$7:$R$145,14,FALSE))</f>
        <v/>
      </c>
      <c r="AP62" s="5664"/>
      <c r="AQ62" s="5664"/>
      <c r="AR62" s="5701"/>
      <c r="AS62" s="1223"/>
      <c r="AT62" s="1851">
        <v>320</v>
      </c>
      <c r="AU62" s="6034" t="s">
        <v>1749</v>
      </c>
      <c r="AV62" s="5982"/>
      <c r="AW62" s="6035" t="str">
        <f>IF(AT52=0,"",VLOOKUP(AT52,'Tablas psiquica'!$D$7:$R$145,14,FALSE))</f>
        <v/>
      </c>
      <c r="AX62" s="5664"/>
      <c r="AY62" s="5664"/>
      <c r="AZ62" s="5701"/>
      <c r="BA62" s="450"/>
      <c r="BB62" s="444"/>
      <c r="BC62" s="444"/>
      <c r="BD62" s="1223"/>
      <c r="BE62" s="1851">
        <v>320</v>
      </c>
      <c r="BF62" s="6034" t="s">
        <v>1749</v>
      </c>
      <c r="BG62" s="5982"/>
      <c r="BH62" s="6035" t="str">
        <f>IF(BE52=0,"",VLOOKUP(BE52,'Tablas psiquica'!$D$7:$R$145,14,FALSE))</f>
        <v/>
      </c>
      <c r="BI62" s="5664"/>
      <c r="BJ62" s="5664"/>
      <c r="BK62" s="5701"/>
      <c r="BL62" s="745"/>
      <c r="BM62" s="1851">
        <v>320</v>
      </c>
      <c r="BN62" s="6034" t="s">
        <v>1749</v>
      </c>
      <c r="BO62" s="5982"/>
      <c r="BP62" s="6035" t="str">
        <f>IF(BM52=0,"",VLOOKUP(BM52,'Tablas psiquica'!$D$7:$R$145,14,FALSE))</f>
        <v/>
      </c>
      <c r="BQ62" s="5664"/>
      <c r="BR62" s="5664"/>
      <c r="BS62" s="5701"/>
      <c r="BT62" s="1223"/>
      <c r="BU62" s="1851">
        <v>320</v>
      </c>
      <c r="BV62" s="6034" t="s">
        <v>1749</v>
      </c>
      <c r="BW62" s="5982"/>
      <c r="BX62" s="6035" t="str">
        <f>IF(BU52=0,"",VLOOKUP(BU52,'Tablas psiquica'!$D$7:$R$145,14,FALSE))</f>
        <v/>
      </c>
      <c r="BY62" s="5664"/>
      <c r="BZ62" s="5664"/>
      <c r="CA62" s="5701"/>
      <c r="CB62" s="450"/>
      <c r="CC62" s="444"/>
      <c r="CD62" s="444"/>
      <c r="CE62" s="1223"/>
      <c r="CF62" s="1851">
        <v>320</v>
      </c>
      <c r="CG62" s="6034" t="s">
        <v>1749</v>
      </c>
      <c r="CH62" s="5982"/>
      <c r="CI62" s="6035" t="str">
        <f>IF(CF52=0,"",VLOOKUP(CF52,'Tablas psiquica'!$D$7:$R$145,14,FALSE))</f>
        <v/>
      </c>
      <c r="CJ62" s="5664"/>
      <c r="CK62" s="5664"/>
      <c r="CL62" s="5701"/>
      <c r="CM62" s="745"/>
      <c r="CN62" s="1851">
        <v>320</v>
      </c>
      <c r="CO62" s="6034" t="s">
        <v>1749</v>
      </c>
      <c r="CP62" s="5982"/>
      <c r="CQ62" s="6035" t="str">
        <f>IF(CN52=0,"",VLOOKUP(CN52,'Tablas psiquica'!$D$7:$R$145,14,FALSE))</f>
        <v/>
      </c>
      <c r="CR62" s="5664"/>
      <c r="CS62" s="5664"/>
      <c r="CT62" s="5701"/>
      <c r="CU62" s="1223"/>
      <c r="CV62" s="1851">
        <v>320</v>
      </c>
      <c r="CW62" s="6034" t="s">
        <v>1749</v>
      </c>
      <c r="CX62" s="5982"/>
      <c r="CY62" s="6035" t="str">
        <f>IF(CV52=0,"",VLOOKUP(CV52,'Tablas psiquica'!$D$7:$R$145,14,FALSE))</f>
        <v/>
      </c>
      <c r="CZ62" s="5664"/>
      <c r="DA62" s="5664"/>
      <c r="DB62" s="5701"/>
      <c r="DC62" s="450"/>
      <c r="DD62" s="444"/>
    </row>
    <row r="63" spans="1:108" ht="12" customHeight="1" x14ac:dyDescent="0.2">
      <c r="A63" s="444"/>
      <c r="B63" s="1223"/>
      <c r="C63" s="476">
        <v>440</v>
      </c>
      <c r="D63" s="6032" t="s">
        <v>1692</v>
      </c>
      <c r="E63" s="6033"/>
      <c r="F63" s="6029" t="str">
        <f>IF(C52=0,"",VLOOKUP(C52,'Tablas psiquica'!$D$7:$R$145,15,FALSE))</f>
        <v/>
      </c>
      <c r="G63" s="6030"/>
      <c r="H63" s="6030"/>
      <c r="I63" s="6031"/>
      <c r="J63" s="745"/>
      <c r="K63" s="476">
        <v>440</v>
      </c>
      <c r="L63" s="6032" t="s">
        <v>1692</v>
      </c>
      <c r="M63" s="6033"/>
      <c r="N63" s="6029" t="str">
        <f>IF(K52=0,"",VLOOKUP(K52,'Tablas psiquica'!$D$7:$R$145,15,FALSE))</f>
        <v/>
      </c>
      <c r="O63" s="6030"/>
      <c r="P63" s="6030"/>
      <c r="Q63" s="6031"/>
      <c r="R63" s="1223"/>
      <c r="S63" s="476">
        <v>440</v>
      </c>
      <c r="T63" s="6032" t="s">
        <v>1692</v>
      </c>
      <c r="U63" s="6033"/>
      <c r="V63" s="6029" t="str">
        <f>IF(S52=0,"",VLOOKUP(S52,'Tablas psiquica'!$D$7:$R$145,15,FALSE))</f>
        <v/>
      </c>
      <c r="W63" s="6030"/>
      <c r="X63" s="6030"/>
      <c r="Y63" s="6031"/>
      <c r="Z63" s="450"/>
      <c r="AA63" s="444"/>
      <c r="AB63" s="444"/>
      <c r="AC63" s="1223"/>
      <c r="AD63" s="476">
        <v>440</v>
      </c>
      <c r="AE63" s="6032" t="s">
        <v>1692</v>
      </c>
      <c r="AF63" s="6033"/>
      <c r="AG63" s="6029" t="str">
        <f>IF(AD52=0,"",VLOOKUP(AD52,'Tablas psiquica'!$D$7:$R$145,15,FALSE))</f>
        <v/>
      </c>
      <c r="AH63" s="6030"/>
      <c r="AI63" s="6030"/>
      <c r="AJ63" s="6031"/>
      <c r="AK63" s="745"/>
      <c r="AL63" s="476">
        <v>440</v>
      </c>
      <c r="AM63" s="6032" t="s">
        <v>1692</v>
      </c>
      <c r="AN63" s="6033"/>
      <c r="AO63" s="6029" t="str">
        <f>IF(AL52=0,"",VLOOKUP(AL52,'Tablas psiquica'!$D$7:$R$145,15,FALSE))</f>
        <v/>
      </c>
      <c r="AP63" s="6030"/>
      <c r="AQ63" s="6030"/>
      <c r="AR63" s="6031"/>
      <c r="AS63" s="1223"/>
      <c r="AT63" s="476">
        <v>440</v>
      </c>
      <c r="AU63" s="6032" t="s">
        <v>1692</v>
      </c>
      <c r="AV63" s="6033"/>
      <c r="AW63" s="6029" t="str">
        <f>IF(AT52=0,"",VLOOKUP(AT52,'Tablas psiquica'!$D$7:$R$145,15,FALSE))</f>
        <v/>
      </c>
      <c r="AX63" s="6030"/>
      <c r="AY63" s="6030"/>
      <c r="AZ63" s="6031"/>
      <c r="BA63" s="450"/>
      <c r="BB63" s="444"/>
      <c r="BC63" s="444"/>
      <c r="BD63" s="1223"/>
      <c r="BE63" s="476">
        <v>440</v>
      </c>
      <c r="BF63" s="6032" t="s">
        <v>1692</v>
      </c>
      <c r="BG63" s="6033"/>
      <c r="BH63" s="6029" t="str">
        <f>IF(BE52=0,"",VLOOKUP(BE52,'Tablas psiquica'!$D$7:$R$145,15,FALSE))</f>
        <v/>
      </c>
      <c r="BI63" s="6030"/>
      <c r="BJ63" s="6030"/>
      <c r="BK63" s="6031"/>
      <c r="BL63" s="745"/>
      <c r="BM63" s="476">
        <v>440</v>
      </c>
      <c r="BN63" s="6032" t="s">
        <v>1692</v>
      </c>
      <c r="BO63" s="6033"/>
      <c r="BP63" s="6029" t="str">
        <f>IF(BM52=0,"",VLOOKUP(BM52,'Tablas psiquica'!$D$7:$R$145,15,FALSE))</f>
        <v/>
      </c>
      <c r="BQ63" s="6030"/>
      <c r="BR63" s="6030"/>
      <c r="BS63" s="6031"/>
      <c r="BT63" s="1223"/>
      <c r="BU63" s="476">
        <v>440</v>
      </c>
      <c r="BV63" s="6032" t="s">
        <v>1692</v>
      </c>
      <c r="BW63" s="6033"/>
      <c r="BX63" s="6029" t="str">
        <f>IF(BU52=0,"",VLOOKUP(BU52,'Tablas psiquica'!$D$7:$R$145,15,FALSE))</f>
        <v/>
      </c>
      <c r="BY63" s="6030"/>
      <c r="BZ63" s="6030"/>
      <c r="CA63" s="6031"/>
      <c r="CB63" s="450"/>
      <c r="CC63" s="444"/>
      <c r="CD63" s="444"/>
      <c r="CE63" s="1223"/>
      <c r="CF63" s="476">
        <v>440</v>
      </c>
      <c r="CG63" s="6032" t="s">
        <v>1692</v>
      </c>
      <c r="CH63" s="6033"/>
      <c r="CI63" s="6029" t="str">
        <f>IF(CF52=0,"",VLOOKUP(CF52,'Tablas psiquica'!$D$7:$R$145,15,FALSE))</f>
        <v/>
      </c>
      <c r="CJ63" s="6030"/>
      <c r="CK63" s="6030"/>
      <c r="CL63" s="6031"/>
      <c r="CM63" s="745"/>
      <c r="CN63" s="476">
        <v>440</v>
      </c>
      <c r="CO63" s="6032" t="s">
        <v>1692</v>
      </c>
      <c r="CP63" s="6033"/>
      <c r="CQ63" s="6029" t="str">
        <f>IF(CN52=0,"",VLOOKUP(CN52,'Tablas psiquica'!$D$7:$R$145,15,FALSE))</f>
        <v/>
      </c>
      <c r="CR63" s="6030"/>
      <c r="CS63" s="6030"/>
      <c r="CT63" s="6031"/>
      <c r="CU63" s="1223"/>
      <c r="CV63" s="476">
        <v>440</v>
      </c>
      <c r="CW63" s="6032" t="s">
        <v>1692</v>
      </c>
      <c r="CX63" s="6033"/>
      <c r="CY63" s="6029" t="str">
        <f>IF(CV52=0,"",VLOOKUP(CV52,'Tablas psiquica'!$D$7:$R$145,15,FALSE))</f>
        <v/>
      </c>
      <c r="CZ63" s="6030"/>
      <c r="DA63" s="6030"/>
      <c r="DB63" s="6031"/>
      <c r="DC63" s="450"/>
      <c r="DD63" s="444"/>
    </row>
    <row r="64" spans="1:108" ht="12" customHeight="1" thickBot="1" x14ac:dyDescent="0.25">
      <c r="A64" s="444"/>
      <c r="B64" s="1223"/>
      <c r="C64" s="6026" t="s">
        <v>6396</v>
      </c>
      <c r="D64" s="6027"/>
      <c r="E64" s="477" t="str">
        <f>IF(C52=0,"",VLOOKUP(C52,'Tablas psiquica'!$D$7:$R$145,4,FALSE))</f>
        <v/>
      </c>
      <c r="F64" s="6028" t="s">
        <v>6391</v>
      </c>
      <c r="G64" s="6028"/>
      <c r="H64" s="4769" t="str">
        <f>IF(C52=0,"",VLOOKUP(C52,'Tablas psiquica'!$D$7:$R$145,5,FALSE))</f>
        <v/>
      </c>
      <c r="I64" s="4770"/>
      <c r="J64" s="745"/>
      <c r="K64" s="6026" t="s">
        <v>6396</v>
      </c>
      <c r="L64" s="6027"/>
      <c r="M64" s="477" t="str">
        <f>IF(K52=0,"",VLOOKUP(K52,'Tablas psiquica'!$D$7:$R$145,4,FALSE))</f>
        <v/>
      </c>
      <c r="N64" s="6028" t="s">
        <v>6391</v>
      </c>
      <c r="O64" s="6028"/>
      <c r="P64" s="4769" t="str">
        <f>IF(K52=0,"",VLOOKUP(K52,'Tablas psiquica'!$D$7:$R$145,5,FALSE))</f>
        <v/>
      </c>
      <c r="Q64" s="4770"/>
      <c r="R64" s="1223"/>
      <c r="S64" s="6026" t="s">
        <v>6396</v>
      </c>
      <c r="T64" s="6027"/>
      <c r="U64" s="477" t="str">
        <f>IF(S52=0,"",VLOOKUP(S52,'Tablas psiquica'!$D$7:$R$145,4,FALSE))</f>
        <v/>
      </c>
      <c r="V64" s="6028" t="s">
        <v>6391</v>
      </c>
      <c r="W64" s="6028"/>
      <c r="X64" s="4769" t="str">
        <f>IF(S52=0,"",VLOOKUP(S52,'Tablas psiquica'!$D$7:$R$145,5,FALSE))</f>
        <v/>
      </c>
      <c r="Y64" s="4770"/>
      <c r="Z64" s="450"/>
      <c r="AA64" s="444"/>
      <c r="AB64" s="444"/>
      <c r="AC64" s="1223"/>
      <c r="AD64" s="6026" t="s">
        <v>6396</v>
      </c>
      <c r="AE64" s="6027"/>
      <c r="AF64" s="477" t="str">
        <f>IF(AD52=0,"",VLOOKUP(AD52,'Tablas psiquica'!$D$7:$R$145,4,FALSE))</f>
        <v/>
      </c>
      <c r="AG64" s="6028" t="s">
        <v>6391</v>
      </c>
      <c r="AH64" s="6028"/>
      <c r="AI64" s="4769" t="str">
        <f>IF(AD52=0,"",VLOOKUP(AD52,'Tablas psiquica'!$D$7:$R$145,5,FALSE))</f>
        <v/>
      </c>
      <c r="AJ64" s="4770"/>
      <c r="AK64" s="745"/>
      <c r="AL64" s="6026" t="s">
        <v>6396</v>
      </c>
      <c r="AM64" s="6027"/>
      <c r="AN64" s="477" t="str">
        <f>IF(AL52=0,"",VLOOKUP(AL52,'Tablas psiquica'!$D$7:$R$145,4,FALSE))</f>
        <v/>
      </c>
      <c r="AO64" s="6028" t="s">
        <v>6391</v>
      </c>
      <c r="AP64" s="6028"/>
      <c r="AQ64" s="4769" t="str">
        <f>IF(AL52=0,"",VLOOKUP(AL52,'Tablas psiquica'!$D$7:$R$145,5,FALSE))</f>
        <v/>
      </c>
      <c r="AR64" s="4770"/>
      <c r="AS64" s="1223"/>
      <c r="AT64" s="6026" t="s">
        <v>6396</v>
      </c>
      <c r="AU64" s="6027"/>
      <c r="AV64" s="477" t="str">
        <f>IF(AT52=0,"",VLOOKUP(AT52,'Tablas psiquica'!$D$7:$R$145,4,FALSE))</f>
        <v/>
      </c>
      <c r="AW64" s="6028" t="s">
        <v>6391</v>
      </c>
      <c r="AX64" s="6028"/>
      <c r="AY64" s="4769" t="str">
        <f>IF(AT52=0,"",VLOOKUP(AT52,'Tablas psiquica'!$D$7:$R$145,5,FALSE))</f>
        <v/>
      </c>
      <c r="AZ64" s="4770"/>
      <c r="BA64" s="450"/>
      <c r="BB64" s="444"/>
      <c r="BC64" s="444"/>
      <c r="BD64" s="1223"/>
      <c r="BE64" s="6026" t="s">
        <v>6396</v>
      </c>
      <c r="BF64" s="6027"/>
      <c r="BG64" s="477" t="str">
        <f>IF(BE52=0,"",VLOOKUP(BE52,'Tablas psiquica'!$D$7:$R$145,4,FALSE))</f>
        <v/>
      </c>
      <c r="BH64" s="6028" t="s">
        <v>6391</v>
      </c>
      <c r="BI64" s="6028"/>
      <c r="BJ64" s="4769" t="str">
        <f>IF(BE52=0,"",VLOOKUP(BE52,'Tablas psiquica'!$D$7:$R$145,5,FALSE))</f>
        <v/>
      </c>
      <c r="BK64" s="4770"/>
      <c r="BL64" s="745"/>
      <c r="BM64" s="6026" t="s">
        <v>6396</v>
      </c>
      <c r="BN64" s="6027"/>
      <c r="BO64" s="477" t="str">
        <f>IF(BM52=0,"",VLOOKUP(BM52,'Tablas psiquica'!$D$7:$R$145,4,FALSE))</f>
        <v/>
      </c>
      <c r="BP64" s="6028" t="s">
        <v>6391</v>
      </c>
      <c r="BQ64" s="6028"/>
      <c r="BR64" s="4769" t="str">
        <f>IF(BM52=0,"",VLOOKUP(BM52,'Tablas psiquica'!$D$7:$R$145,5,FALSE))</f>
        <v/>
      </c>
      <c r="BS64" s="4770"/>
      <c r="BT64" s="1223"/>
      <c r="BU64" s="6026" t="s">
        <v>6396</v>
      </c>
      <c r="BV64" s="6027"/>
      <c r="BW64" s="477" t="str">
        <f>IF(BU52=0,"",VLOOKUP(BU52,'Tablas psiquica'!$D$7:$R$145,4,FALSE))</f>
        <v/>
      </c>
      <c r="BX64" s="6028" t="s">
        <v>6391</v>
      </c>
      <c r="BY64" s="6028"/>
      <c r="BZ64" s="4769" t="str">
        <f>IF(BU52=0,"",VLOOKUP(BU52,'Tablas psiquica'!$D$7:$R$145,5,FALSE))</f>
        <v/>
      </c>
      <c r="CA64" s="4770"/>
      <c r="CB64" s="450"/>
      <c r="CC64" s="444"/>
      <c r="CD64" s="444"/>
      <c r="CE64" s="1223"/>
      <c r="CF64" s="6026" t="s">
        <v>6396</v>
      </c>
      <c r="CG64" s="6027"/>
      <c r="CH64" s="477" t="str">
        <f>IF(CF52=0,"",VLOOKUP(CF52,'Tablas psiquica'!$D$7:$R$145,4,FALSE))</f>
        <v/>
      </c>
      <c r="CI64" s="6028" t="s">
        <v>6391</v>
      </c>
      <c r="CJ64" s="6028"/>
      <c r="CK64" s="4769" t="str">
        <f>IF(CF52=0,"",VLOOKUP(CF52,'Tablas psiquica'!$D$7:$R$145,5,FALSE))</f>
        <v/>
      </c>
      <c r="CL64" s="4770"/>
      <c r="CM64" s="745"/>
      <c r="CN64" s="6026" t="s">
        <v>6396</v>
      </c>
      <c r="CO64" s="6027"/>
      <c r="CP64" s="477" t="str">
        <f>IF(CN52=0,"",VLOOKUP(CN52,'Tablas psiquica'!$D$7:$R$145,4,FALSE))</f>
        <v/>
      </c>
      <c r="CQ64" s="6028" t="s">
        <v>6391</v>
      </c>
      <c r="CR64" s="6028"/>
      <c r="CS64" s="4769" t="str">
        <f>IF(CN52=0,"",VLOOKUP(CN52,'Tablas psiquica'!$D$7:$R$145,5,FALSE))</f>
        <v/>
      </c>
      <c r="CT64" s="4770"/>
      <c r="CU64" s="1223"/>
      <c r="CV64" s="6026" t="s">
        <v>6396</v>
      </c>
      <c r="CW64" s="6027"/>
      <c r="CX64" s="477" t="str">
        <f>IF(CV52=0,"",VLOOKUP(CV52,'Tablas psiquica'!$D$7:$R$145,4,FALSE))</f>
        <v/>
      </c>
      <c r="CY64" s="6028" t="s">
        <v>6391</v>
      </c>
      <c r="CZ64" s="6028"/>
      <c r="DA64" s="4769" t="str">
        <f>IF(CV52=0,"",VLOOKUP(CV52,'Tablas psiquica'!$D$7:$R$145,5,FALSE))</f>
        <v/>
      </c>
      <c r="DB64" s="4770"/>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6044">
        <f>IFERROR(INDEX('Tablas psiquica'!$U$115:$AH$129,B66,Y$7),0)</f>
        <v>0</v>
      </c>
      <c r="D66" s="6045"/>
      <c r="E66" s="6045"/>
      <c r="F66" s="6045"/>
      <c r="G66" s="6045"/>
      <c r="H66" s="6045"/>
      <c r="I66" s="475" t="s">
        <v>1411</v>
      </c>
      <c r="J66" s="745">
        <v>14</v>
      </c>
      <c r="K66" s="6044">
        <f>IFERROR(INDEX('Tablas psiquica'!$U$115:$AH$129,J66,Y$7),0)</f>
        <v>0</v>
      </c>
      <c r="L66" s="6045"/>
      <c r="M66" s="6045"/>
      <c r="N66" s="6045"/>
      <c r="O66" s="6045"/>
      <c r="P66" s="6045"/>
      <c r="Q66" s="475" t="s">
        <v>1411</v>
      </c>
      <c r="R66" s="1223">
        <v>15</v>
      </c>
      <c r="S66" s="6044">
        <f>IFERROR(INDEX('Tablas psiquica'!$U$115:$AH$129,R66,Y$7),0)</f>
        <v>0</v>
      </c>
      <c r="T66" s="6045"/>
      <c r="U66" s="6045"/>
      <c r="V66" s="6045"/>
      <c r="W66" s="6045"/>
      <c r="X66" s="6045"/>
      <c r="Y66" s="475" t="s">
        <v>1411</v>
      </c>
      <c r="Z66" s="450"/>
      <c r="AA66" s="444"/>
      <c r="AB66" s="444"/>
      <c r="AC66" s="1223">
        <v>13</v>
      </c>
      <c r="AD66" s="6044">
        <f>IFERROR(INDEX('Tablas psiquica'!$U$115:$AH$129,AC66,AZ$7),0)</f>
        <v>0</v>
      </c>
      <c r="AE66" s="6045"/>
      <c r="AF66" s="6045"/>
      <c r="AG66" s="6045"/>
      <c r="AH66" s="6045"/>
      <c r="AI66" s="6045"/>
      <c r="AJ66" s="475" t="s">
        <v>1411</v>
      </c>
      <c r="AK66" s="745">
        <v>14</v>
      </c>
      <c r="AL66" s="6044">
        <f>IFERROR(INDEX('Tablas psiquica'!$U$115:$AH$129,AK66,AZ$7),0)</f>
        <v>0</v>
      </c>
      <c r="AM66" s="6045"/>
      <c r="AN66" s="6045"/>
      <c r="AO66" s="6045"/>
      <c r="AP66" s="6045"/>
      <c r="AQ66" s="6045"/>
      <c r="AR66" s="475" t="s">
        <v>1411</v>
      </c>
      <c r="AS66" s="1223">
        <v>15</v>
      </c>
      <c r="AT66" s="6044">
        <f>IFERROR(INDEX('Tablas psiquica'!$U$115:$AH$129,AS66,AZ$7),0)</f>
        <v>0</v>
      </c>
      <c r="AU66" s="6045"/>
      <c r="AV66" s="6045"/>
      <c r="AW66" s="6045"/>
      <c r="AX66" s="6045"/>
      <c r="AY66" s="6045"/>
      <c r="AZ66" s="475" t="s">
        <v>1411</v>
      </c>
      <c r="BA66" s="450"/>
      <c r="BB66" s="444"/>
      <c r="BC66" s="444"/>
      <c r="BD66" s="1223">
        <v>13</v>
      </c>
      <c r="BE66" s="6044">
        <f>IFERROR(INDEX('Tablas psiquica'!$U$115:$AH$129,BD66,CA$7),0)</f>
        <v>0</v>
      </c>
      <c r="BF66" s="6045"/>
      <c r="BG66" s="6045"/>
      <c r="BH66" s="6045"/>
      <c r="BI66" s="6045"/>
      <c r="BJ66" s="6045"/>
      <c r="BK66" s="475" t="s">
        <v>1411</v>
      </c>
      <c r="BL66" s="745">
        <v>14</v>
      </c>
      <c r="BM66" s="6044">
        <f>IFERROR(INDEX('Tablas psiquica'!$U$115:$AH$129,BL66,CA$7),0)</f>
        <v>0</v>
      </c>
      <c r="BN66" s="6045"/>
      <c r="BO66" s="6045"/>
      <c r="BP66" s="6045"/>
      <c r="BQ66" s="6045"/>
      <c r="BR66" s="6045"/>
      <c r="BS66" s="475" t="s">
        <v>1411</v>
      </c>
      <c r="BT66" s="1223">
        <v>15</v>
      </c>
      <c r="BU66" s="6044">
        <f>IFERROR(INDEX('Tablas psiquica'!$U$115:$AH$129,BT66,CA$7),0)</f>
        <v>0</v>
      </c>
      <c r="BV66" s="6045"/>
      <c r="BW66" s="6045"/>
      <c r="BX66" s="6045"/>
      <c r="BY66" s="6045"/>
      <c r="BZ66" s="6045"/>
      <c r="CA66" s="475" t="s">
        <v>1411</v>
      </c>
      <c r="CB66" s="450"/>
      <c r="CC66" s="444"/>
      <c r="CD66" s="444"/>
      <c r="CE66" s="1223">
        <v>13</v>
      </c>
      <c r="CF66" s="6044">
        <f>IFERROR(INDEX('Tablas psiquica'!$U$115:$AH$129,CE66,DB$7),0)</f>
        <v>0</v>
      </c>
      <c r="CG66" s="6045"/>
      <c r="CH66" s="6045"/>
      <c r="CI66" s="6045"/>
      <c r="CJ66" s="6045"/>
      <c r="CK66" s="6045"/>
      <c r="CL66" s="475" t="s">
        <v>1411</v>
      </c>
      <c r="CM66" s="745">
        <v>14</v>
      </c>
      <c r="CN66" s="6044">
        <f>IFERROR(INDEX('Tablas psiquica'!$U$115:$AH$129,CM66,DB$7),0)</f>
        <v>0</v>
      </c>
      <c r="CO66" s="6045"/>
      <c r="CP66" s="6045"/>
      <c r="CQ66" s="6045"/>
      <c r="CR66" s="6045"/>
      <c r="CS66" s="6045"/>
      <c r="CT66" s="475" t="s">
        <v>1411</v>
      </c>
      <c r="CU66" s="1223">
        <v>15</v>
      </c>
      <c r="CV66" s="6044">
        <f>IFERROR(INDEX('Tablas psiquica'!$U$115:$AH$129,CU66,DB$7),0)</f>
        <v>0</v>
      </c>
      <c r="CW66" s="6045"/>
      <c r="CX66" s="6045"/>
      <c r="CY66" s="6045"/>
      <c r="CZ66" s="6045"/>
      <c r="DA66" s="6045"/>
      <c r="DB66" s="475" t="s">
        <v>1411</v>
      </c>
      <c r="DC66" s="450"/>
      <c r="DD66" s="444"/>
    </row>
    <row r="67" spans="1:108" ht="12" customHeight="1" x14ac:dyDescent="0.2">
      <c r="A67" s="444"/>
      <c r="B67" s="294"/>
      <c r="C67" s="6039" t="str">
        <f>IF(C66=0,"",VLOOKUP(C66,'Tablas psiquica'!$D$7:$R$145,2,FALSE))</f>
        <v/>
      </c>
      <c r="D67" s="6040"/>
      <c r="E67" s="6040"/>
      <c r="F67" s="6041"/>
      <c r="G67" s="6042" t="str">
        <f>IF(C66=0,"",IF(INDEX('Tablas psiquica'!$U$114:$AH$114,1,$Y$7)=0,"No Accesible",IF(ISNA(VLOOKUP(C66,Psíquicos!$AS$17:$AS$43,1,0)),"Accesible CV","Aprendido")))</f>
        <v/>
      </c>
      <c r="H67" s="6043"/>
      <c r="I67" s="1890" t="str">
        <f>IF(C66=0,"",VLOOKUP(C66,'Tablas psiquica'!$D$7:$R$145,3,FALSE))</f>
        <v/>
      </c>
      <c r="K67" s="6039" t="str">
        <f>IF(K66=0,"",VLOOKUP(K66,'Tablas psiquica'!$D$7:$R$145,2,FALSE))</f>
        <v/>
      </c>
      <c r="L67" s="6040"/>
      <c r="M67" s="6040"/>
      <c r="N67" s="6041"/>
      <c r="O67" s="6042" t="str">
        <f>IF(K66=0,"",IF(INDEX('Tablas psiquica'!$U$114:$AH$114,1,$Y$7)=0,"No Accesible",IF(ISNA(VLOOKUP(K66,Psíquicos!$AS$17:$AS$43,1,0)),"Accesible CV","Aprendido")))</f>
        <v/>
      </c>
      <c r="P67" s="6043"/>
      <c r="Q67" s="1890" t="str">
        <f>IF(K66=0,"",VLOOKUP(K66,'Tablas psiquica'!$D$7:$R$145,3,FALSE))</f>
        <v/>
      </c>
      <c r="R67" s="294"/>
      <c r="S67" s="6039" t="str">
        <f>IF(S66=0,"",VLOOKUP(S66,'Tablas psiquica'!$D$7:$R$145,2,FALSE))</f>
        <v/>
      </c>
      <c r="T67" s="6040"/>
      <c r="U67" s="6040"/>
      <c r="V67" s="6041"/>
      <c r="W67" s="6042" t="str">
        <f>IF(S66=0,"",IF(INDEX('Tablas psiquica'!$U$114:$AH$114,1,$Y$7)=0,"No Accesible",IF(ISNA(VLOOKUP(S66,Psíquicos!$AS$17:$AS$43,1,0)),"Accesible CV","Aprendido")))</f>
        <v/>
      </c>
      <c r="X67" s="6043"/>
      <c r="Y67" s="1890" t="str">
        <f>IF(S66=0,"",VLOOKUP(S66,'Tablas psiquica'!$D$7:$R$145,3,FALSE))</f>
        <v/>
      </c>
      <c r="Z67" s="450"/>
      <c r="AA67" s="444"/>
      <c r="AB67" s="444"/>
      <c r="AC67" s="294"/>
      <c r="AD67" s="6039" t="str">
        <f>IF(AD66=0,"",VLOOKUP(AD66,'Tablas psiquica'!$D$7:$R$145,2,FALSE))</f>
        <v/>
      </c>
      <c r="AE67" s="6040"/>
      <c r="AF67" s="6040"/>
      <c r="AG67" s="6041"/>
      <c r="AH67" s="6042" t="str">
        <f>IF(AD66=0,"",IF(INDEX('Tablas psiquica'!$U$114:$AH$114,1,$AZ$7)=0,"No Accesible",IF(ISNA(VLOOKUP(AD66,Psíquicos!$AS$17:$AS$43,1,0)),"Accesible CV","Aprendido")))</f>
        <v/>
      </c>
      <c r="AI67" s="6043"/>
      <c r="AJ67" s="1890" t="str">
        <f>IF(AD66=0,"",VLOOKUP(AD66,'Tablas psiquica'!$D$7:$R$145,3,FALSE))</f>
        <v/>
      </c>
      <c r="AL67" s="6039" t="str">
        <f>IF(AL66=0,"",VLOOKUP(AL66,'Tablas psiquica'!$D$7:$R$145,2,FALSE))</f>
        <v/>
      </c>
      <c r="AM67" s="6040"/>
      <c r="AN67" s="6040"/>
      <c r="AO67" s="6041"/>
      <c r="AP67" s="6042" t="str">
        <f>IF(AL66=0,"",IF(INDEX('Tablas psiquica'!$U$114:$AH$114,1,$AZ$7)=0,"No Accesible",IF(ISNA(VLOOKUP(AL66,Psíquicos!$AS$17:$AS$43,1,0)),"Accesible CV","Aprendido")))</f>
        <v/>
      </c>
      <c r="AQ67" s="6043"/>
      <c r="AR67" s="1890" t="str">
        <f>IF(AL66=0,"",VLOOKUP(AL66,'Tablas psiquica'!$D$7:$R$145,3,FALSE))</f>
        <v/>
      </c>
      <c r="AS67" s="294"/>
      <c r="AT67" s="6039" t="str">
        <f>IF(AT66=0,"",VLOOKUP(AT66,'Tablas psiquica'!$D$7:$R$145,2,FALSE))</f>
        <v/>
      </c>
      <c r="AU67" s="6040"/>
      <c r="AV67" s="6040"/>
      <c r="AW67" s="6041"/>
      <c r="AX67" s="6042" t="str">
        <f>IF(AT66=0,"",IF(INDEX('Tablas psiquica'!$U$114:$AH$114,1,$AZ$7)=0,"No Accesible",IF(ISNA(VLOOKUP(AT66,Psíquicos!$AS$17:$AS$43,1,0)),"Accesible CV","Aprendido")))</f>
        <v/>
      </c>
      <c r="AY67" s="6043"/>
      <c r="AZ67" s="1890" t="str">
        <f>IF(AT66=0,"",VLOOKUP(AT66,'Tablas psiquica'!$D$7:$R$145,3,FALSE))</f>
        <v/>
      </c>
      <c r="BA67" s="450"/>
      <c r="BB67" s="444"/>
      <c r="BC67" s="444"/>
      <c r="BD67" s="294"/>
      <c r="BE67" s="6039" t="str">
        <f>IF(BE66=0,"",VLOOKUP(BE66,'Tablas psiquica'!$D$7:$R$145,2,FALSE))</f>
        <v/>
      </c>
      <c r="BF67" s="6040"/>
      <c r="BG67" s="6040"/>
      <c r="BH67" s="6041"/>
      <c r="BI67" s="6042" t="str">
        <f>IF(BE66=0,"",IF(INDEX('Tablas psiquica'!$U$114:$AH$114,1,$CA$7)=0,"No Accesible",IF(ISNA(VLOOKUP(BE66,Psíquicos!$AS$17:$AS$43,1,0)),"Accesible CV","Aprendido")))</f>
        <v/>
      </c>
      <c r="BJ67" s="6043"/>
      <c r="BK67" s="1890" t="str">
        <f>IF(BE66=0,"",VLOOKUP(BE66,'Tablas psiquica'!$D$7:$R$145,3,FALSE))</f>
        <v/>
      </c>
      <c r="BM67" s="6039" t="str">
        <f>IF(BM66=0,"",VLOOKUP(BM66,'Tablas psiquica'!$D$7:$R$145,2,FALSE))</f>
        <v/>
      </c>
      <c r="BN67" s="6040"/>
      <c r="BO67" s="6040"/>
      <c r="BP67" s="6041"/>
      <c r="BQ67" s="6042" t="str">
        <f>IF(BM66=0,"",IF(INDEX('Tablas psiquica'!$U$114:$AH$114,1,$CA$7)=0,"No Accesible",IF(ISNA(VLOOKUP(BM66,Psíquicos!$AS$17:$AS$43,1,0)),"Accesible CV","Aprendido")))</f>
        <v/>
      </c>
      <c r="BR67" s="6043"/>
      <c r="BS67" s="1890" t="str">
        <f>IF(BM66=0,"",VLOOKUP(BM66,'Tablas psiquica'!$D$7:$R$145,3,FALSE))</f>
        <v/>
      </c>
      <c r="BT67" s="294"/>
      <c r="BU67" s="6039" t="str">
        <f>IF(BU66=0,"",VLOOKUP(BU66,'Tablas psiquica'!$D$7:$R$145,2,FALSE))</f>
        <v/>
      </c>
      <c r="BV67" s="6040"/>
      <c r="BW67" s="6040"/>
      <c r="BX67" s="6041"/>
      <c r="BY67" s="6042" t="str">
        <f>IF(BU66=0,"",IF(INDEX('Tablas psiquica'!$U$114:$AH$114,1,$CA$7)=0,"No Accesible",IF(ISNA(VLOOKUP(BU66,Psíquicos!$AS$17:$AS$43,1,0)),"Accesible CV","Aprendido")))</f>
        <v/>
      </c>
      <c r="BZ67" s="6043"/>
      <c r="CA67" s="1890" t="str">
        <f>IF(BU66=0,"",VLOOKUP(BU66,'Tablas psiquica'!$D$7:$R$145,3,FALSE))</f>
        <v/>
      </c>
      <c r="CB67" s="450"/>
      <c r="CC67" s="444"/>
      <c r="CD67" s="444"/>
      <c r="CE67" s="294"/>
      <c r="CF67" s="6039" t="str">
        <f>IF(CF66=0,"",VLOOKUP(CF66,'Tablas psiquica'!$D$7:$R$145,2,FALSE))</f>
        <v/>
      </c>
      <c r="CG67" s="6040"/>
      <c r="CH67" s="6040"/>
      <c r="CI67" s="6041"/>
      <c r="CJ67" s="6042" t="str">
        <f>IF(CF66=0,"",IF(INDEX('Tablas psiquica'!$U$114:$AH$114,1,$DB$7)=0,"No Accesible",IF(ISNA(VLOOKUP(CF66,Psíquicos!$AS$17:$AS$43,1,0)),"Accesible CV","Aprendido")))</f>
        <v/>
      </c>
      <c r="CK67" s="6043"/>
      <c r="CL67" s="1890" t="str">
        <f>IF(CF66=0,"",VLOOKUP(CF66,'Tablas psiquica'!$D$7:$R$145,3,FALSE))</f>
        <v/>
      </c>
      <c r="CN67" s="6039" t="str">
        <f>IF(CN66=0,"",VLOOKUP(CN66,'Tablas psiquica'!$D$7:$R$145,2,FALSE))</f>
        <v/>
      </c>
      <c r="CO67" s="6040"/>
      <c r="CP67" s="6040"/>
      <c r="CQ67" s="6041"/>
      <c r="CR67" s="6042" t="str">
        <f>IF(CN66=0,"",IF(INDEX('Tablas psiquica'!$U$114:$AH$114,1,$DB$7)=0,"No Accesible",IF(ISNA(VLOOKUP(CN66,Psíquicos!$AS$17:$AS$43,1,0)),"Accesible CV","Aprendido")))</f>
        <v/>
      </c>
      <c r="CS67" s="6043"/>
      <c r="CT67" s="1890" t="str">
        <f>IF(CN66=0,"",VLOOKUP(CN66,'Tablas psiquica'!$D$7:$R$145,3,FALSE))</f>
        <v/>
      </c>
      <c r="CU67" s="294"/>
      <c r="CV67" s="6039" t="str">
        <f>IF(CV66=0,"",VLOOKUP(CV66,'Tablas psiquica'!$D$7:$R$145,2,FALSE))</f>
        <v/>
      </c>
      <c r="CW67" s="6040"/>
      <c r="CX67" s="6040"/>
      <c r="CY67" s="6041"/>
      <c r="CZ67" s="6042" t="str">
        <f>IF(CV66=0,"",IF(INDEX('Tablas psiquica'!$U$114:$AH$114,1,$DB$7)=0,"No Accesible",IF(ISNA(VLOOKUP(CV66,Psíquicos!$AS$17:$AS$43,1,0)),"Accesible CV","Aprendido")))</f>
        <v/>
      </c>
      <c r="DA67" s="6043"/>
      <c r="DB67" s="1890" t="str">
        <f>IF(CV66=0,"",VLOOKUP(CV66,'Tablas psiquica'!$D$7:$R$145,3,FALSE))</f>
        <v/>
      </c>
      <c r="DC67" s="450"/>
      <c r="DD67" s="444"/>
    </row>
    <row r="68" spans="1:108" ht="12" customHeight="1" x14ac:dyDescent="0.2">
      <c r="A68" s="444"/>
      <c r="B68" s="294"/>
      <c r="C68" s="1851">
        <v>20</v>
      </c>
      <c r="D68" s="6034" t="s">
        <v>1732</v>
      </c>
      <c r="E68" s="5982"/>
      <c r="F68" s="6035" t="str">
        <f>IF(C66=0,"",VLOOKUP(C66,'Tablas psiquica'!$D$7:$R$145,6,FALSE))</f>
        <v/>
      </c>
      <c r="G68" s="5664"/>
      <c r="H68" s="5664"/>
      <c r="I68" s="5701"/>
      <c r="K68" s="1851">
        <v>20</v>
      </c>
      <c r="L68" s="6034" t="s">
        <v>1732</v>
      </c>
      <c r="M68" s="5982"/>
      <c r="N68" s="6035" t="str">
        <f>IF(K66=0,"",VLOOKUP(K66,'Tablas psiquica'!$D$7:$R$145,6,FALSE))</f>
        <v/>
      </c>
      <c r="O68" s="5664"/>
      <c r="P68" s="5664"/>
      <c r="Q68" s="5701"/>
      <c r="R68" s="294"/>
      <c r="S68" s="1851">
        <v>20</v>
      </c>
      <c r="T68" s="6034" t="s">
        <v>1732</v>
      </c>
      <c r="U68" s="5982"/>
      <c r="V68" s="6035" t="str">
        <f>IF(S66=0,"",VLOOKUP(S66,'Tablas psiquica'!$D$7:$R$145,6,FALSE))</f>
        <v/>
      </c>
      <c r="W68" s="5664"/>
      <c r="X68" s="5664"/>
      <c r="Y68" s="5701"/>
      <c r="Z68" s="450"/>
      <c r="AA68" s="444"/>
      <c r="AB68" s="444"/>
      <c r="AC68" s="294"/>
      <c r="AD68" s="1851">
        <v>20</v>
      </c>
      <c r="AE68" s="6034" t="s">
        <v>1732</v>
      </c>
      <c r="AF68" s="5982"/>
      <c r="AG68" s="6035" t="str">
        <f>IF(AD66=0,"",VLOOKUP(AD66,'Tablas psiquica'!$D$7:$R$145,6,FALSE))</f>
        <v/>
      </c>
      <c r="AH68" s="5664"/>
      <c r="AI68" s="5664"/>
      <c r="AJ68" s="5701"/>
      <c r="AL68" s="1851">
        <v>20</v>
      </c>
      <c r="AM68" s="6034" t="s">
        <v>1732</v>
      </c>
      <c r="AN68" s="5982"/>
      <c r="AO68" s="6035" t="str">
        <f>IF(AL66=0,"",VLOOKUP(AL66,'Tablas psiquica'!$D$7:$R$145,6,FALSE))</f>
        <v/>
      </c>
      <c r="AP68" s="5664"/>
      <c r="AQ68" s="5664"/>
      <c r="AR68" s="5701"/>
      <c r="AS68" s="294"/>
      <c r="AT68" s="1851">
        <v>20</v>
      </c>
      <c r="AU68" s="6034" t="s">
        <v>1732</v>
      </c>
      <c r="AV68" s="5982"/>
      <c r="AW68" s="6035" t="str">
        <f>IF(AT66=0,"",VLOOKUP(AT66,'Tablas psiquica'!$D$7:$R$145,6,FALSE))</f>
        <v/>
      </c>
      <c r="AX68" s="5664"/>
      <c r="AY68" s="5664"/>
      <c r="AZ68" s="5701"/>
      <c r="BA68" s="450"/>
      <c r="BB68" s="444"/>
      <c r="BC68" s="444"/>
      <c r="BD68" s="294"/>
      <c r="BE68" s="1851">
        <v>20</v>
      </c>
      <c r="BF68" s="6034" t="s">
        <v>1732</v>
      </c>
      <c r="BG68" s="5982"/>
      <c r="BH68" s="6035" t="str">
        <f>IF(BE66=0,"",VLOOKUP(BE66,'Tablas psiquica'!$D$7:$R$145,6,FALSE))</f>
        <v/>
      </c>
      <c r="BI68" s="5664"/>
      <c r="BJ68" s="5664"/>
      <c r="BK68" s="5701"/>
      <c r="BM68" s="1851">
        <v>20</v>
      </c>
      <c r="BN68" s="6034" t="s">
        <v>1732</v>
      </c>
      <c r="BO68" s="5982"/>
      <c r="BP68" s="6035" t="str">
        <f>IF(BM66=0,"",VLOOKUP(BM66,'Tablas psiquica'!$D$7:$R$145,6,FALSE))</f>
        <v/>
      </c>
      <c r="BQ68" s="5664"/>
      <c r="BR68" s="5664"/>
      <c r="BS68" s="5701"/>
      <c r="BT68" s="294"/>
      <c r="BU68" s="1851">
        <v>20</v>
      </c>
      <c r="BV68" s="6034" t="s">
        <v>1732</v>
      </c>
      <c r="BW68" s="5982"/>
      <c r="BX68" s="6035" t="str">
        <f>IF(BU66=0,"",VLOOKUP(BU66,'Tablas psiquica'!$D$7:$R$145,6,FALSE))</f>
        <v/>
      </c>
      <c r="BY68" s="5664"/>
      <c r="BZ68" s="5664"/>
      <c r="CA68" s="5701"/>
      <c r="CB68" s="450"/>
      <c r="CC68" s="444"/>
      <c r="CD68" s="444"/>
      <c r="CE68" s="294"/>
      <c r="CF68" s="1851">
        <v>20</v>
      </c>
      <c r="CG68" s="6034" t="s">
        <v>1732</v>
      </c>
      <c r="CH68" s="5982"/>
      <c r="CI68" s="6035" t="str">
        <f>IF(CF66=0,"",VLOOKUP(CF66,'Tablas psiquica'!$D$7:$R$145,6,FALSE))</f>
        <v/>
      </c>
      <c r="CJ68" s="5664"/>
      <c r="CK68" s="5664"/>
      <c r="CL68" s="5701"/>
      <c r="CN68" s="1851">
        <v>20</v>
      </c>
      <c r="CO68" s="6034" t="s">
        <v>1732</v>
      </c>
      <c r="CP68" s="5982"/>
      <c r="CQ68" s="6035" t="str">
        <f>IF(CN66=0,"",VLOOKUP(CN66,'Tablas psiquica'!$D$7:$R$145,6,FALSE))</f>
        <v/>
      </c>
      <c r="CR68" s="5664"/>
      <c r="CS68" s="5664"/>
      <c r="CT68" s="5701"/>
      <c r="CU68" s="294"/>
      <c r="CV68" s="1851">
        <v>20</v>
      </c>
      <c r="CW68" s="6034" t="s">
        <v>1732</v>
      </c>
      <c r="CX68" s="5982"/>
      <c r="CY68" s="6035" t="str">
        <f>IF(CV66=0,"",VLOOKUP(CV66,'Tablas psiquica'!$D$7:$R$145,6,FALSE))</f>
        <v/>
      </c>
      <c r="CZ68" s="5664"/>
      <c r="DA68" s="5664"/>
      <c r="DB68" s="5701"/>
      <c r="DC68" s="450"/>
      <c r="DD68" s="444"/>
    </row>
    <row r="69" spans="1:108" ht="12" customHeight="1" x14ac:dyDescent="0.2">
      <c r="A69" s="444"/>
      <c r="B69" s="294"/>
      <c r="C69" s="1850">
        <v>40</v>
      </c>
      <c r="D69" s="6036" t="s">
        <v>1734</v>
      </c>
      <c r="E69" s="5977"/>
      <c r="F69" s="6037" t="str">
        <f>IF(C66=0,"",VLOOKUP(C66,'Tablas psiquica'!$D$7:$R$145,7,FALSE))</f>
        <v/>
      </c>
      <c r="G69" s="5911"/>
      <c r="H69" s="5911"/>
      <c r="I69" s="6038"/>
      <c r="K69" s="1850">
        <v>40</v>
      </c>
      <c r="L69" s="6036" t="s">
        <v>1734</v>
      </c>
      <c r="M69" s="5977"/>
      <c r="N69" s="6037" t="str">
        <f>IF(K66=0,"",VLOOKUP(K66,'Tablas psiquica'!$D$7:$R$145,7,FALSE))</f>
        <v/>
      </c>
      <c r="O69" s="5911"/>
      <c r="P69" s="5911"/>
      <c r="Q69" s="6038"/>
      <c r="R69" s="294"/>
      <c r="S69" s="1850">
        <v>40</v>
      </c>
      <c r="T69" s="6036" t="s">
        <v>1734</v>
      </c>
      <c r="U69" s="5977"/>
      <c r="V69" s="6037" t="str">
        <f>IF(S66=0,"",VLOOKUP(S66,'Tablas psiquica'!$D$7:$R$145,7,FALSE))</f>
        <v/>
      </c>
      <c r="W69" s="5911"/>
      <c r="X69" s="5911"/>
      <c r="Y69" s="6038"/>
      <c r="Z69" s="450"/>
      <c r="AA69" s="444"/>
      <c r="AB69" s="444"/>
      <c r="AC69" s="294"/>
      <c r="AD69" s="1850">
        <v>40</v>
      </c>
      <c r="AE69" s="6036" t="s">
        <v>1734</v>
      </c>
      <c r="AF69" s="5977"/>
      <c r="AG69" s="6037" t="str">
        <f>IF(AD66=0,"",VLOOKUP(AD66,'Tablas psiquica'!$D$7:$R$145,7,FALSE))</f>
        <v/>
      </c>
      <c r="AH69" s="5911"/>
      <c r="AI69" s="5911"/>
      <c r="AJ69" s="6038"/>
      <c r="AL69" s="1850">
        <v>40</v>
      </c>
      <c r="AM69" s="6036" t="s">
        <v>1734</v>
      </c>
      <c r="AN69" s="5977"/>
      <c r="AO69" s="6037" t="str">
        <f>IF(AL66=0,"",VLOOKUP(AL66,'Tablas psiquica'!$D$7:$R$145,7,FALSE))</f>
        <v/>
      </c>
      <c r="AP69" s="5911"/>
      <c r="AQ69" s="5911"/>
      <c r="AR69" s="6038"/>
      <c r="AS69" s="294"/>
      <c r="AT69" s="1850">
        <v>40</v>
      </c>
      <c r="AU69" s="6036" t="s">
        <v>1734</v>
      </c>
      <c r="AV69" s="5977"/>
      <c r="AW69" s="6037" t="str">
        <f>IF(AT66=0,"",VLOOKUP(AT66,'Tablas psiquica'!$D$7:$R$145,7,FALSE))</f>
        <v/>
      </c>
      <c r="AX69" s="5911"/>
      <c r="AY69" s="5911"/>
      <c r="AZ69" s="6038"/>
      <c r="BA69" s="450"/>
      <c r="BB69" s="444"/>
      <c r="BC69" s="444"/>
      <c r="BD69" s="294"/>
      <c r="BE69" s="1850">
        <v>40</v>
      </c>
      <c r="BF69" s="6036" t="s">
        <v>1734</v>
      </c>
      <c r="BG69" s="5977"/>
      <c r="BH69" s="6037" t="str">
        <f>IF(BE66=0,"",VLOOKUP(BE66,'Tablas psiquica'!$D$7:$R$145,7,FALSE))</f>
        <v/>
      </c>
      <c r="BI69" s="5911"/>
      <c r="BJ69" s="5911"/>
      <c r="BK69" s="6038"/>
      <c r="BM69" s="1850">
        <v>40</v>
      </c>
      <c r="BN69" s="6036" t="s">
        <v>1734</v>
      </c>
      <c r="BO69" s="5977"/>
      <c r="BP69" s="6037" t="str">
        <f>IF(BM66=0,"",VLOOKUP(BM66,'Tablas psiquica'!$D$7:$R$145,7,FALSE))</f>
        <v/>
      </c>
      <c r="BQ69" s="5911"/>
      <c r="BR69" s="5911"/>
      <c r="BS69" s="6038"/>
      <c r="BT69" s="294"/>
      <c r="BU69" s="1850">
        <v>40</v>
      </c>
      <c r="BV69" s="6036" t="s">
        <v>1734</v>
      </c>
      <c r="BW69" s="5977"/>
      <c r="BX69" s="6037" t="str">
        <f>IF(BU66=0,"",VLOOKUP(BU66,'Tablas psiquica'!$D$7:$R$145,7,FALSE))</f>
        <v/>
      </c>
      <c r="BY69" s="5911"/>
      <c r="BZ69" s="5911"/>
      <c r="CA69" s="6038"/>
      <c r="CB69" s="450"/>
      <c r="CC69" s="444"/>
      <c r="CD69" s="444"/>
      <c r="CE69" s="294"/>
      <c r="CF69" s="1850">
        <v>40</v>
      </c>
      <c r="CG69" s="6036" t="s">
        <v>1734</v>
      </c>
      <c r="CH69" s="5977"/>
      <c r="CI69" s="6037" t="str">
        <f>IF(CF66=0,"",VLOOKUP(CF66,'Tablas psiquica'!$D$7:$R$145,7,FALSE))</f>
        <v/>
      </c>
      <c r="CJ69" s="5911"/>
      <c r="CK69" s="5911"/>
      <c r="CL69" s="6038"/>
      <c r="CN69" s="1850">
        <v>40</v>
      </c>
      <c r="CO69" s="6036" t="s">
        <v>1734</v>
      </c>
      <c r="CP69" s="5977"/>
      <c r="CQ69" s="6037" t="str">
        <f>IF(CN66=0,"",VLOOKUP(CN66,'Tablas psiquica'!$D$7:$R$145,7,FALSE))</f>
        <v/>
      </c>
      <c r="CR69" s="5911"/>
      <c r="CS69" s="5911"/>
      <c r="CT69" s="6038"/>
      <c r="CU69" s="294"/>
      <c r="CV69" s="1850">
        <v>40</v>
      </c>
      <c r="CW69" s="6036" t="s">
        <v>1734</v>
      </c>
      <c r="CX69" s="5977"/>
      <c r="CY69" s="6037" t="str">
        <f>IF(CV66=0,"",VLOOKUP(CV66,'Tablas psiquica'!$D$7:$R$145,7,FALSE))</f>
        <v/>
      </c>
      <c r="CZ69" s="5911"/>
      <c r="DA69" s="5911"/>
      <c r="DB69" s="6038"/>
      <c r="DC69" s="450"/>
      <c r="DD69" s="444"/>
    </row>
    <row r="70" spans="1:108" ht="12" customHeight="1" x14ac:dyDescent="0.2">
      <c r="A70" s="444"/>
      <c r="B70" s="294"/>
      <c r="C70" s="1851">
        <v>80</v>
      </c>
      <c r="D70" s="6034" t="s">
        <v>1737</v>
      </c>
      <c r="E70" s="5982"/>
      <c r="F70" s="6035" t="str">
        <f>IF(C66=0,"",VLOOKUP(C66,'Tablas psiquica'!$D$7:$R$145,8,FALSE))</f>
        <v/>
      </c>
      <c r="G70" s="5664"/>
      <c r="H70" s="5664"/>
      <c r="I70" s="5701"/>
      <c r="K70" s="1851">
        <v>80</v>
      </c>
      <c r="L70" s="6034" t="s">
        <v>1737</v>
      </c>
      <c r="M70" s="5982"/>
      <c r="N70" s="6035" t="str">
        <f>IF(K66=0,"",VLOOKUP(K66,'Tablas psiquica'!$D$7:$R$145,8,FALSE))</f>
        <v/>
      </c>
      <c r="O70" s="5664"/>
      <c r="P70" s="5664"/>
      <c r="Q70" s="5701"/>
      <c r="R70" s="294"/>
      <c r="S70" s="1851">
        <v>80</v>
      </c>
      <c r="T70" s="6034" t="s">
        <v>1737</v>
      </c>
      <c r="U70" s="5982"/>
      <c r="V70" s="6035" t="str">
        <f>IF(S66=0,"",VLOOKUP(S66,'Tablas psiquica'!$D$7:$R$145,8,FALSE))</f>
        <v/>
      </c>
      <c r="W70" s="5664"/>
      <c r="X70" s="5664"/>
      <c r="Y70" s="5701"/>
      <c r="Z70" s="450"/>
      <c r="AA70" s="444"/>
      <c r="AB70" s="444"/>
      <c r="AC70" s="294"/>
      <c r="AD70" s="1851">
        <v>80</v>
      </c>
      <c r="AE70" s="6034" t="s">
        <v>1737</v>
      </c>
      <c r="AF70" s="5982"/>
      <c r="AG70" s="6035" t="str">
        <f>IF(AD66=0,"",VLOOKUP(AD66,'Tablas psiquica'!$D$7:$R$145,8,FALSE))</f>
        <v/>
      </c>
      <c r="AH70" s="5664"/>
      <c r="AI70" s="5664"/>
      <c r="AJ70" s="5701"/>
      <c r="AL70" s="1851">
        <v>80</v>
      </c>
      <c r="AM70" s="6034" t="s">
        <v>1737</v>
      </c>
      <c r="AN70" s="5982"/>
      <c r="AO70" s="6035" t="str">
        <f>IF(AL66=0,"",VLOOKUP(AL66,'Tablas psiquica'!$D$7:$R$145,8,FALSE))</f>
        <v/>
      </c>
      <c r="AP70" s="5664"/>
      <c r="AQ70" s="5664"/>
      <c r="AR70" s="5701"/>
      <c r="AS70" s="294"/>
      <c r="AT70" s="1851">
        <v>80</v>
      </c>
      <c r="AU70" s="6034" t="s">
        <v>1737</v>
      </c>
      <c r="AV70" s="5982"/>
      <c r="AW70" s="6035" t="str">
        <f>IF(AT66=0,"",VLOOKUP(AT66,'Tablas psiquica'!$D$7:$R$145,8,FALSE))</f>
        <v/>
      </c>
      <c r="AX70" s="5664"/>
      <c r="AY70" s="5664"/>
      <c r="AZ70" s="5701"/>
      <c r="BA70" s="450"/>
      <c r="BB70" s="444"/>
      <c r="BC70" s="444"/>
      <c r="BD70" s="294"/>
      <c r="BE70" s="1851">
        <v>80</v>
      </c>
      <c r="BF70" s="6034" t="s">
        <v>1737</v>
      </c>
      <c r="BG70" s="5982"/>
      <c r="BH70" s="6035" t="str">
        <f>IF(BE66=0,"",VLOOKUP(BE66,'Tablas psiquica'!$D$7:$R$145,8,FALSE))</f>
        <v/>
      </c>
      <c r="BI70" s="5664"/>
      <c r="BJ70" s="5664"/>
      <c r="BK70" s="5701"/>
      <c r="BM70" s="1851">
        <v>80</v>
      </c>
      <c r="BN70" s="6034" t="s">
        <v>1737</v>
      </c>
      <c r="BO70" s="5982"/>
      <c r="BP70" s="6035" t="str">
        <f>IF(BM66=0,"",VLOOKUP(BM66,'Tablas psiquica'!$D$7:$R$145,8,FALSE))</f>
        <v/>
      </c>
      <c r="BQ70" s="5664"/>
      <c r="BR70" s="5664"/>
      <c r="BS70" s="5701"/>
      <c r="BT70" s="294"/>
      <c r="BU70" s="1851">
        <v>80</v>
      </c>
      <c r="BV70" s="6034" t="s">
        <v>1737</v>
      </c>
      <c r="BW70" s="5982"/>
      <c r="BX70" s="6035" t="str">
        <f>IF(BU66=0,"",VLOOKUP(BU66,'Tablas psiquica'!$D$7:$R$145,8,FALSE))</f>
        <v/>
      </c>
      <c r="BY70" s="5664"/>
      <c r="BZ70" s="5664"/>
      <c r="CA70" s="5701"/>
      <c r="CB70" s="450"/>
      <c r="CC70" s="444"/>
      <c r="CD70" s="444"/>
      <c r="CE70" s="294"/>
      <c r="CF70" s="1851">
        <v>80</v>
      </c>
      <c r="CG70" s="6034" t="s">
        <v>1737</v>
      </c>
      <c r="CH70" s="5982"/>
      <c r="CI70" s="6035" t="str">
        <f>IF(CF66=0,"",VLOOKUP(CF66,'Tablas psiquica'!$D$7:$R$145,8,FALSE))</f>
        <v/>
      </c>
      <c r="CJ70" s="5664"/>
      <c r="CK70" s="5664"/>
      <c r="CL70" s="5701"/>
      <c r="CN70" s="1851">
        <v>80</v>
      </c>
      <c r="CO70" s="6034" t="s">
        <v>1737</v>
      </c>
      <c r="CP70" s="5982"/>
      <c r="CQ70" s="6035" t="str">
        <f>IF(CN66=0,"",VLOOKUP(CN66,'Tablas psiquica'!$D$7:$R$145,8,FALSE))</f>
        <v/>
      </c>
      <c r="CR70" s="5664"/>
      <c r="CS70" s="5664"/>
      <c r="CT70" s="5701"/>
      <c r="CU70" s="294"/>
      <c r="CV70" s="1851">
        <v>80</v>
      </c>
      <c r="CW70" s="6034" t="s">
        <v>1737</v>
      </c>
      <c r="CX70" s="5982"/>
      <c r="CY70" s="6035" t="str">
        <f>IF(CV66=0,"",VLOOKUP(CV66,'Tablas psiquica'!$D$7:$R$145,8,FALSE))</f>
        <v/>
      </c>
      <c r="CZ70" s="5664"/>
      <c r="DA70" s="5664"/>
      <c r="DB70" s="5701"/>
      <c r="DC70" s="450"/>
      <c r="DD70" s="444"/>
    </row>
    <row r="71" spans="1:108" ht="12" customHeight="1" x14ac:dyDescent="0.2">
      <c r="A71" s="444"/>
      <c r="B71" s="294"/>
      <c r="C71" s="1850">
        <v>120</v>
      </c>
      <c r="D71" s="6036" t="s">
        <v>1740</v>
      </c>
      <c r="E71" s="5977"/>
      <c r="F71" s="6037" t="str">
        <f>IF(C66=0,"",VLOOKUP(C66,'Tablas psiquica'!$D$7:$R$145,9,FALSE))</f>
        <v/>
      </c>
      <c r="G71" s="5911"/>
      <c r="H71" s="5911"/>
      <c r="I71" s="6038"/>
      <c r="K71" s="1850">
        <v>120</v>
      </c>
      <c r="L71" s="6036" t="s">
        <v>1740</v>
      </c>
      <c r="M71" s="5977"/>
      <c r="N71" s="6037" t="str">
        <f>IF(K66=0,"",VLOOKUP(K66,'Tablas psiquica'!$D$7:$R$145,9,FALSE))</f>
        <v/>
      </c>
      <c r="O71" s="5911"/>
      <c r="P71" s="5911"/>
      <c r="Q71" s="6038"/>
      <c r="R71" s="294"/>
      <c r="S71" s="1850">
        <v>120</v>
      </c>
      <c r="T71" s="6036" t="s">
        <v>1740</v>
      </c>
      <c r="U71" s="5977"/>
      <c r="V71" s="6037" t="str">
        <f>IF(S66=0,"",VLOOKUP(S66,'Tablas psiquica'!$D$7:$R$145,9,FALSE))</f>
        <v/>
      </c>
      <c r="W71" s="5911"/>
      <c r="X71" s="5911"/>
      <c r="Y71" s="6038"/>
      <c r="Z71" s="450"/>
      <c r="AA71" s="444"/>
      <c r="AB71" s="444"/>
      <c r="AC71" s="294"/>
      <c r="AD71" s="1850">
        <v>120</v>
      </c>
      <c r="AE71" s="6036" t="s">
        <v>1740</v>
      </c>
      <c r="AF71" s="5977"/>
      <c r="AG71" s="6037" t="str">
        <f>IF(AD66=0,"",VLOOKUP(AD66,'Tablas psiquica'!$D$7:$R$145,9,FALSE))</f>
        <v/>
      </c>
      <c r="AH71" s="5911"/>
      <c r="AI71" s="5911"/>
      <c r="AJ71" s="6038"/>
      <c r="AL71" s="1850">
        <v>120</v>
      </c>
      <c r="AM71" s="6036" t="s">
        <v>1740</v>
      </c>
      <c r="AN71" s="5977"/>
      <c r="AO71" s="6037" t="str">
        <f>IF(AL66=0,"",VLOOKUP(AL66,'Tablas psiquica'!$D$7:$R$145,9,FALSE))</f>
        <v/>
      </c>
      <c r="AP71" s="5911"/>
      <c r="AQ71" s="5911"/>
      <c r="AR71" s="6038"/>
      <c r="AS71" s="294"/>
      <c r="AT71" s="1850">
        <v>120</v>
      </c>
      <c r="AU71" s="6036" t="s">
        <v>1740</v>
      </c>
      <c r="AV71" s="5977"/>
      <c r="AW71" s="6037" t="str">
        <f>IF(AT66=0,"",VLOOKUP(AT66,'Tablas psiquica'!$D$7:$R$145,9,FALSE))</f>
        <v/>
      </c>
      <c r="AX71" s="5911"/>
      <c r="AY71" s="5911"/>
      <c r="AZ71" s="6038"/>
      <c r="BA71" s="450"/>
      <c r="BB71" s="444"/>
      <c r="BC71" s="444"/>
      <c r="BD71" s="294"/>
      <c r="BE71" s="1850">
        <v>120</v>
      </c>
      <c r="BF71" s="6036" t="s">
        <v>1740</v>
      </c>
      <c r="BG71" s="5977"/>
      <c r="BH71" s="6037" t="str">
        <f>IF(BE66=0,"",VLOOKUP(BE66,'Tablas psiquica'!$D$7:$R$145,9,FALSE))</f>
        <v/>
      </c>
      <c r="BI71" s="5911"/>
      <c r="BJ71" s="5911"/>
      <c r="BK71" s="6038"/>
      <c r="BM71" s="1850">
        <v>120</v>
      </c>
      <c r="BN71" s="6036" t="s">
        <v>1740</v>
      </c>
      <c r="BO71" s="5977"/>
      <c r="BP71" s="6037" t="str">
        <f>IF(BM66=0,"",VLOOKUP(BM66,'Tablas psiquica'!$D$7:$R$145,9,FALSE))</f>
        <v/>
      </c>
      <c r="BQ71" s="5911"/>
      <c r="BR71" s="5911"/>
      <c r="BS71" s="6038"/>
      <c r="BT71" s="294"/>
      <c r="BU71" s="1850">
        <v>120</v>
      </c>
      <c r="BV71" s="6036" t="s">
        <v>1740</v>
      </c>
      <c r="BW71" s="5977"/>
      <c r="BX71" s="6037" t="str">
        <f>IF(BU66=0,"",VLOOKUP(BU66,'Tablas psiquica'!$D$7:$R$145,9,FALSE))</f>
        <v/>
      </c>
      <c r="BY71" s="5911"/>
      <c r="BZ71" s="5911"/>
      <c r="CA71" s="6038"/>
      <c r="CB71" s="450"/>
      <c r="CC71" s="444"/>
      <c r="CD71" s="444"/>
      <c r="CE71" s="294"/>
      <c r="CF71" s="1850">
        <v>120</v>
      </c>
      <c r="CG71" s="6036" t="s">
        <v>1740</v>
      </c>
      <c r="CH71" s="5977"/>
      <c r="CI71" s="6037" t="str">
        <f>IF(CF66=0,"",VLOOKUP(CF66,'Tablas psiquica'!$D$7:$R$145,9,FALSE))</f>
        <v/>
      </c>
      <c r="CJ71" s="5911"/>
      <c r="CK71" s="5911"/>
      <c r="CL71" s="6038"/>
      <c r="CN71" s="1850">
        <v>120</v>
      </c>
      <c r="CO71" s="6036" t="s">
        <v>1740</v>
      </c>
      <c r="CP71" s="5977"/>
      <c r="CQ71" s="6037" t="str">
        <f>IF(CN66=0,"",VLOOKUP(CN66,'Tablas psiquica'!$D$7:$R$145,9,FALSE))</f>
        <v/>
      </c>
      <c r="CR71" s="5911"/>
      <c r="CS71" s="5911"/>
      <c r="CT71" s="6038"/>
      <c r="CU71" s="294"/>
      <c r="CV71" s="1850">
        <v>120</v>
      </c>
      <c r="CW71" s="6036" t="s">
        <v>1740</v>
      </c>
      <c r="CX71" s="5977"/>
      <c r="CY71" s="6037" t="str">
        <f>IF(CV66=0,"",VLOOKUP(CV66,'Tablas psiquica'!$D$7:$R$145,9,FALSE))</f>
        <v/>
      </c>
      <c r="CZ71" s="5911"/>
      <c r="DA71" s="5911"/>
      <c r="DB71" s="6038"/>
      <c r="DC71" s="450"/>
      <c r="DD71" s="444"/>
    </row>
    <row r="72" spans="1:108" ht="12" customHeight="1" x14ac:dyDescent="0.2">
      <c r="A72" s="444"/>
      <c r="B72" s="294"/>
      <c r="C72" s="1851">
        <v>140</v>
      </c>
      <c r="D72" s="6034" t="s">
        <v>6394</v>
      </c>
      <c r="E72" s="5982"/>
      <c r="F72" s="6035" t="str">
        <f>IF(C66=0,"",VLOOKUP(C66,'Tablas psiquica'!$D$7:$R$145,10,FALSE))</f>
        <v/>
      </c>
      <c r="G72" s="5664"/>
      <c r="H72" s="5664"/>
      <c r="I72" s="5701"/>
      <c r="K72" s="1851">
        <v>140</v>
      </c>
      <c r="L72" s="6034" t="s">
        <v>6394</v>
      </c>
      <c r="M72" s="5982"/>
      <c r="N72" s="6035" t="str">
        <f>IF(K66=0,"",VLOOKUP(K66,'Tablas psiquica'!$D$7:$R$145,10,FALSE))</f>
        <v/>
      </c>
      <c r="O72" s="5664"/>
      <c r="P72" s="5664"/>
      <c r="Q72" s="5701"/>
      <c r="R72" s="294"/>
      <c r="S72" s="1851">
        <v>140</v>
      </c>
      <c r="T72" s="6034" t="s">
        <v>6394</v>
      </c>
      <c r="U72" s="5982"/>
      <c r="V72" s="6035" t="str">
        <f>IF(S66=0,"",VLOOKUP(S66,'Tablas psiquica'!$D$7:$R$145,10,FALSE))</f>
        <v/>
      </c>
      <c r="W72" s="5664"/>
      <c r="X72" s="5664"/>
      <c r="Y72" s="5701"/>
      <c r="Z72" s="450"/>
      <c r="AA72" s="444"/>
      <c r="AB72" s="444"/>
      <c r="AC72" s="294"/>
      <c r="AD72" s="1851">
        <v>140</v>
      </c>
      <c r="AE72" s="6034" t="s">
        <v>6394</v>
      </c>
      <c r="AF72" s="5982"/>
      <c r="AG72" s="6035" t="str">
        <f>IF(AD66=0,"",VLOOKUP(AD66,'Tablas psiquica'!$D$7:$R$145,10,FALSE))</f>
        <v/>
      </c>
      <c r="AH72" s="5664"/>
      <c r="AI72" s="5664"/>
      <c r="AJ72" s="5701"/>
      <c r="AL72" s="1851">
        <v>140</v>
      </c>
      <c r="AM72" s="6034" t="s">
        <v>6394</v>
      </c>
      <c r="AN72" s="5982"/>
      <c r="AO72" s="6035" t="str">
        <f>IF(AL66=0,"",VLOOKUP(AL66,'Tablas psiquica'!$D$7:$R$145,10,FALSE))</f>
        <v/>
      </c>
      <c r="AP72" s="5664"/>
      <c r="AQ72" s="5664"/>
      <c r="AR72" s="5701"/>
      <c r="AS72" s="294"/>
      <c r="AT72" s="1851">
        <v>140</v>
      </c>
      <c r="AU72" s="6034" t="s">
        <v>6394</v>
      </c>
      <c r="AV72" s="5982"/>
      <c r="AW72" s="6035" t="str">
        <f>IF(AT66=0,"",VLOOKUP(AT66,'Tablas psiquica'!$D$7:$R$145,10,FALSE))</f>
        <v/>
      </c>
      <c r="AX72" s="5664"/>
      <c r="AY72" s="5664"/>
      <c r="AZ72" s="5701"/>
      <c r="BA72" s="450"/>
      <c r="BB72" s="444"/>
      <c r="BC72" s="444"/>
      <c r="BD72" s="294"/>
      <c r="BE72" s="1851">
        <v>140</v>
      </c>
      <c r="BF72" s="6034" t="s">
        <v>6394</v>
      </c>
      <c r="BG72" s="5982"/>
      <c r="BH72" s="6035" t="str">
        <f>IF(BE66=0,"",VLOOKUP(BE66,'Tablas psiquica'!$D$7:$R$145,10,FALSE))</f>
        <v/>
      </c>
      <c r="BI72" s="5664"/>
      <c r="BJ72" s="5664"/>
      <c r="BK72" s="5701"/>
      <c r="BM72" s="1851">
        <v>140</v>
      </c>
      <c r="BN72" s="6034" t="s">
        <v>6394</v>
      </c>
      <c r="BO72" s="5982"/>
      <c r="BP72" s="6035" t="str">
        <f>IF(BM66=0,"",VLOOKUP(BM66,'Tablas psiquica'!$D$7:$R$145,10,FALSE))</f>
        <v/>
      </c>
      <c r="BQ72" s="5664"/>
      <c r="BR72" s="5664"/>
      <c r="BS72" s="5701"/>
      <c r="BT72" s="294"/>
      <c r="BU72" s="1851">
        <v>140</v>
      </c>
      <c r="BV72" s="6034" t="s">
        <v>6394</v>
      </c>
      <c r="BW72" s="5982"/>
      <c r="BX72" s="6035" t="str">
        <f>IF(BU66=0,"",VLOOKUP(BU66,'Tablas psiquica'!$D$7:$R$145,10,FALSE))</f>
        <v/>
      </c>
      <c r="BY72" s="5664"/>
      <c r="BZ72" s="5664"/>
      <c r="CA72" s="5701"/>
      <c r="CB72" s="450"/>
      <c r="CC72" s="444"/>
      <c r="CD72" s="444"/>
      <c r="CE72" s="294"/>
      <c r="CF72" s="1851">
        <v>140</v>
      </c>
      <c r="CG72" s="6034" t="s">
        <v>6394</v>
      </c>
      <c r="CH72" s="5982"/>
      <c r="CI72" s="6035" t="str">
        <f>IF(CF66=0,"",VLOOKUP(CF66,'Tablas psiquica'!$D$7:$R$145,10,FALSE))</f>
        <v/>
      </c>
      <c r="CJ72" s="5664"/>
      <c r="CK72" s="5664"/>
      <c r="CL72" s="5701"/>
      <c r="CN72" s="1851">
        <v>140</v>
      </c>
      <c r="CO72" s="6034" t="s">
        <v>6394</v>
      </c>
      <c r="CP72" s="5982"/>
      <c r="CQ72" s="6035" t="str">
        <f>IF(CN66=0,"",VLOOKUP(CN66,'Tablas psiquica'!$D$7:$R$145,10,FALSE))</f>
        <v/>
      </c>
      <c r="CR72" s="5664"/>
      <c r="CS72" s="5664"/>
      <c r="CT72" s="5701"/>
      <c r="CU72" s="294"/>
      <c r="CV72" s="1851">
        <v>140</v>
      </c>
      <c r="CW72" s="6034" t="s">
        <v>6394</v>
      </c>
      <c r="CX72" s="5982"/>
      <c r="CY72" s="6035" t="str">
        <f>IF(CV66=0,"",VLOOKUP(CV66,'Tablas psiquica'!$D$7:$R$145,10,FALSE))</f>
        <v/>
      </c>
      <c r="CZ72" s="5664"/>
      <c r="DA72" s="5664"/>
      <c r="DB72" s="5701"/>
      <c r="DC72" s="450"/>
      <c r="DD72" s="444"/>
    </row>
    <row r="73" spans="1:108" ht="12" customHeight="1" x14ac:dyDescent="0.2">
      <c r="A73" s="444"/>
      <c r="B73" s="294"/>
      <c r="C73" s="1850">
        <v>180</v>
      </c>
      <c r="D73" s="6036" t="s">
        <v>1744</v>
      </c>
      <c r="E73" s="5977"/>
      <c r="F73" s="6037" t="str">
        <f>IF(C66=0,"",VLOOKUP(C66,'Tablas psiquica'!$D$7:$R$145,11,FALSE))</f>
        <v/>
      </c>
      <c r="G73" s="5911"/>
      <c r="H73" s="5911"/>
      <c r="I73" s="6038"/>
      <c r="K73" s="1850">
        <v>180</v>
      </c>
      <c r="L73" s="6036" t="s">
        <v>1744</v>
      </c>
      <c r="M73" s="5977"/>
      <c r="N73" s="6037" t="str">
        <f>IF(K66=0,"",VLOOKUP(K66,'Tablas psiquica'!$D$7:$R$145,11,FALSE))</f>
        <v/>
      </c>
      <c r="O73" s="5911"/>
      <c r="P73" s="5911"/>
      <c r="Q73" s="6038"/>
      <c r="R73" s="294"/>
      <c r="S73" s="1850">
        <v>180</v>
      </c>
      <c r="T73" s="6036" t="s">
        <v>1744</v>
      </c>
      <c r="U73" s="5977"/>
      <c r="V73" s="6037" t="str">
        <f>IF(S66=0,"",VLOOKUP(S66,'Tablas psiquica'!$D$7:$R$145,11,FALSE))</f>
        <v/>
      </c>
      <c r="W73" s="5911"/>
      <c r="X73" s="5911"/>
      <c r="Y73" s="6038"/>
      <c r="Z73" s="450"/>
      <c r="AA73" s="444"/>
      <c r="AB73" s="444"/>
      <c r="AC73" s="294"/>
      <c r="AD73" s="1850">
        <v>180</v>
      </c>
      <c r="AE73" s="6036" t="s">
        <v>1744</v>
      </c>
      <c r="AF73" s="5977"/>
      <c r="AG73" s="6037" t="str">
        <f>IF(AD66=0,"",VLOOKUP(AD66,'Tablas psiquica'!$D$7:$R$145,11,FALSE))</f>
        <v/>
      </c>
      <c r="AH73" s="5911"/>
      <c r="AI73" s="5911"/>
      <c r="AJ73" s="6038"/>
      <c r="AL73" s="1850">
        <v>180</v>
      </c>
      <c r="AM73" s="6036" t="s">
        <v>1744</v>
      </c>
      <c r="AN73" s="5977"/>
      <c r="AO73" s="6037" t="str">
        <f>IF(AL66=0,"",VLOOKUP(AL66,'Tablas psiquica'!$D$7:$R$145,11,FALSE))</f>
        <v/>
      </c>
      <c r="AP73" s="5911"/>
      <c r="AQ73" s="5911"/>
      <c r="AR73" s="6038"/>
      <c r="AS73" s="294"/>
      <c r="AT73" s="1850">
        <v>180</v>
      </c>
      <c r="AU73" s="6036" t="s">
        <v>1744</v>
      </c>
      <c r="AV73" s="5977"/>
      <c r="AW73" s="6037" t="str">
        <f>IF(AT66=0,"",VLOOKUP(AT66,'Tablas psiquica'!$D$7:$R$145,11,FALSE))</f>
        <v/>
      </c>
      <c r="AX73" s="5911"/>
      <c r="AY73" s="5911"/>
      <c r="AZ73" s="6038"/>
      <c r="BA73" s="450"/>
      <c r="BB73" s="444"/>
      <c r="BC73" s="444"/>
      <c r="BD73" s="294"/>
      <c r="BE73" s="1850">
        <v>180</v>
      </c>
      <c r="BF73" s="6036" t="s">
        <v>1744</v>
      </c>
      <c r="BG73" s="5977"/>
      <c r="BH73" s="6037" t="str">
        <f>IF(BE66=0,"",VLOOKUP(BE66,'Tablas psiquica'!$D$7:$R$145,11,FALSE))</f>
        <v/>
      </c>
      <c r="BI73" s="5911"/>
      <c r="BJ73" s="5911"/>
      <c r="BK73" s="6038"/>
      <c r="BM73" s="1850">
        <v>180</v>
      </c>
      <c r="BN73" s="6036" t="s">
        <v>1744</v>
      </c>
      <c r="BO73" s="5977"/>
      <c r="BP73" s="6037" t="str">
        <f>IF(BM66=0,"",VLOOKUP(BM66,'Tablas psiquica'!$D$7:$R$145,11,FALSE))</f>
        <v/>
      </c>
      <c r="BQ73" s="5911"/>
      <c r="BR73" s="5911"/>
      <c r="BS73" s="6038"/>
      <c r="BT73" s="294"/>
      <c r="BU73" s="1850">
        <v>180</v>
      </c>
      <c r="BV73" s="6036" t="s">
        <v>1744</v>
      </c>
      <c r="BW73" s="5977"/>
      <c r="BX73" s="6037" t="str">
        <f>IF(BU66=0,"",VLOOKUP(BU66,'Tablas psiquica'!$D$7:$R$145,11,FALSE))</f>
        <v/>
      </c>
      <c r="BY73" s="5911"/>
      <c r="BZ73" s="5911"/>
      <c r="CA73" s="6038"/>
      <c r="CB73" s="450"/>
      <c r="CC73" s="444"/>
      <c r="CD73" s="444"/>
      <c r="CE73" s="294"/>
      <c r="CF73" s="1850">
        <v>180</v>
      </c>
      <c r="CG73" s="6036" t="s">
        <v>1744</v>
      </c>
      <c r="CH73" s="5977"/>
      <c r="CI73" s="6037" t="str">
        <f>IF(CF66=0,"",VLOOKUP(CF66,'Tablas psiquica'!$D$7:$R$145,11,FALSE))</f>
        <v/>
      </c>
      <c r="CJ73" s="5911"/>
      <c r="CK73" s="5911"/>
      <c r="CL73" s="6038"/>
      <c r="CN73" s="1850">
        <v>180</v>
      </c>
      <c r="CO73" s="6036" t="s">
        <v>1744</v>
      </c>
      <c r="CP73" s="5977"/>
      <c r="CQ73" s="6037" t="str">
        <f>IF(CN66=0,"",VLOOKUP(CN66,'Tablas psiquica'!$D$7:$R$145,11,FALSE))</f>
        <v/>
      </c>
      <c r="CR73" s="5911"/>
      <c r="CS73" s="5911"/>
      <c r="CT73" s="6038"/>
      <c r="CU73" s="294"/>
      <c r="CV73" s="1850">
        <v>180</v>
      </c>
      <c r="CW73" s="6036" t="s">
        <v>1744</v>
      </c>
      <c r="CX73" s="5977"/>
      <c r="CY73" s="6037" t="str">
        <f>IF(CV66=0,"",VLOOKUP(CV66,'Tablas psiquica'!$D$7:$R$145,11,FALSE))</f>
        <v/>
      </c>
      <c r="CZ73" s="5911"/>
      <c r="DA73" s="5911"/>
      <c r="DB73" s="6038"/>
      <c r="DC73" s="450"/>
      <c r="DD73" s="444"/>
    </row>
    <row r="74" spans="1:108" ht="12" customHeight="1" x14ac:dyDescent="0.2">
      <c r="A74" s="444"/>
      <c r="B74" s="294"/>
      <c r="C74" s="1851">
        <v>240</v>
      </c>
      <c r="D74" s="6034" t="s">
        <v>6395</v>
      </c>
      <c r="E74" s="5982"/>
      <c r="F74" s="6035" t="str">
        <f>IF(C66=0,"",VLOOKUP(C66,'Tablas psiquica'!$D$7:$R$145,12,FALSE))</f>
        <v/>
      </c>
      <c r="G74" s="5664"/>
      <c r="H74" s="5664"/>
      <c r="I74" s="5701"/>
      <c r="K74" s="1851">
        <v>240</v>
      </c>
      <c r="L74" s="6034" t="s">
        <v>6395</v>
      </c>
      <c r="M74" s="5982"/>
      <c r="N74" s="6035" t="str">
        <f>IF(K66=0,"",VLOOKUP(K66,'Tablas psiquica'!$D$7:$R$145,12,FALSE))</f>
        <v/>
      </c>
      <c r="O74" s="5664"/>
      <c r="P74" s="5664"/>
      <c r="Q74" s="5701"/>
      <c r="R74" s="294"/>
      <c r="S74" s="1851">
        <v>240</v>
      </c>
      <c r="T74" s="6034" t="s">
        <v>6395</v>
      </c>
      <c r="U74" s="5982"/>
      <c r="V74" s="6035" t="str">
        <f>IF(S66=0,"",VLOOKUP(S66,'Tablas psiquica'!$D$7:$R$145,12,FALSE))</f>
        <v/>
      </c>
      <c r="W74" s="5664"/>
      <c r="X74" s="5664"/>
      <c r="Y74" s="5701"/>
      <c r="Z74" s="450"/>
      <c r="AA74" s="444"/>
      <c r="AB74" s="444"/>
      <c r="AC74" s="294"/>
      <c r="AD74" s="1851">
        <v>240</v>
      </c>
      <c r="AE74" s="6034" t="s">
        <v>6395</v>
      </c>
      <c r="AF74" s="5982"/>
      <c r="AG74" s="6035" t="str">
        <f>IF(AD66=0,"",VLOOKUP(AD66,'Tablas psiquica'!$D$7:$R$145,12,FALSE))</f>
        <v/>
      </c>
      <c r="AH74" s="5664"/>
      <c r="AI74" s="5664"/>
      <c r="AJ74" s="5701"/>
      <c r="AL74" s="1851">
        <v>240</v>
      </c>
      <c r="AM74" s="6034" t="s">
        <v>6395</v>
      </c>
      <c r="AN74" s="5982"/>
      <c r="AO74" s="6035" t="str">
        <f>IF(AL66=0,"",VLOOKUP(AL66,'Tablas psiquica'!$D$7:$R$145,12,FALSE))</f>
        <v/>
      </c>
      <c r="AP74" s="5664"/>
      <c r="AQ74" s="5664"/>
      <c r="AR74" s="5701"/>
      <c r="AS74" s="294"/>
      <c r="AT74" s="1851">
        <v>240</v>
      </c>
      <c r="AU74" s="6034" t="s">
        <v>6395</v>
      </c>
      <c r="AV74" s="5982"/>
      <c r="AW74" s="6035" t="str">
        <f>IF(AT66=0,"",VLOOKUP(AT66,'Tablas psiquica'!$D$7:$R$145,12,FALSE))</f>
        <v/>
      </c>
      <c r="AX74" s="5664"/>
      <c r="AY74" s="5664"/>
      <c r="AZ74" s="5701"/>
      <c r="BA74" s="450"/>
      <c r="BB74" s="444"/>
      <c r="BC74" s="444"/>
      <c r="BD74" s="294"/>
      <c r="BE74" s="1851">
        <v>240</v>
      </c>
      <c r="BF74" s="6034" t="s">
        <v>6395</v>
      </c>
      <c r="BG74" s="5982"/>
      <c r="BH74" s="6035" t="str">
        <f>IF(BE66=0,"",VLOOKUP(BE66,'Tablas psiquica'!$D$7:$R$145,12,FALSE))</f>
        <v/>
      </c>
      <c r="BI74" s="5664"/>
      <c r="BJ74" s="5664"/>
      <c r="BK74" s="5701"/>
      <c r="BM74" s="1851">
        <v>240</v>
      </c>
      <c r="BN74" s="6034" t="s">
        <v>6395</v>
      </c>
      <c r="BO74" s="5982"/>
      <c r="BP74" s="6035" t="str">
        <f>IF(BM66=0,"",VLOOKUP(BM66,'Tablas psiquica'!$D$7:$R$145,12,FALSE))</f>
        <v/>
      </c>
      <c r="BQ74" s="5664"/>
      <c r="BR74" s="5664"/>
      <c r="BS74" s="5701"/>
      <c r="BT74" s="294"/>
      <c r="BU74" s="1851">
        <v>240</v>
      </c>
      <c r="BV74" s="6034" t="s">
        <v>6395</v>
      </c>
      <c r="BW74" s="5982"/>
      <c r="BX74" s="6035" t="str">
        <f>IF(BU66=0,"",VLOOKUP(BU66,'Tablas psiquica'!$D$7:$R$145,12,FALSE))</f>
        <v/>
      </c>
      <c r="BY74" s="5664"/>
      <c r="BZ74" s="5664"/>
      <c r="CA74" s="5701"/>
      <c r="CB74" s="450"/>
      <c r="CC74" s="444"/>
      <c r="CD74" s="444"/>
      <c r="CE74" s="294"/>
      <c r="CF74" s="1851">
        <v>240</v>
      </c>
      <c r="CG74" s="6034" t="s">
        <v>6395</v>
      </c>
      <c r="CH74" s="5982"/>
      <c r="CI74" s="6035" t="str">
        <f>IF(CF66=0,"",VLOOKUP(CF66,'Tablas psiquica'!$D$7:$R$145,12,FALSE))</f>
        <v/>
      </c>
      <c r="CJ74" s="5664"/>
      <c r="CK74" s="5664"/>
      <c r="CL74" s="5701"/>
      <c r="CN74" s="1851">
        <v>240</v>
      </c>
      <c r="CO74" s="6034" t="s">
        <v>6395</v>
      </c>
      <c r="CP74" s="5982"/>
      <c r="CQ74" s="6035" t="str">
        <f>IF(CN66=0,"",VLOOKUP(CN66,'Tablas psiquica'!$D$7:$R$145,12,FALSE))</f>
        <v/>
      </c>
      <c r="CR74" s="5664"/>
      <c r="CS74" s="5664"/>
      <c r="CT74" s="5701"/>
      <c r="CU74" s="294"/>
      <c r="CV74" s="1851">
        <v>240</v>
      </c>
      <c r="CW74" s="6034" t="s">
        <v>6395</v>
      </c>
      <c r="CX74" s="5982"/>
      <c r="CY74" s="6035" t="str">
        <f>IF(CV66=0,"",VLOOKUP(CV66,'Tablas psiquica'!$D$7:$R$145,12,FALSE))</f>
        <v/>
      </c>
      <c r="CZ74" s="5664"/>
      <c r="DA74" s="5664"/>
      <c r="DB74" s="5701"/>
      <c r="DC74" s="450"/>
      <c r="DD74" s="444"/>
    </row>
    <row r="75" spans="1:108" ht="12" customHeight="1" x14ac:dyDescent="0.2">
      <c r="A75" s="444"/>
      <c r="B75" s="294"/>
      <c r="C75" s="1850">
        <v>280</v>
      </c>
      <c r="D75" s="6036" t="s">
        <v>1747</v>
      </c>
      <c r="E75" s="5977"/>
      <c r="F75" s="6037" t="str">
        <f>IF(C66=0,"",VLOOKUP(C66,'Tablas psiquica'!$D$7:$R$145,13,FALSE))</f>
        <v/>
      </c>
      <c r="G75" s="5911"/>
      <c r="H75" s="5911"/>
      <c r="I75" s="6038"/>
      <c r="K75" s="1850">
        <v>280</v>
      </c>
      <c r="L75" s="6036" t="s">
        <v>1747</v>
      </c>
      <c r="M75" s="5977"/>
      <c r="N75" s="6037" t="str">
        <f>IF(K66=0,"",VLOOKUP(K66,'Tablas psiquica'!$D$7:$R$145,13,FALSE))</f>
        <v/>
      </c>
      <c r="O75" s="5911"/>
      <c r="P75" s="5911"/>
      <c r="Q75" s="6038"/>
      <c r="R75" s="294"/>
      <c r="S75" s="1850">
        <v>280</v>
      </c>
      <c r="T75" s="6036" t="s">
        <v>1747</v>
      </c>
      <c r="U75" s="5977"/>
      <c r="V75" s="6037" t="str">
        <f>IF(S66=0,"",VLOOKUP(S66,'Tablas psiquica'!$D$7:$R$145,13,FALSE))</f>
        <v/>
      </c>
      <c r="W75" s="5911"/>
      <c r="X75" s="5911"/>
      <c r="Y75" s="6038"/>
      <c r="Z75" s="450"/>
      <c r="AA75" s="444"/>
      <c r="AB75" s="444"/>
      <c r="AC75" s="294"/>
      <c r="AD75" s="1850">
        <v>280</v>
      </c>
      <c r="AE75" s="6036" t="s">
        <v>1747</v>
      </c>
      <c r="AF75" s="5977"/>
      <c r="AG75" s="6037" t="str">
        <f>IF(AD66=0,"",VLOOKUP(AD66,'Tablas psiquica'!$D$7:$R$145,13,FALSE))</f>
        <v/>
      </c>
      <c r="AH75" s="5911"/>
      <c r="AI75" s="5911"/>
      <c r="AJ75" s="6038"/>
      <c r="AL75" s="1850">
        <v>280</v>
      </c>
      <c r="AM75" s="6036" t="s">
        <v>1747</v>
      </c>
      <c r="AN75" s="5977"/>
      <c r="AO75" s="6037" t="str">
        <f>IF(AL66=0,"",VLOOKUP(AL66,'Tablas psiquica'!$D$7:$R$145,13,FALSE))</f>
        <v/>
      </c>
      <c r="AP75" s="5911"/>
      <c r="AQ75" s="5911"/>
      <c r="AR75" s="6038"/>
      <c r="AS75" s="294"/>
      <c r="AT75" s="1850">
        <v>280</v>
      </c>
      <c r="AU75" s="6036" t="s">
        <v>1747</v>
      </c>
      <c r="AV75" s="5977"/>
      <c r="AW75" s="6037" t="str">
        <f>IF(AT66=0,"",VLOOKUP(AT66,'Tablas psiquica'!$D$7:$R$145,13,FALSE))</f>
        <v/>
      </c>
      <c r="AX75" s="5911"/>
      <c r="AY75" s="5911"/>
      <c r="AZ75" s="6038"/>
      <c r="BA75" s="450"/>
      <c r="BB75" s="444"/>
      <c r="BC75" s="444"/>
      <c r="BD75" s="294"/>
      <c r="BE75" s="1850">
        <v>280</v>
      </c>
      <c r="BF75" s="6036" t="s">
        <v>1747</v>
      </c>
      <c r="BG75" s="5977"/>
      <c r="BH75" s="6037" t="str">
        <f>IF(BE66=0,"",VLOOKUP(BE66,'Tablas psiquica'!$D$7:$R$145,13,FALSE))</f>
        <v/>
      </c>
      <c r="BI75" s="5911"/>
      <c r="BJ75" s="5911"/>
      <c r="BK75" s="6038"/>
      <c r="BM75" s="1850">
        <v>280</v>
      </c>
      <c r="BN75" s="6036" t="s">
        <v>1747</v>
      </c>
      <c r="BO75" s="5977"/>
      <c r="BP75" s="6037" t="str">
        <f>IF(BM66=0,"",VLOOKUP(BM66,'Tablas psiquica'!$D$7:$R$145,13,FALSE))</f>
        <v/>
      </c>
      <c r="BQ75" s="5911"/>
      <c r="BR75" s="5911"/>
      <c r="BS75" s="6038"/>
      <c r="BT75" s="294"/>
      <c r="BU75" s="1850">
        <v>280</v>
      </c>
      <c r="BV75" s="6036" t="s">
        <v>1747</v>
      </c>
      <c r="BW75" s="5977"/>
      <c r="BX75" s="6037" t="str">
        <f>IF(BU66=0,"",VLOOKUP(BU66,'Tablas psiquica'!$D$7:$R$145,13,FALSE))</f>
        <v/>
      </c>
      <c r="BY75" s="5911"/>
      <c r="BZ75" s="5911"/>
      <c r="CA75" s="6038"/>
      <c r="CB75" s="450"/>
      <c r="CC75" s="444"/>
      <c r="CD75" s="444"/>
      <c r="CE75" s="294"/>
      <c r="CF75" s="1850">
        <v>280</v>
      </c>
      <c r="CG75" s="6036" t="s">
        <v>1747</v>
      </c>
      <c r="CH75" s="5977"/>
      <c r="CI75" s="6037" t="str">
        <f>IF(CF66=0,"",VLOOKUP(CF66,'Tablas psiquica'!$D$7:$R$145,13,FALSE))</f>
        <v/>
      </c>
      <c r="CJ75" s="5911"/>
      <c r="CK75" s="5911"/>
      <c r="CL75" s="6038"/>
      <c r="CN75" s="1850">
        <v>280</v>
      </c>
      <c r="CO75" s="6036" t="s">
        <v>1747</v>
      </c>
      <c r="CP75" s="5977"/>
      <c r="CQ75" s="6037" t="str">
        <f>IF(CN66=0,"",VLOOKUP(CN66,'Tablas psiquica'!$D$7:$R$145,13,FALSE))</f>
        <v/>
      </c>
      <c r="CR75" s="5911"/>
      <c r="CS75" s="5911"/>
      <c r="CT75" s="6038"/>
      <c r="CU75" s="294"/>
      <c r="CV75" s="1850">
        <v>280</v>
      </c>
      <c r="CW75" s="6036" t="s">
        <v>1747</v>
      </c>
      <c r="CX75" s="5977"/>
      <c r="CY75" s="6037" t="str">
        <f>IF(CV66=0,"",VLOOKUP(CV66,'Tablas psiquica'!$D$7:$R$145,13,FALSE))</f>
        <v/>
      </c>
      <c r="CZ75" s="5911"/>
      <c r="DA75" s="5911"/>
      <c r="DB75" s="6038"/>
      <c r="DC75" s="450"/>
      <c r="DD75" s="444"/>
    </row>
    <row r="76" spans="1:108" ht="12" customHeight="1" x14ac:dyDescent="0.2">
      <c r="A76" s="444"/>
      <c r="B76" s="294"/>
      <c r="C76" s="1851">
        <v>320</v>
      </c>
      <c r="D76" s="6034" t="s">
        <v>1749</v>
      </c>
      <c r="E76" s="5982"/>
      <c r="F76" s="6035" t="str">
        <f>IF(C66=0,"",VLOOKUP(C66,'Tablas psiquica'!$D$7:$R$145,14,FALSE))</f>
        <v/>
      </c>
      <c r="G76" s="5664"/>
      <c r="H76" s="5664"/>
      <c r="I76" s="5701"/>
      <c r="K76" s="1851">
        <v>320</v>
      </c>
      <c r="L76" s="6034" t="s">
        <v>1749</v>
      </c>
      <c r="M76" s="5982"/>
      <c r="N76" s="6035" t="str">
        <f>IF(K66=0,"",VLOOKUP(K66,'Tablas psiquica'!$D$7:$R$145,14,FALSE))</f>
        <v/>
      </c>
      <c r="O76" s="5664"/>
      <c r="P76" s="5664"/>
      <c r="Q76" s="5701"/>
      <c r="R76" s="294"/>
      <c r="S76" s="1851">
        <v>320</v>
      </c>
      <c r="T76" s="6034" t="s">
        <v>1749</v>
      </c>
      <c r="U76" s="5982"/>
      <c r="V76" s="6035" t="str">
        <f>IF(S66=0,"",VLOOKUP(S66,'Tablas psiquica'!$D$7:$R$145,14,FALSE))</f>
        <v/>
      </c>
      <c r="W76" s="5664"/>
      <c r="X76" s="5664"/>
      <c r="Y76" s="5701"/>
      <c r="Z76" s="450"/>
      <c r="AA76" s="444"/>
      <c r="AB76" s="444"/>
      <c r="AC76" s="294"/>
      <c r="AD76" s="1851">
        <v>320</v>
      </c>
      <c r="AE76" s="6034" t="s">
        <v>1749</v>
      </c>
      <c r="AF76" s="5982"/>
      <c r="AG76" s="6035" t="str">
        <f>IF(AD66=0,"",VLOOKUP(AD66,'Tablas psiquica'!$D$7:$R$145,14,FALSE))</f>
        <v/>
      </c>
      <c r="AH76" s="5664"/>
      <c r="AI76" s="5664"/>
      <c r="AJ76" s="5701"/>
      <c r="AL76" s="1851">
        <v>320</v>
      </c>
      <c r="AM76" s="6034" t="s">
        <v>1749</v>
      </c>
      <c r="AN76" s="5982"/>
      <c r="AO76" s="6035" t="str">
        <f>IF(AL66=0,"",VLOOKUP(AL66,'Tablas psiquica'!$D$7:$R$145,14,FALSE))</f>
        <v/>
      </c>
      <c r="AP76" s="5664"/>
      <c r="AQ76" s="5664"/>
      <c r="AR76" s="5701"/>
      <c r="AS76" s="294"/>
      <c r="AT76" s="1851">
        <v>320</v>
      </c>
      <c r="AU76" s="6034" t="s">
        <v>1749</v>
      </c>
      <c r="AV76" s="5982"/>
      <c r="AW76" s="6035" t="str">
        <f>IF(AT66=0,"",VLOOKUP(AT66,'Tablas psiquica'!$D$7:$R$145,14,FALSE))</f>
        <v/>
      </c>
      <c r="AX76" s="5664"/>
      <c r="AY76" s="5664"/>
      <c r="AZ76" s="5701"/>
      <c r="BA76" s="450"/>
      <c r="BB76" s="444"/>
      <c r="BC76" s="444"/>
      <c r="BD76" s="294"/>
      <c r="BE76" s="1851">
        <v>320</v>
      </c>
      <c r="BF76" s="6034" t="s">
        <v>1749</v>
      </c>
      <c r="BG76" s="5982"/>
      <c r="BH76" s="6035" t="str">
        <f>IF(BE66=0,"",VLOOKUP(BE66,'Tablas psiquica'!$D$7:$R$145,14,FALSE))</f>
        <v/>
      </c>
      <c r="BI76" s="5664"/>
      <c r="BJ76" s="5664"/>
      <c r="BK76" s="5701"/>
      <c r="BM76" s="1851">
        <v>320</v>
      </c>
      <c r="BN76" s="6034" t="s">
        <v>1749</v>
      </c>
      <c r="BO76" s="5982"/>
      <c r="BP76" s="6035" t="str">
        <f>IF(BM66=0,"",VLOOKUP(BM66,'Tablas psiquica'!$D$7:$R$145,14,FALSE))</f>
        <v/>
      </c>
      <c r="BQ76" s="5664"/>
      <c r="BR76" s="5664"/>
      <c r="BS76" s="5701"/>
      <c r="BT76" s="294"/>
      <c r="BU76" s="1851">
        <v>320</v>
      </c>
      <c r="BV76" s="6034" t="s">
        <v>1749</v>
      </c>
      <c r="BW76" s="5982"/>
      <c r="BX76" s="6035" t="str">
        <f>IF(BU66=0,"",VLOOKUP(BU66,'Tablas psiquica'!$D$7:$R$145,14,FALSE))</f>
        <v/>
      </c>
      <c r="BY76" s="5664"/>
      <c r="BZ76" s="5664"/>
      <c r="CA76" s="5701"/>
      <c r="CB76" s="450"/>
      <c r="CC76" s="444"/>
      <c r="CD76" s="444"/>
      <c r="CE76" s="294"/>
      <c r="CF76" s="1851">
        <v>320</v>
      </c>
      <c r="CG76" s="6034" t="s">
        <v>1749</v>
      </c>
      <c r="CH76" s="5982"/>
      <c r="CI76" s="6035" t="str">
        <f>IF(CF66=0,"",VLOOKUP(CF66,'Tablas psiquica'!$D$7:$R$145,14,FALSE))</f>
        <v/>
      </c>
      <c r="CJ76" s="5664"/>
      <c r="CK76" s="5664"/>
      <c r="CL76" s="5701"/>
      <c r="CN76" s="1851">
        <v>320</v>
      </c>
      <c r="CO76" s="6034" t="s">
        <v>1749</v>
      </c>
      <c r="CP76" s="5982"/>
      <c r="CQ76" s="6035" t="str">
        <f>IF(CN66=0,"",VLOOKUP(CN66,'Tablas psiquica'!$D$7:$R$145,14,FALSE))</f>
        <v/>
      </c>
      <c r="CR76" s="5664"/>
      <c r="CS76" s="5664"/>
      <c r="CT76" s="5701"/>
      <c r="CU76" s="294"/>
      <c r="CV76" s="1851">
        <v>320</v>
      </c>
      <c r="CW76" s="6034" t="s">
        <v>1749</v>
      </c>
      <c r="CX76" s="5982"/>
      <c r="CY76" s="6035" t="str">
        <f>IF(CV66=0,"",VLOOKUP(CV66,'Tablas psiquica'!$D$7:$R$145,14,FALSE))</f>
        <v/>
      </c>
      <c r="CZ76" s="5664"/>
      <c r="DA76" s="5664"/>
      <c r="DB76" s="5701"/>
      <c r="DC76" s="450"/>
      <c r="DD76" s="444"/>
    </row>
    <row r="77" spans="1:108" ht="12" customHeight="1" x14ac:dyDescent="0.2">
      <c r="A77" s="444"/>
      <c r="B77" s="294"/>
      <c r="C77" s="476">
        <v>440</v>
      </c>
      <c r="D77" s="6032" t="s">
        <v>1692</v>
      </c>
      <c r="E77" s="6033"/>
      <c r="F77" s="6029" t="str">
        <f>IF(C66=0,"",VLOOKUP(C66,'Tablas psiquica'!$D$7:$R$145,15,FALSE))</f>
        <v/>
      </c>
      <c r="G77" s="6030"/>
      <c r="H77" s="6030"/>
      <c r="I77" s="6031"/>
      <c r="K77" s="476">
        <v>440</v>
      </c>
      <c r="L77" s="6032" t="s">
        <v>1692</v>
      </c>
      <c r="M77" s="6033"/>
      <c r="N77" s="6029" t="str">
        <f>IF(K66=0,"",VLOOKUP(K66,'Tablas psiquica'!$D$7:$R$145,15,FALSE))</f>
        <v/>
      </c>
      <c r="O77" s="6030"/>
      <c r="P77" s="6030"/>
      <c r="Q77" s="6031"/>
      <c r="R77" s="294"/>
      <c r="S77" s="476">
        <v>440</v>
      </c>
      <c r="T77" s="6032" t="s">
        <v>1692</v>
      </c>
      <c r="U77" s="6033"/>
      <c r="V77" s="6029" t="str">
        <f>IF(S66=0,"",VLOOKUP(S66,'Tablas psiquica'!$D$7:$R$145,15,FALSE))</f>
        <v/>
      </c>
      <c r="W77" s="6030"/>
      <c r="X77" s="6030"/>
      <c r="Y77" s="6031"/>
      <c r="Z77" s="450"/>
      <c r="AA77" s="444"/>
      <c r="AB77" s="444"/>
      <c r="AC77" s="294"/>
      <c r="AD77" s="476">
        <v>440</v>
      </c>
      <c r="AE77" s="6032" t="s">
        <v>1692</v>
      </c>
      <c r="AF77" s="6033"/>
      <c r="AG77" s="6029" t="str">
        <f>IF(AD66=0,"",VLOOKUP(AD66,'Tablas psiquica'!$D$7:$R$145,15,FALSE))</f>
        <v/>
      </c>
      <c r="AH77" s="6030"/>
      <c r="AI77" s="6030"/>
      <c r="AJ77" s="6031"/>
      <c r="AL77" s="476">
        <v>440</v>
      </c>
      <c r="AM77" s="6032" t="s">
        <v>1692</v>
      </c>
      <c r="AN77" s="6033"/>
      <c r="AO77" s="6029" t="str">
        <f>IF(AL66=0,"",VLOOKUP(AL66,'Tablas psiquica'!$D$7:$R$145,15,FALSE))</f>
        <v/>
      </c>
      <c r="AP77" s="6030"/>
      <c r="AQ77" s="6030"/>
      <c r="AR77" s="6031"/>
      <c r="AS77" s="294"/>
      <c r="AT77" s="476">
        <v>440</v>
      </c>
      <c r="AU77" s="6032" t="s">
        <v>1692</v>
      </c>
      <c r="AV77" s="6033"/>
      <c r="AW77" s="6029" t="str">
        <f>IF(AT66=0,"",VLOOKUP(AT66,'Tablas psiquica'!$D$7:$R$145,15,FALSE))</f>
        <v/>
      </c>
      <c r="AX77" s="6030"/>
      <c r="AY77" s="6030"/>
      <c r="AZ77" s="6031"/>
      <c r="BA77" s="450"/>
      <c r="BB77" s="444"/>
      <c r="BC77" s="444"/>
      <c r="BD77" s="294"/>
      <c r="BE77" s="476">
        <v>440</v>
      </c>
      <c r="BF77" s="6032" t="s">
        <v>1692</v>
      </c>
      <c r="BG77" s="6033"/>
      <c r="BH77" s="6029" t="str">
        <f>IF(BE66=0,"",VLOOKUP(BE66,'Tablas psiquica'!$D$7:$R$145,15,FALSE))</f>
        <v/>
      </c>
      <c r="BI77" s="6030"/>
      <c r="BJ77" s="6030"/>
      <c r="BK77" s="6031"/>
      <c r="BM77" s="476">
        <v>440</v>
      </c>
      <c r="BN77" s="6032" t="s">
        <v>1692</v>
      </c>
      <c r="BO77" s="6033"/>
      <c r="BP77" s="6029" t="str">
        <f>IF(BM66=0,"",VLOOKUP(BM66,'Tablas psiquica'!$D$7:$R$145,15,FALSE))</f>
        <v/>
      </c>
      <c r="BQ77" s="6030"/>
      <c r="BR77" s="6030"/>
      <c r="BS77" s="6031"/>
      <c r="BT77" s="294"/>
      <c r="BU77" s="476">
        <v>440</v>
      </c>
      <c r="BV77" s="6032" t="s">
        <v>1692</v>
      </c>
      <c r="BW77" s="6033"/>
      <c r="BX77" s="6029" t="str">
        <f>IF(BU66=0,"",VLOOKUP(BU66,'Tablas psiquica'!$D$7:$R$145,15,FALSE))</f>
        <v/>
      </c>
      <c r="BY77" s="6030"/>
      <c r="BZ77" s="6030"/>
      <c r="CA77" s="6031"/>
      <c r="CB77" s="450"/>
      <c r="CC77" s="444"/>
      <c r="CD77" s="444"/>
      <c r="CE77" s="294"/>
      <c r="CF77" s="476">
        <v>440</v>
      </c>
      <c r="CG77" s="6032" t="s">
        <v>1692</v>
      </c>
      <c r="CH77" s="6033"/>
      <c r="CI77" s="6029" t="str">
        <f>IF(CF66=0,"",VLOOKUP(CF66,'Tablas psiquica'!$D$7:$R$145,15,FALSE))</f>
        <v/>
      </c>
      <c r="CJ77" s="6030"/>
      <c r="CK77" s="6030"/>
      <c r="CL77" s="6031"/>
      <c r="CN77" s="476">
        <v>440</v>
      </c>
      <c r="CO77" s="6032" t="s">
        <v>1692</v>
      </c>
      <c r="CP77" s="6033"/>
      <c r="CQ77" s="6029" t="str">
        <f>IF(CN66=0,"",VLOOKUP(CN66,'Tablas psiquica'!$D$7:$R$145,15,FALSE))</f>
        <v/>
      </c>
      <c r="CR77" s="6030"/>
      <c r="CS77" s="6030"/>
      <c r="CT77" s="6031"/>
      <c r="CU77" s="294"/>
      <c r="CV77" s="476">
        <v>440</v>
      </c>
      <c r="CW77" s="6032" t="s">
        <v>1692</v>
      </c>
      <c r="CX77" s="6033"/>
      <c r="CY77" s="6029" t="str">
        <f>IF(CV66=0,"",VLOOKUP(CV66,'Tablas psiquica'!$D$7:$R$145,15,FALSE))</f>
        <v/>
      </c>
      <c r="CZ77" s="6030"/>
      <c r="DA77" s="6030"/>
      <c r="DB77" s="6031"/>
      <c r="DC77" s="450"/>
      <c r="DD77" s="444"/>
    </row>
    <row r="78" spans="1:108" ht="12" customHeight="1" thickBot="1" x14ac:dyDescent="0.25">
      <c r="A78" s="444"/>
      <c r="B78" s="294"/>
      <c r="C78" s="6026" t="s">
        <v>6396</v>
      </c>
      <c r="D78" s="6027"/>
      <c r="E78" s="477" t="str">
        <f>IF(C66=0,"",VLOOKUP(C66,'Tablas psiquica'!$D$7:$R$145,4,FALSE))</f>
        <v/>
      </c>
      <c r="F78" s="6028" t="s">
        <v>6391</v>
      </c>
      <c r="G78" s="6028"/>
      <c r="H78" s="4769" t="str">
        <f>IF(C66=0,"",VLOOKUP(C66,'Tablas psiquica'!$D$7:$R$145,5,FALSE))</f>
        <v/>
      </c>
      <c r="I78" s="4770"/>
      <c r="K78" s="6026" t="s">
        <v>6396</v>
      </c>
      <c r="L78" s="6027"/>
      <c r="M78" s="477" t="str">
        <f>IF(K66=0,"",VLOOKUP(K66,'Tablas psiquica'!$D$7:$R$145,4,FALSE))</f>
        <v/>
      </c>
      <c r="N78" s="6028" t="s">
        <v>6391</v>
      </c>
      <c r="O78" s="6028"/>
      <c r="P78" s="4769" t="str">
        <f>IF(K66=0,"",VLOOKUP(K66,'Tablas psiquica'!$D$7:$R$145,5,FALSE))</f>
        <v/>
      </c>
      <c r="Q78" s="4770"/>
      <c r="R78" s="294"/>
      <c r="S78" s="6026" t="s">
        <v>6396</v>
      </c>
      <c r="T78" s="6027"/>
      <c r="U78" s="477" t="str">
        <f>IF(S66=0,"",VLOOKUP(S66,'Tablas psiquica'!$D$7:$R$145,4,FALSE))</f>
        <v/>
      </c>
      <c r="V78" s="6028" t="s">
        <v>6391</v>
      </c>
      <c r="W78" s="6028"/>
      <c r="X78" s="4769" t="str">
        <f>IF(S66=0,"",VLOOKUP(S66,'Tablas psiquica'!$D$7:$R$145,5,FALSE))</f>
        <v/>
      </c>
      <c r="Y78" s="4770"/>
      <c r="Z78" s="450"/>
      <c r="AA78" s="444"/>
      <c r="AB78" s="444"/>
      <c r="AC78" s="294"/>
      <c r="AD78" s="6026" t="s">
        <v>6396</v>
      </c>
      <c r="AE78" s="6027"/>
      <c r="AF78" s="477" t="str">
        <f>IF(AD66=0,"",VLOOKUP(AD66,'Tablas psiquica'!$D$7:$R$145,4,FALSE))</f>
        <v/>
      </c>
      <c r="AG78" s="6028" t="s">
        <v>6391</v>
      </c>
      <c r="AH78" s="6028"/>
      <c r="AI78" s="4769" t="str">
        <f>IF(AD66=0,"",VLOOKUP(AD66,'Tablas psiquica'!$D$7:$R$145,5,FALSE))</f>
        <v/>
      </c>
      <c r="AJ78" s="4770"/>
      <c r="AL78" s="6026" t="s">
        <v>6396</v>
      </c>
      <c r="AM78" s="6027"/>
      <c r="AN78" s="477" t="str">
        <f>IF(AL66=0,"",VLOOKUP(AL66,'Tablas psiquica'!$D$7:$R$145,4,FALSE))</f>
        <v/>
      </c>
      <c r="AO78" s="6028" t="s">
        <v>6391</v>
      </c>
      <c r="AP78" s="6028"/>
      <c r="AQ78" s="4769" t="str">
        <f>IF(AL66=0,"",VLOOKUP(AL66,'Tablas psiquica'!$D$7:$R$145,5,FALSE))</f>
        <v/>
      </c>
      <c r="AR78" s="4770"/>
      <c r="AS78" s="294"/>
      <c r="AT78" s="6026" t="s">
        <v>6396</v>
      </c>
      <c r="AU78" s="6027"/>
      <c r="AV78" s="477" t="str">
        <f>IF(AT66=0,"",VLOOKUP(AT66,'Tablas psiquica'!$D$7:$R$145,4,FALSE))</f>
        <v/>
      </c>
      <c r="AW78" s="6028" t="s">
        <v>6391</v>
      </c>
      <c r="AX78" s="6028"/>
      <c r="AY78" s="4769" t="str">
        <f>IF(AT66=0,"",VLOOKUP(AT66,'Tablas psiquica'!$D$7:$R$145,5,FALSE))</f>
        <v/>
      </c>
      <c r="AZ78" s="4770"/>
      <c r="BA78" s="450"/>
      <c r="BB78" s="444"/>
      <c r="BC78" s="444"/>
      <c r="BD78" s="294"/>
      <c r="BE78" s="6026" t="s">
        <v>6396</v>
      </c>
      <c r="BF78" s="6027"/>
      <c r="BG78" s="477" t="str">
        <f>IF(BE66=0,"",VLOOKUP(BE66,'Tablas psiquica'!$D$7:$R$145,4,FALSE))</f>
        <v/>
      </c>
      <c r="BH78" s="6028" t="s">
        <v>6391</v>
      </c>
      <c r="BI78" s="6028"/>
      <c r="BJ78" s="4769" t="str">
        <f>IF(BE66=0,"",VLOOKUP(BE66,'Tablas psiquica'!$D$7:$R$145,5,FALSE))</f>
        <v/>
      </c>
      <c r="BK78" s="4770"/>
      <c r="BM78" s="6026" t="s">
        <v>6396</v>
      </c>
      <c r="BN78" s="6027"/>
      <c r="BO78" s="477" t="str">
        <f>IF(BM66=0,"",VLOOKUP(BM66,'Tablas psiquica'!$D$7:$R$145,4,FALSE))</f>
        <v/>
      </c>
      <c r="BP78" s="6028" t="s">
        <v>6391</v>
      </c>
      <c r="BQ78" s="6028"/>
      <c r="BR78" s="4769" t="str">
        <f>IF(BM66=0,"",VLOOKUP(BM66,'Tablas psiquica'!$D$7:$R$145,5,FALSE))</f>
        <v/>
      </c>
      <c r="BS78" s="4770"/>
      <c r="BT78" s="294"/>
      <c r="BU78" s="6026" t="s">
        <v>6396</v>
      </c>
      <c r="BV78" s="6027"/>
      <c r="BW78" s="477" t="str">
        <f>IF(BU66=0,"",VLOOKUP(BU66,'Tablas psiquica'!$D$7:$R$145,4,FALSE))</f>
        <v/>
      </c>
      <c r="BX78" s="6028" t="s">
        <v>6391</v>
      </c>
      <c r="BY78" s="6028"/>
      <c r="BZ78" s="4769" t="str">
        <f>IF(BU66=0,"",VLOOKUP(BU66,'Tablas psiquica'!$D$7:$R$145,5,FALSE))</f>
        <v/>
      </c>
      <c r="CA78" s="4770"/>
      <c r="CB78" s="450"/>
      <c r="CC78" s="444"/>
      <c r="CD78" s="444"/>
      <c r="CE78" s="294"/>
      <c r="CF78" s="6026" t="s">
        <v>6396</v>
      </c>
      <c r="CG78" s="6027"/>
      <c r="CH78" s="477" t="str">
        <f>IF(CF66=0,"",VLOOKUP(CF66,'Tablas psiquica'!$D$7:$R$145,4,FALSE))</f>
        <v/>
      </c>
      <c r="CI78" s="6028" t="s">
        <v>6391</v>
      </c>
      <c r="CJ78" s="6028"/>
      <c r="CK78" s="4769" t="str">
        <f>IF(CF66=0,"",VLOOKUP(CF66,'Tablas psiquica'!$D$7:$R$145,5,FALSE))</f>
        <v/>
      </c>
      <c r="CL78" s="4770"/>
      <c r="CN78" s="6026" t="s">
        <v>6396</v>
      </c>
      <c r="CO78" s="6027"/>
      <c r="CP78" s="477" t="str">
        <f>IF(CN66=0,"",VLOOKUP(CN66,'Tablas psiquica'!$D$7:$R$145,4,FALSE))</f>
        <v/>
      </c>
      <c r="CQ78" s="6028" t="s">
        <v>6391</v>
      </c>
      <c r="CR78" s="6028"/>
      <c r="CS78" s="4769" t="str">
        <f>IF(CN66=0,"",VLOOKUP(CN66,'Tablas psiquica'!$D$7:$R$145,5,FALSE))</f>
        <v/>
      </c>
      <c r="CT78" s="4770"/>
      <c r="CU78" s="294"/>
      <c r="CV78" s="6026" t="s">
        <v>6396</v>
      </c>
      <c r="CW78" s="6027"/>
      <c r="CX78" s="477" t="str">
        <f>IF(CV66=0,"",VLOOKUP(CV66,'Tablas psiquica'!$D$7:$R$145,4,FALSE))</f>
        <v/>
      </c>
      <c r="CY78" s="6028" t="s">
        <v>6391</v>
      </c>
      <c r="CZ78" s="6028"/>
      <c r="DA78" s="4769" t="str">
        <f>IF(CV66=0,"",VLOOKUP(CV66,'Tablas psiquica'!$D$7:$R$145,5,FALSE))</f>
        <v/>
      </c>
      <c r="DB78" s="4770"/>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1"/>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1"/>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1"/>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1"/>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313" priority="950" operator="equal">
      <formula>0</formula>
    </cfRule>
  </conditionalFormatting>
  <conditionalFormatting sqref="K10:P10">
    <cfRule type="cellIs" dxfId="312" priority="654" operator="equal">
      <formula>0</formula>
    </cfRule>
  </conditionalFormatting>
  <conditionalFormatting sqref="S10:X10">
    <cfRule type="cellIs" dxfId="311" priority="651" operator="equal">
      <formula>0</formula>
    </cfRule>
  </conditionalFormatting>
  <conditionalFormatting sqref="G11:H11">
    <cfRule type="containsText" dxfId="310" priority="334" operator="containsText" text="No Accesible">
      <formula>NOT(ISERROR(SEARCH("No Accesible",G11)))</formula>
    </cfRule>
    <cfRule type="containsText" dxfId="309" priority="335" operator="containsText" text="Aprendido">
      <formula>NOT(ISERROR(SEARCH("Aprendido",G11)))</formula>
    </cfRule>
  </conditionalFormatting>
  <conditionalFormatting sqref="C24:H24">
    <cfRule type="cellIs" dxfId="308" priority="317" operator="equal">
      <formula>0</formula>
    </cfRule>
  </conditionalFormatting>
  <conditionalFormatting sqref="C38:H38">
    <cfRule type="cellIs" dxfId="307" priority="314" operator="equal">
      <formula>0</formula>
    </cfRule>
  </conditionalFormatting>
  <conditionalFormatting sqref="C52:H52">
    <cfRule type="cellIs" dxfId="306" priority="311" operator="equal">
      <formula>0</formula>
    </cfRule>
  </conditionalFormatting>
  <conditionalFormatting sqref="C66:H66">
    <cfRule type="cellIs" dxfId="305" priority="308" operator="equal">
      <formula>0</formula>
    </cfRule>
  </conditionalFormatting>
  <conditionalFormatting sqref="K24:P24">
    <cfRule type="cellIs" dxfId="304" priority="305" operator="equal">
      <formula>0</formula>
    </cfRule>
  </conditionalFormatting>
  <conditionalFormatting sqref="K38:P38">
    <cfRule type="cellIs" dxfId="303" priority="302" operator="equal">
      <formula>0</formula>
    </cfRule>
  </conditionalFormatting>
  <conditionalFormatting sqref="K52:P52">
    <cfRule type="cellIs" dxfId="302" priority="299" operator="equal">
      <formula>0</formula>
    </cfRule>
  </conditionalFormatting>
  <conditionalFormatting sqref="K66:P66">
    <cfRule type="cellIs" dxfId="301" priority="296" operator="equal">
      <formula>0</formula>
    </cfRule>
  </conditionalFormatting>
  <conditionalFormatting sqref="S24:X24">
    <cfRule type="cellIs" dxfId="300" priority="293" operator="equal">
      <formula>0</formula>
    </cfRule>
  </conditionalFormatting>
  <conditionalFormatting sqref="S38:X38">
    <cfRule type="cellIs" dxfId="299" priority="290" operator="equal">
      <formula>0</formula>
    </cfRule>
  </conditionalFormatting>
  <conditionalFormatting sqref="S52:X52">
    <cfRule type="cellIs" dxfId="298" priority="287" operator="equal">
      <formula>0</formula>
    </cfRule>
  </conditionalFormatting>
  <conditionalFormatting sqref="S66:X66">
    <cfRule type="cellIs" dxfId="297" priority="284" operator="equal">
      <formula>0</formula>
    </cfRule>
  </conditionalFormatting>
  <conditionalFormatting sqref="AD10:AI10">
    <cfRule type="cellIs" dxfId="296" priority="281" operator="equal">
      <formula>0</formula>
    </cfRule>
  </conditionalFormatting>
  <conditionalFormatting sqref="AL10:AQ10">
    <cfRule type="cellIs" dxfId="295" priority="280" operator="equal">
      <formula>0</formula>
    </cfRule>
  </conditionalFormatting>
  <conditionalFormatting sqref="AT10:AY10">
    <cfRule type="cellIs" dxfId="294" priority="279" operator="equal">
      <formula>0</formula>
    </cfRule>
  </conditionalFormatting>
  <conditionalFormatting sqref="AD24:AI24">
    <cfRule type="cellIs" dxfId="293" priority="272" operator="equal">
      <formula>0</formula>
    </cfRule>
  </conditionalFormatting>
  <conditionalFormatting sqref="AD38:AI38">
    <cfRule type="cellIs" dxfId="292" priority="269" operator="equal">
      <formula>0</formula>
    </cfRule>
  </conditionalFormatting>
  <conditionalFormatting sqref="AD52:AI52">
    <cfRule type="cellIs" dxfId="291" priority="266" operator="equal">
      <formula>0</formula>
    </cfRule>
  </conditionalFormatting>
  <conditionalFormatting sqref="AD66:AI66">
    <cfRule type="cellIs" dxfId="290" priority="263" operator="equal">
      <formula>0</formula>
    </cfRule>
  </conditionalFormatting>
  <conditionalFormatting sqref="AL24:AQ24">
    <cfRule type="cellIs" dxfId="289" priority="260" operator="equal">
      <formula>0</formula>
    </cfRule>
  </conditionalFormatting>
  <conditionalFormatting sqref="AL38:AQ38">
    <cfRule type="cellIs" dxfId="288" priority="257" operator="equal">
      <formula>0</formula>
    </cfRule>
  </conditionalFormatting>
  <conditionalFormatting sqref="AL52:AQ52">
    <cfRule type="cellIs" dxfId="287" priority="254" operator="equal">
      <formula>0</formula>
    </cfRule>
  </conditionalFormatting>
  <conditionalFormatting sqref="AL66:AQ66">
    <cfRule type="cellIs" dxfId="286" priority="251" operator="equal">
      <formula>0</formula>
    </cfRule>
  </conditionalFormatting>
  <conditionalFormatting sqref="AT24:AY24">
    <cfRule type="cellIs" dxfId="285" priority="248" operator="equal">
      <formula>0</formula>
    </cfRule>
  </conditionalFormatting>
  <conditionalFormatting sqref="AT38:AY38">
    <cfRule type="cellIs" dxfId="284" priority="245" operator="equal">
      <formula>0</formula>
    </cfRule>
  </conditionalFormatting>
  <conditionalFormatting sqref="AT52:AY52">
    <cfRule type="cellIs" dxfId="283" priority="242" operator="equal">
      <formula>0</formula>
    </cfRule>
  </conditionalFormatting>
  <conditionalFormatting sqref="AT66:AY66">
    <cfRule type="cellIs" dxfId="282" priority="239" operator="equal">
      <formula>0</formula>
    </cfRule>
  </conditionalFormatting>
  <conditionalFormatting sqref="BE10:BJ10">
    <cfRule type="cellIs" dxfId="281" priority="236" operator="equal">
      <formula>0</formula>
    </cfRule>
  </conditionalFormatting>
  <conditionalFormatting sqref="BM10:BR10">
    <cfRule type="cellIs" dxfId="280" priority="235" operator="equal">
      <formula>0</formula>
    </cfRule>
  </conditionalFormatting>
  <conditionalFormatting sqref="BU10:BZ10">
    <cfRule type="cellIs" dxfId="279" priority="234" operator="equal">
      <formula>0</formula>
    </cfRule>
  </conditionalFormatting>
  <conditionalFormatting sqref="BE24:BJ24">
    <cfRule type="cellIs" dxfId="278" priority="227" operator="equal">
      <formula>0</formula>
    </cfRule>
  </conditionalFormatting>
  <conditionalFormatting sqref="BE38:BJ38">
    <cfRule type="cellIs" dxfId="277" priority="224" operator="equal">
      <formula>0</formula>
    </cfRule>
  </conditionalFormatting>
  <conditionalFormatting sqref="BE52:BJ52">
    <cfRule type="cellIs" dxfId="276" priority="221" operator="equal">
      <formula>0</formula>
    </cfRule>
  </conditionalFormatting>
  <conditionalFormatting sqref="BE66:BJ66">
    <cfRule type="cellIs" dxfId="275" priority="218" operator="equal">
      <formula>0</formula>
    </cfRule>
  </conditionalFormatting>
  <conditionalFormatting sqref="BM24:BR24">
    <cfRule type="cellIs" dxfId="274" priority="215" operator="equal">
      <formula>0</formula>
    </cfRule>
  </conditionalFormatting>
  <conditionalFormatting sqref="BM38:BR38">
    <cfRule type="cellIs" dxfId="273" priority="212" operator="equal">
      <formula>0</formula>
    </cfRule>
  </conditionalFormatting>
  <conditionalFormatting sqref="BM52:BR52">
    <cfRule type="cellIs" dxfId="272" priority="209" operator="equal">
      <formula>0</formula>
    </cfRule>
  </conditionalFormatting>
  <conditionalFormatting sqref="BM66:BR66">
    <cfRule type="cellIs" dxfId="271" priority="206" operator="equal">
      <formula>0</formula>
    </cfRule>
  </conditionalFormatting>
  <conditionalFormatting sqref="BU24:BZ24">
    <cfRule type="cellIs" dxfId="270" priority="203" operator="equal">
      <formula>0</formula>
    </cfRule>
  </conditionalFormatting>
  <conditionalFormatting sqref="BU38:BZ38">
    <cfRule type="cellIs" dxfId="269" priority="200" operator="equal">
      <formula>0</formula>
    </cfRule>
  </conditionalFormatting>
  <conditionalFormatting sqref="BU52:BZ52">
    <cfRule type="cellIs" dxfId="268" priority="197" operator="equal">
      <formula>0</formula>
    </cfRule>
  </conditionalFormatting>
  <conditionalFormatting sqref="BU66:BZ66">
    <cfRule type="cellIs" dxfId="267" priority="194" operator="equal">
      <formula>0</formula>
    </cfRule>
  </conditionalFormatting>
  <conditionalFormatting sqref="CF10:CK10">
    <cfRule type="cellIs" dxfId="266" priority="191" operator="equal">
      <formula>0</formula>
    </cfRule>
  </conditionalFormatting>
  <conditionalFormatting sqref="CN10:CS10">
    <cfRule type="cellIs" dxfId="265" priority="190" operator="equal">
      <formula>0</formula>
    </cfRule>
  </conditionalFormatting>
  <conditionalFormatting sqref="CV10:DA10">
    <cfRule type="cellIs" dxfId="264" priority="189" operator="equal">
      <formula>0</formula>
    </cfRule>
  </conditionalFormatting>
  <conditionalFormatting sqref="CF24:CK24">
    <cfRule type="cellIs" dxfId="263" priority="182" operator="equal">
      <formula>0</formula>
    </cfRule>
  </conditionalFormatting>
  <conditionalFormatting sqref="CF38:CK38">
    <cfRule type="cellIs" dxfId="262" priority="179" operator="equal">
      <formula>0</formula>
    </cfRule>
  </conditionalFormatting>
  <conditionalFormatting sqref="CF52:CK52">
    <cfRule type="cellIs" dxfId="261" priority="176" operator="equal">
      <formula>0</formula>
    </cfRule>
  </conditionalFormatting>
  <conditionalFormatting sqref="CF66:CK66">
    <cfRule type="cellIs" dxfId="260" priority="173" operator="equal">
      <formula>0</formula>
    </cfRule>
  </conditionalFormatting>
  <conditionalFormatting sqref="CN24:CS24">
    <cfRule type="cellIs" dxfId="259" priority="170" operator="equal">
      <formula>0</formula>
    </cfRule>
  </conditionalFormatting>
  <conditionalFormatting sqref="CN38:CS38">
    <cfRule type="cellIs" dxfId="258" priority="167" operator="equal">
      <formula>0</formula>
    </cfRule>
  </conditionalFormatting>
  <conditionalFormatting sqref="CN52:CS52">
    <cfRule type="cellIs" dxfId="257" priority="164" operator="equal">
      <formula>0</formula>
    </cfRule>
  </conditionalFormatting>
  <conditionalFormatting sqref="CN66:CS66">
    <cfRule type="cellIs" dxfId="256" priority="161" operator="equal">
      <formula>0</formula>
    </cfRule>
  </conditionalFormatting>
  <conditionalFormatting sqref="CV24:DA24">
    <cfRule type="cellIs" dxfId="255" priority="158" operator="equal">
      <formula>0</formula>
    </cfRule>
  </conditionalFormatting>
  <conditionalFormatting sqref="CV38:DA38">
    <cfRule type="cellIs" dxfId="254" priority="155" operator="equal">
      <formula>0</formula>
    </cfRule>
  </conditionalFormatting>
  <conditionalFormatting sqref="CV52:DA52">
    <cfRule type="cellIs" dxfId="253" priority="152" operator="equal">
      <formula>0</formula>
    </cfRule>
  </conditionalFormatting>
  <conditionalFormatting sqref="CV66:DA66">
    <cfRule type="cellIs" dxfId="252" priority="149" operator="equal">
      <formula>0</formula>
    </cfRule>
  </conditionalFormatting>
  <conditionalFormatting sqref="O11:P11">
    <cfRule type="containsText" dxfId="251" priority="117" operator="containsText" text="No Accesible">
      <formula>NOT(ISERROR(SEARCH("No Accesible",O11)))</formula>
    </cfRule>
    <cfRule type="containsText" dxfId="250" priority="118" operator="containsText" text="Aprendido">
      <formula>NOT(ISERROR(SEARCH("Aprendido",O11)))</formula>
    </cfRule>
  </conditionalFormatting>
  <conditionalFormatting sqref="W11:X11">
    <cfRule type="containsText" dxfId="249" priority="115" operator="containsText" text="No Accesible">
      <formula>NOT(ISERROR(SEARCH("No Accesible",W11)))</formula>
    </cfRule>
    <cfRule type="containsText" dxfId="248" priority="116" operator="containsText" text="Aprendido">
      <formula>NOT(ISERROR(SEARCH("Aprendido",W11)))</formula>
    </cfRule>
  </conditionalFormatting>
  <conditionalFormatting sqref="G25:H25">
    <cfRule type="containsText" dxfId="247" priority="113" operator="containsText" text="No Accesible">
      <formula>NOT(ISERROR(SEARCH("No Accesible",G25)))</formula>
    </cfRule>
    <cfRule type="containsText" dxfId="246" priority="114" operator="containsText" text="Aprendido">
      <formula>NOT(ISERROR(SEARCH("Aprendido",G25)))</formula>
    </cfRule>
  </conditionalFormatting>
  <conditionalFormatting sqref="O25:P25">
    <cfRule type="containsText" dxfId="245" priority="111" operator="containsText" text="No Accesible">
      <formula>NOT(ISERROR(SEARCH("No Accesible",O25)))</formula>
    </cfRule>
    <cfRule type="containsText" dxfId="244" priority="112" operator="containsText" text="Aprendido">
      <formula>NOT(ISERROR(SEARCH("Aprendido",O25)))</formula>
    </cfRule>
  </conditionalFormatting>
  <conditionalFormatting sqref="W25:X25">
    <cfRule type="containsText" dxfId="243" priority="109" operator="containsText" text="No Accesible">
      <formula>NOT(ISERROR(SEARCH("No Accesible",W25)))</formula>
    </cfRule>
    <cfRule type="containsText" dxfId="242" priority="110" operator="containsText" text="Aprendido">
      <formula>NOT(ISERROR(SEARCH("Aprendido",W25)))</formula>
    </cfRule>
  </conditionalFormatting>
  <conditionalFormatting sqref="G39:H39">
    <cfRule type="containsText" dxfId="241" priority="107" operator="containsText" text="No Accesible">
      <formula>NOT(ISERROR(SEARCH("No Accesible",G39)))</formula>
    </cfRule>
    <cfRule type="containsText" dxfId="240" priority="108" operator="containsText" text="Aprendido">
      <formula>NOT(ISERROR(SEARCH("Aprendido",G39)))</formula>
    </cfRule>
  </conditionalFormatting>
  <conditionalFormatting sqref="O39:P39">
    <cfRule type="containsText" dxfId="239" priority="105" operator="containsText" text="No Accesible">
      <formula>NOT(ISERROR(SEARCH("No Accesible",O39)))</formula>
    </cfRule>
    <cfRule type="containsText" dxfId="238" priority="106" operator="containsText" text="Aprendido">
      <formula>NOT(ISERROR(SEARCH("Aprendido",O39)))</formula>
    </cfRule>
  </conditionalFormatting>
  <conditionalFormatting sqref="W39:X39">
    <cfRule type="containsText" dxfId="237" priority="103" operator="containsText" text="No Accesible">
      <formula>NOT(ISERROR(SEARCH("No Accesible",W39)))</formula>
    </cfRule>
    <cfRule type="containsText" dxfId="236" priority="104" operator="containsText" text="Aprendido">
      <formula>NOT(ISERROR(SEARCH("Aprendido",W39)))</formula>
    </cfRule>
  </conditionalFormatting>
  <conditionalFormatting sqref="G53:H53">
    <cfRule type="containsText" dxfId="235" priority="101" operator="containsText" text="No Accesible">
      <formula>NOT(ISERROR(SEARCH("No Accesible",G53)))</formula>
    </cfRule>
    <cfRule type="containsText" dxfId="234" priority="102" operator="containsText" text="Aprendido">
      <formula>NOT(ISERROR(SEARCH("Aprendido",G53)))</formula>
    </cfRule>
  </conditionalFormatting>
  <conditionalFormatting sqref="O53:P53">
    <cfRule type="containsText" dxfId="233" priority="99" operator="containsText" text="No Accesible">
      <formula>NOT(ISERROR(SEARCH("No Accesible",O53)))</formula>
    </cfRule>
    <cfRule type="containsText" dxfId="232" priority="100" operator="containsText" text="Aprendido">
      <formula>NOT(ISERROR(SEARCH("Aprendido",O53)))</formula>
    </cfRule>
  </conditionalFormatting>
  <conditionalFormatting sqref="W53:X53">
    <cfRule type="containsText" dxfId="231" priority="97" operator="containsText" text="No Accesible">
      <formula>NOT(ISERROR(SEARCH("No Accesible",W53)))</formula>
    </cfRule>
    <cfRule type="containsText" dxfId="230" priority="98" operator="containsText" text="Aprendido">
      <formula>NOT(ISERROR(SEARCH("Aprendido",W53)))</formula>
    </cfRule>
  </conditionalFormatting>
  <conditionalFormatting sqref="G67:H67">
    <cfRule type="containsText" dxfId="229" priority="95" operator="containsText" text="No Accesible">
      <formula>NOT(ISERROR(SEARCH("No Accesible",G67)))</formula>
    </cfRule>
    <cfRule type="containsText" dxfId="228" priority="96" operator="containsText" text="Aprendido">
      <formula>NOT(ISERROR(SEARCH("Aprendido",G67)))</formula>
    </cfRule>
  </conditionalFormatting>
  <conditionalFormatting sqref="O67:P67">
    <cfRule type="containsText" dxfId="227" priority="93" operator="containsText" text="No Accesible">
      <formula>NOT(ISERROR(SEARCH("No Accesible",O67)))</formula>
    </cfRule>
    <cfRule type="containsText" dxfId="226" priority="94" operator="containsText" text="Aprendido">
      <formula>NOT(ISERROR(SEARCH("Aprendido",O67)))</formula>
    </cfRule>
  </conditionalFormatting>
  <conditionalFormatting sqref="W67:X67">
    <cfRule type="containsText" dxfId="225" priority="91" operator="containsText" text="No Accesible">
      <formula>NOT(ISERROR(SEARCH("No Accesible",W67)))</formula>
    </cfRule>
    <cfRule type="containsText" dxfId="224" priority="92" operator="containsText" text="Aprendido">
      <formula>NOT(ISERROR(SEARCH("Aprendido",W67)))</formula>
    </cfRule>
  </conditionalFormatting>
  <conditionalFormatting sqref="AH11:AI11">
    <cfRule type="containsText" dxfId="223" priority="89" operator="containsText" text="No Accesible">
      <formula>NOT(ISERROR(SEARCH("No Accesible",AH11)))</formula>
    </cfRule>
    <cfRule type="containsText" dxfId="222" priority="90" operator="containsText" text="Aprendido">
      <formula>NOT(ISERROR(SEARCH("Aprendido",AH11)))</formula>
    </cfRule>
  </conditionalFormatting>
  <conditionalFormatting sqref="AP11:AQ11">
    <cfRule type="containsText" dxfId="221" priority="87" operator="containsText" text="No Accesible">
      <formula>NOT(ISERROR(SEARCH("No Accesible",AP11)))</formula>
    </cfRule>
    <cfRule type="containsText" dxfId="220" priority="88" operator="containsText" text="Aprendido">
      <formula>NOT(ISERROR(SEARCH("Aprendido",AP11)))</formula>
    </cfRule>
  </conditionalFormatting>
  <conditionalFormatting sqref="AX11:AY11">
    <cfRule type="containsText" dxfId="219" priority="85" operator="containsText" text="No Accesible">
      <formula>NOT(ISERROR(SEARCH("No Accesible",AX11)))</formula>
    </cfRule>
    <cfRule type="containsText" dxfId="218" priority="86" operator="containsText" text="Aprendido">
      <formula>NOT(ISERROR(SEARCH("Aprendido",AX11)))</formula>
    </cfRule>
  </conditionalFormatting>
  <conditionalFormatting sqref="AH25:AI25">
    <cfRule type="containsText" dxfId="217" priority="83" operator="containsText" text="No Accesible">
      <formula>NOT(ISERROR(SEARCH("No Accesible",AH25)))</formula>
    </cfRule>
    <cfRule type="containsText" dxfId="216" priority="84" operator="containsText" text="Aprendido">
      <formula>NOT(ISERROR(SEARCH("Aprendido",AH25)))</formula>
    </cfRule>
  </conditionalFormatting>
  <conditionalFormatting sqref="AP25:AQ25">
    <cfRule type="containsText" dxfId="215" priority="81" operator="containsText" text="No Accesible">
      <formula>NOT(ISERROR(SEARCH("No Accesible",AP25)))</formula>
    </cfRule>
    <cfRule type="containsText" dxfId="214" priority="82" operator="containsText" text="Aprendido">
      <formula>NOT(ISERROR(SEARCH("Aprendido",AP25)))</formula>
    </cfRule>
  </conditionalFormatting>
  <conditionalFormatting sqref="AX25:AY25">
    <cfRule type="containsText" dxfId="213" priority="79" operator="containsText" text="No Accesible">
      <formula>NOT(ISERROR(SEARCH("No Accesible",AX25)))</formula>
    </cfRule>
    <cfRule type="containsText" dxfId="212" priority="80" operator="containsText" text="Aprendido">
      <formula>NOT(ISERROR(SEARCH("Aprendido",AX25)))</formula>
    </cfRule>
  </conditionalFormatting>
  <conditionalFormatting sqref="AH39:AI39">
    <cfRule type="containsText" dxfId="211" priority="77" operator="containsText" text="No Accesible">
      <formula>NOT(ISERROR(SEARCH("No Accesible",AH39)))</formula>
    </cfRule>
    <cfRule type="containsText" dxfId="210" priority="78" operator="containsText" text="Aprendido">
      <formula>NOT(ISERROR(SEARCH("Aprendido",AH39)))</formula>
    </cfRule>
  </conditionalFormatting>
  <conditionalFormatting sqref="AP39:AQ39">
    <cfRule type="containsText" dxfId="209" priority="75" operator="containsText" text="No Accesible">
      <formula>NOT(ISERROR(SEARCH("No Accesible",AP39)))</formula>
    </cfRule>
    <cfRule type="containsText" dxfId="208" priority="76" operator="containsText" text="Aprendido">
      <formula>NOT(ISERROR(SEARCH("Aprendido",AP39)))</formula>
    </cfRule>
  </conditionalFormatting>
  <conditionalFormatting sqref="AX39:AY39">
    <cfRule type="containsText" dxfId="207" priority="73" operator="containsText" text="No Accesible">
      <formula>NOT(ISERROR(SEARCH("No Accesible",AX39)))</formula>
    </cfRule>
    <cfRule type="containsText" dxfId="206" priority="74" operator="containsText" text="Aprendido">
      <formula>NOT(ISERROR(SEARCH("Aprendido",AX39)))</formula>
    </cfRule>
  </conditionalFormatting>
  <conditionalFormatting sqref="AH53:AI53">
    <cfRule type="containsText" dxfId="205" priority="71" operator="containsText" text="No Accesible">
      <formula>NOT(ISERROR(SEARCH("No Accesible",AH53)))</formula>
    </cfRule>
    <cfRule type="containsText" dxfId="204" priority="72" operator="containsText" text="Aprendido">
      <formula>NOT(ISERROR(SEARCH("Aprendido",AH53)))</formula>
    </cfRule>
  </conditionalFormatting>
  <conditionalFormatting sqref="AP53:AQ53">
    <cfRule type="containsText" dxfId="203" priority="69" operator="containsText" text="No Accesible">
      <formula>NOT(ISERROR(SEARCH("No Accesible",AP53)))</formula>
    </cfRule>
    <cfRule type="containsText" dxfId="202" priority="70" operator="containsText" text="Aprendido">
      <formula>NOT(ISERROR(SEARCH("Aprendido",AP53)))</formula>
    </cfRule>
  </conditionalFormatting>
  <conditionalFormatting sqref="AX53:AY53">
    <cfRule type="containsText" dxfId="201" priority="67" operator="containsText" text="No Accesible">
      <formula>NOT(ISERROR(SEARCH("No Accesible",AX53)))</formula>
    </cfRule>
    <cfRule type="containsText" dxfId="200" priority="68" operator="containsText" text="Aprendido">
      <formula>NOT(ISERROR(SEARCH("Aprendido",AX53)))</formula>
    </cfRule>
  </conditionalFormatting>
  <conditionalFormatting sqref="AH67:AI67">
    <cfRule type="containsText" dxfId="199" priority="65" operator="containsText" text="No Accesible">
      <formula>NOT(ISERROR(SEARCH("No Accesible",AH67)))</formula>
    </cfRule>
    <cfRule type="containsText" dxfId="198" priority="66" operator="containsText" text="Aprendido">
      <formula>NOT(ISERROR(SEARCH("Aprendido",AH67)))</formula>
    </cfRule>
  </conditionalFormatting>
  <conditionalFormatting sqref="AP67:AQ67">
    <cfRule type="containsText" dxfId="197" priority="63" operator="containsText" text="No Accesible">
      <formula>NOT(ISERROR(SEARCH("No Accesible",AP67)))</formula>
    </cfRule>
    <cfRule type="containsText" dxfId="196" priority="64" operator="containsText" text="Aprendido">
      <formula>NOT(ISERROR(SEARCH("Aprendido",AP67)))</formula>
    </cfRule>
  </conditionalFormatting>
  <conditionalFormatting sqref="AX67:AY67">
    <cfRule type="containsText" dxfId="195" priority="61" operator="containsText" text="No Accesible">
      <formula>NOT(ISERROR(SEARCH("No Accesible",AX67)))</formula>
    </cfRule>
    <cfRule type="containsText" dxfId="194" priority="62" operator="containsText" text="Aprendido">
      <formula>NOT(ISERROR(SEARCH("Aprendido",AX67)))</formula>
    </cfRule>
  </conditionalFormatting>
  <conditionalFormatting sqref="BI11:BJ11">
    <cfRule type="containsText" dxfId="193" priority="59" operator="containsText" text="No Accesible">
      <formula>NOT(ISERROR(SEARCH("No Accesible",BI11)))</formula>
    </cfRule>
    <cfRule type="containsText" dxfId="192" priority="60" operator="containsText" text="Aprendido">
      <formula>NOT(ISERROR(SEARCH("Aprendido",BI11)))</formula>
    </cfRule>
  </conditionalFormatting>
  <conditionalFormatting sqref="BQ11:BR11">
    <cfRule type="containsText" dxfId="191" priority="57" operator="containsText" text="No Accesible">
      <formula>NOT(ISERROR(SEARCH("No Accesible",BQ11)))</formula>
    </cfRule>
    <cfRule type="containsText" dxfId="190" priority="58" operator="containsText" text="Aprendido">
      <formula>NOT(ISERROR(SEARCH("Aprendido",BQ11)))</formula>
    </cfRule>
  </conditionalFormatting>
  <conditionalFormatting sqref="BY11:BZ11">
    <cfRule type="containsText" dxfId="189" priority="55" operator="containsText" text="No Accesible">
      <formula>NOT(ISERROR(SEARCH("No Accesible",BY11)))</formula>
    </cfRule>
    <cfRule type="containsText" dxfId="188" priority="56" operator="containsText" text="Aprendido">
      <formula>NOT(ISERROR(SEARCH("Aprendido",BY11)))</formula>
    </cfRule>
  </conditionalFormatting>
  <conditionalFormatting sqref="BI25:BJ25">
    <cfRule type="containsText" dxfId="187" priority="53" operator="containsText" text="No Accesible">
      <formula>NOT(ISERROR(SEARCH("No Accesible",BI25)))</formula>
    </cfRule>
    <cfRule type="containsText" dxfId="186" priority="54" operator="containsText" text="Aprendido">
      <formula>NOT(ISERROR(SEARCH("Aprendido",BI25)))</formula>
    </cfRule>
  </conditionalFormatting>
  <conditionalFormatting sqref="BQ25:BR25">
    <cfRule type="containsText" dxfId="185" priority="51" operator="containsText" text="No Accesible">
      <formula>NOT(ISERROR(SEARCH("No Accesible",BQ25)))</formula>
    </cfRule>
    <cfRule type="containsText" dxfId="184" priority="52" operator="containsText" text="Aprendido">
      <formula>NOT(ISERROR(SEARCH("Aprendido",BQ25)))</formula>
    </cfRule>
  </conditionalFormatting>
  <conditionalFormatting sqref="BY25:BZ25">
    <cfRule type="containsText" dxfId="183" priority="49" operator="containsText" text="No Accesible">
      <formula>NOT(ISERROR(SEARCH("No Accesible",BY25)))</formula>
    </cfRule>
    <cfRule type="containsText" dxfId="182" priority="50" operator="containsText" text="Aprendido">
      <formula>NOT(ISERROR(SEARCH("Aprendido",BY25)))</formula>
    </cfRule>
  </conditionalFormatting>
  <conditionalFormatting sqref="BI39:BJ39">
    <cfRule type="containsText" dxfId="181" priority="47" operator="containsText" text="No Accesible">
      <formula>NOT(ISERROR(SEARCH("No Accesible",BI39)))</formula>
    </cfRule>
    <cfRule type="containsText" dxfId="180" priority="48" operator="containsText" text="Aprendido">
      <formula>NOT(ISERROR(SEARCH("Aprendido",BI39)))</formula>
    </cfRule>
  </conditionalFormatting>
  <conditionalFormatting sqref="BQ39:BR39">
    <cfRule type="containsText" dxfId="179" priority="45" operator="containsText" text="No Accesible">
      <formula>NOT(ISERROR(SEARCH("No Accesible",BQ39)))</formula>
    </cfRule>
    <cfRule type="containsText" dxfId="178" priority="46" operator="containsText" text="Aprendido">
      <formula>NOT(ISERROR(SEARCH("Aprendido",BQ39)))</formula>
    </cfRule>
  </conditionalFormatting>
  <conditionalFormatting sqref="BY39:BZ39">
    <cfRule type="containsText" dxfId="177" priority="43" operator="containsText" text="No Accesible">
      <formula>NOT(ISERROR(SEARCH("No Accesible",BY39)))</formula>
    </cfRule>
    <cfRule type="containsText" dxfId="176" priority="44" operator="containsText" text="Aprendido">
      <formula>NOT(ISERROR(SEARCH("Aprendido",BY39)))</formula>
    </cfRule>
  </conditionalFormatting>
  <conditionalFormatting sqref="BI53:BJ53">
    <cfRule type="containsText" dxfId="175" priority="41" operator="containsText" text="No Accesible">
      <formula>NOT(ISERROR(SEARCH("No Accesible",BI53)))</formula>
    </cfRule>
    <cfRule type="containsText" dxfId="174" priority="42" operator="containsText" text="Aprendido">
      <formula>NOT(ISERROR(SEARCH("Aprendido",BI53)))</formula>
    </cfRule>
  </conditionalFormatting>
  <conditionalFormatting sqref="BQ53:BR53">
    <cfRule type="containsText" dxfId="173" priority="39" operator="containsText" text="No Accesible">
      <formula>NOT(ISERROR(SEARCH("No Accesible",BQ53)))</formula>
    </cfRule>
    <cfRule type="containsText" dxfId="172" priority="40" operator="containsText" text="Aprendido">
      <formula>NOT(ISERROR(SEARCH("Aprendido",BQ53)))</formula>
    </cfRule>
  </conditionalFormatting>
  <conditionalFormatting sqref="BY53:BZ53">
    <cfRule type="containsText" dxfId="171" priority="37" operator="containsText" text="No Accesible">
      <formula>NOT(ISERROR(SEARCH("No Accesible",BY53)))</formula>
    </cfRule>
    <cfRule type="containsText" dxfId="170" priority="38" operator="containsText" text="Aprendido">
      <formula>NOT(ISERROR(SEARCH("Aprendido",BY53)))</formula>
    </cfRule>
  </conditionalFormatting>
  <conditionalFormatting sqref="BI67:BJ67">
    <cfRule type="containsText" dxfId="169" priority="35" operator="containsText" text="No Accesible">
      <formula>NOT(ISERROR(SEARCH("No Accesible",BI67)))</formula>
    </cfRule>
    <cfRule type="containsText" dxfId="168" priority="36" operator="containsText" text="Aprendido">
      <formula>NOT(ISERROR(SEARCH("Aprendido",BI67)))</formula>
    </cfRule>
  </conditionalFormatting>
  <conditionalFormatting sqref="BQ67:BR67">
    <cfRule type="containsText" dxfId="167" priority="33" operator="containsText" text="No Accesible">
      <formula>NOT(ISERROR(SEARCH("No Accesible",BQ67)))</formula>
    </cfRule>
    <cfRule type="containsText" dxfId="166" priority="34" operator="containsText" text="Aprendido">
      <formula>NOT(ISERROR(SEARCH("Aprendido",BQ67)))</formula>
    </cfRule>
  </conditionalFormatting>
  <conditionalFormatting sqref="BY67:BZ67">
    <cfRule type="containsText" dxfId="165" priority="31" operator="containsText" text="No Accesible">
      <formula>NOT(ISERROR(SEARCH("No Accesible",BY67)))</formula>
    </cfRule>
    <cfRule type="containsText" dxfId="164" priority="32" operator="containsText" text="Aprendido">
      <formula>NOT(ISERROR(SEARCH("Aprendido",BY67)))</formula>
    </cfRule>
  </conditionalFormatting>
  <conditionalFormatting sqref="CJ11:CK11">
    <cfRule type="containsText" dxfId="163" priority="29" operator="containsText" text="No Accesible">
      <formula>NOT(ISERROR(SEARCH("No Accesible",CJ11)))</formula>
    </cfRule>
    <cfRule type="containsText" dxfId="162" priority="30" operator="containsText" text="Aprendido">
      <formula>NOT(ISERROR(SEARCH("Aprendido",CJ11)))</formula>
    </cfRule>
  </conditionalFormatting>
  <conditionalFormatting sqref="CR11:CS11">
    <cfRule type="containsText" dxfId="161" priority="27" operator="containsText" text="No Accesible">
      <formula>NOT(ISERROR(SEARCH("No Accesible",CR11)))</formula>
    </cfRule>
    <cfRule type="containsText" dxfId="160" priority="28" operator="containsText" text="Aprendido">
      <formula>NOT(ISERROR(SEARCH("Aprendido",CR11)))</formula>
    </cfRule>
  </conditionalFormatting>
  <conditionalFormatting sqref="CZ11:DA11">
    <cfRule type="containsText" dxfId="159" priority="25" operator="containsText" text="No Accesible">
      <formula>NOT(ISERROR(SEARCH("No Accesible",CZ11)))</formula>
    </cfRule>
    <cfRule type="containsText" dxfId="158" priority="26" operator="containsText" text="Aprendido">
      <formula>NOT(ISERROR(SEARCH("Aprendido",CZ11)))</formula>
    </cfRule>
  </conditionalFormatting>
  <conditionalFormatting sqref="CJ25:CK25">
    <cfRule type="containsText" dxfId="157" priority="23" operator="containsText" text="No Accesible">
      <formula>NOT(ISERROR(SEARCH("No Accesible",CJ25)))</formula>
    </cfRule>
    <cfRule type="containsText" dxfId="156" priority="24" operator="containsText" text="Aprendido">
      <formula>NOT(ISERROR(SEARCH("Aprendido",CJ25)))</formula>
    </cfRule>
  </conditionalFormatting>
  <conditionalFormatting sqref="CR25:CS25">
    <cfRule type="containsText" dxfId="155" priority="21" operator="containsText" text="No Accesible">
      <formula>NOT(ISERROR(SEARCH("No Accesible",CR25)))</formula>
    </cfRule>
    <cfRule type="containsText" dxfId="154" priority="22" operator="containsText" text="Aprendido">
      <formula>NOT(ISERROR(SEARCH("Aprendido",CR25)))</formula>
    </cfRule>
  </conditionalFormatting>
  <conditionalFormatting sqref="CZ25:DA25">
    <cfRule type="containsText" dxfId="153" priority="19" operator="containsText" text="No Accesible">
      <formula>NOT(ISERROR(SEARCH("No Accesible",CZ25)))</formula>
    </cfRule>
    <cfRule type="containsText" dxfId="152" priority="20" operator="containsText" text="Aprendido">
      <formula>NOT(ISERROR(SEARCH("Aprendido",CZ25)))</formula>
    </cfRule>
  </conditionalFormatting>
  <conditionalFormatting sqref="CJ39:CK39">
    <cfRule type="containsText" dxfId="151" priority="17" operator="containsText" text="No Accesible">
      <formula>NOT(ISERROR(SEARCH("No Accesible",CJ39)))</formula>
    </cfRule>
    <cfRule type="containsText" dxfId="150" priority="18" operator="containsText" text="Aprendido">
      <formula>NOT(ISERROR(SEARCH("Aprendido",CJ39)))</formula>
    </cfRule>
  </conditionalFormatting>
  <conditionalFormatting sqref="CR39:CS39">
    <cfRule type="containsText" dxfId="149" priority="15" operator="containsText" text="No Accesible">
      <formula>NOT(ISERROR(SEARCH("No Accesible",CR39)))</formula>
    </cfRule>
    <cfRule type="containsText" dxfId="148" priority="16" operator="containsText" text="Aprendido">
      <formula>NOT(ISERROR(SEARCH("Aprendido",CR39)))</formula>
    </cfRule>
  </conditionalFormatting>
  <conditionalFormatting sqref="CZ39:DA39">
    <cfRule type="containsText" dxfId="147" priority="13" operator="containsText" text="No Accesible">
      <formula>NOT(ISERROR(SEARCH("No Accesible",CZ39)))</formula>
    </cfRule>
    <cfRule type="containsText" dxfId="146" priority="14" operator="containsText" text="Aprendido">
      <formula>NOT(ISERROR(SEARCH("Aprendido",CZ39)))</formula>
    </cfRule>
  </conditionalFormatting>
  <conditionalFormatting sqref="CJ53:CK53">
    <cfRule type="containsText" dxfId="145" priority="11" operator="containsText" text="No Accesible">
      <formula>NOT(ISERROR(SEARCH("No Accesible",CJ53)))</formula>
    </cfRule>
    <cfRule type="containsText" dxfId="144" priority="12" operator="containsText" text="Aprendido">
      <formula>NOT(ISERROR(SEARCH("Aprendido",CJ53)))</formula>
    </cfRule>
  </conditionalFormatting>
  <conditionalFormatting sqref="CR53:CS53">
    <cfRule type="containsText" dxfId="143" priority="9" operator="containsText" text="No Accesible">
      <formula>NOT(ISERROR(SEARCH("No Accesible",CR53)))</formula>
    </cfRule>
    <cfRule type="containsText" dxfId="142" priority="10" operator="containsText" text="Aprendido">
      <formula>NOT(ISERROR(SEARCH("Aprendido",CR53)))</formula>
    </cfRule>
  </conditionalFormatting>
  <conditionalFormatting sqref="CZ53:DA53">
    <cfRule type="containsText" dxfId="141" priority="7" operator="containsText" text="No Accesible">
      <formula>NOT(ISERROR(SEARCH("No Accesible",CZ53)))</formula>
    </cfRule>
    <cfRule type="containsText" dxfId="140" priority="8" operator="containsText" text="Aprendido">
      <formula>NOT(ISERROR(SEARCH("Aprendido",CZ53)))</formula>
    </cfRule>
  </conditionalFormatting>
  <conditionalFormatting sqref="CJ67:CK67">
    <cfRule type="containsText" dxfId="139" priority="5" operator="containsText" text="No Accesible">
      <formula>NOT(ISERROR(SEARCH("No Accesible",CJ67)))</formula>
    </cfRule>
    <cfRule type="containsText" dxfId="138" priority="6" operator="containsText" text="Aprendido">
      <formula>NOT(ISERROR(SEARCH("Aprendido",CJ67)))</formula>
    </cfRule>
  </conditionalFormatting>
  <conditionalFormatting sqref="CR67:CS67">
    <cfRule type="containsText" dxfId="137" priority="3" operator="containsText" text="No Accesible">
      <formula>NOT(ISERROR(SEARCH("No Accesible",CR67)))</formula>
    </cfRule>
    <cfRule type="containsText" dxfId="136" priority="4" operator="containsText" text="Aprendido">
      <formula>NOT(ISERROR(SEARCH("Aprendido",CR67)))</formula>
    </cfRule>
  </conditionalFormatting>
  <conditionalFormatting sqref="CZ67:DA67">
    <cfRule type="containsText" dxfId="135" priority="1" operator="containsText" text="No Accesible">
      <formula>NOT(ISERROR(SEARCH("No Accesible",CZ67)))</formula>
    </cfRule>
    <cfRule type="containsText" dxfId="134"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2019-03-23T10:13:24Z</cp:lastPrinted>
  <dcterms:created xsi:type="dcterms:W3CDTF">2015-03-24T15:47:25Z</dcterms:created>
  <dcterms:modified xsi:type="dcterms:W3CDTF">2019-04-06T11:08:35Z</dcterms:modified>
</cp:coreProperties>
</file>